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idan/Documents/"/>
    </mc:Choice>
  </mc:AlternateContent>
  <xr:revisionPtr revIDLastSave="0" documentId="8_{879B0792-02A3-D241-B1B9-4F6F31A6CD22}" xr6:coauthVersionLast="47" xr6:coauthVersionMax="47" xr10:uidLastSave="{00000000-0000-0000-0000-000000000000}"/>
  <bookViews>
    <workbookView xWindow="12620" yWindow="500" windowWidth="32920" windowHeight="26220" firstSheet="13" activeTab="14" xr2:uid="{FFBDDF23-A0F5-C943-9200-5B0F44DF66B8}"/>
  </bookViews>
  <sheets>
    <sheet name="Budget Model" sheetId="1" r:id="rId1"/>
    <sheet name="NCAA Profits" sheetId="2" r:id="rId2"/>
    <sheet name="Woodworks Bookshelf Co." sheetId="4" r:id="rId3"/>
    <sheet name="Petrol Assignment" sheetId="5" r:id="rId4"/>
    <sheet name="Quality Sweater Company" sheetId="6" r:id="rId5"/>
    <sheet name="Haute Dog Assigment" sheetId="7" r:id="rId6"/>
    <sheet name="B &amp; N Bookstore" sheetId="8" r:id="rId7"/>
    <sheet name="Copy Shop Assignment" sheetId="9" r:id="rId8"/>
    <sheet name="What if Analysis" sheetId="10" r:id="rId9"/>
    <sheet name="The 19th Hole" sheetId="11" r:id="rId10"/>
    <sheet name="Exercist Equiptment Co. Assignm" sheetId="12" r:id="rId11"/>
    <sheet name="Gopher Drugs" sheetId="13" r:id="rId12"/>
    <sheet name="Net Present Value Assignment" sheetId="14" r:id="rId13"/>
    <sheet name="Decision Thru Regression &amp; NPV" sheetId="15" r:id="rId14"/>
    <sheet name="Bluejay Natural Gas Assignment" sheetId="16" r:id="rId15"/>
    <sheet name="Linear Programming" sheetId="18" r:id="rId16"/>
    <sheet name="PC Tech Company" sheetId="19" r:id="rId17"/>
    <sheet name="Furniture Company" sheetId="20" r:id="rId18"/>
    <sheet name="Investment Allocation" sheetId="21" r:id="rId19"/>
    <sheet name="Practice Assignment" sheetId="22" r:id="rId20"/>
    <sheet name="Busing Problem" sheetId="23" r:id="rId21"/>
    <sheet name="Linear Programming Final" sheetId="25" r:id="rId22"/>
    <sheet name="Bus Company Test" sheetId="24" r:id="rId23"/>
  </sheets>
  <definedNames>
    <definedName name="_xlnm._FilterDatabase" localSheetId="9" hidden="1">'The 19th Hole'!$A$24:$I$77</definedName>
    <definedName name="solver_adj" localSheetId="14" hidden="1">'Bluejay Natural Gas Assignment'!$P$40:$W$51</definedName>
    <definedName name="solver_adj" localSheetId="22" hidden="1">'Bus Company Test'!$B$2:$K$2</definedName>
    <definedName name="solver_adj" localSheetId="20" hidden="1">'Busing Problem'!$B$3:$P$3</definedName>
    <definedName name="solver_adj" localSheetId="17" hidden="1">'Furniture Company'!$B$3:$C$3</definedName>
    <definedName name="solver_adj" localSheetId="18" hidden="1">'Investment Allocation'!$B$2:$F$2</definedName>
    <definedName name="solver_adj" localSheetId="15" hidden="1">'Linear Programming'!$B$2:$C$2</definedName>
    <definedName name="solver_adj" localSheetId="21" hidden="1">'Linear Programming Final'!$B$3:$C$3</definedName>
    <definedName name="solver_adj" localSheetId="16" hidden="1">'PC Tech Company'!$B$4:$C$4</definedName>
    <definedName name="solver_adj" localSheetId="19" hidden="1">'Practice Assignment'!$B$2:$D$2</definedName>
    <definedName name="solver_cvg" localSheetId="14" hidden="1">0.0001</definedName>
    <definedName name="solver_cvg" localSheetId="22" hidden="1">0.0001</definedName>
    <definedName name="solver_cvg" localSheetId="20" hidden="1">0.0001</definedName>
    <definedName name="solver_cvg" localSheetId="17" hidden="1">0.0001</definedName>
    <definedName name="solver_cvg" localSheetId="18" hidden="1">0.0001</definedName>
    <definedName name="solver_cvg" localSheetId="15" hidden="1">0.0001</definedName>
    <definedName name="solver_cvg" localSheetId="21" hidden="1">0.0001</definedName>
    <definedName name="solver_cvg" localSheetId="16" hidden="1">0.0001</definedName>
    <definedName name="solver_cvg" localSheetId="19" hidden="1">0.0001</definedName>
    <definedName name="solver_drv" localSheetId="14" hidden="1">1</definedName>
    <definedName name="solver_drv" localSheetId="22" hidden="1">1</definedName>
    <definedName name="solver_drv" localSheetId="20" hidden="1">1</definedName>
    <definedName name="solver_drv" localSheetId="17" hidden="1">1</definedName>
    <definedName name="solver_drv" localSheetId="18" hidden="1">1</definedName>
    <definedName name="solver_drv" localSheetId="15" hidden="1">1</definedName>
    <definedName name="solver_drv" localSheetId="21" hidden="1">1</definedName>
    <definedName name="solver_drv" localSheetId="16" hidden="1">1</definedName>
    <definedName name="solver_drv" localSheetId="19" hidden="1">1</definedName>
    <definedName name="solver_eng" localSheetId="14" hidden="1">2</definedName>
    <definedName name="solver_eng" localSheetId="22" hidden="1">2</definedName>
    <definedName name="solver_eng" localSheetId="20" hidden="1">2</definedName>
    <definedName name="solver_eng" localSheetId="17" hidden="1">2</definedName>
    <definedName name="solver_eng" localSheetId="18" hidden="1">2</definedName>
    <definedName name="solver_eng" localSheetId="15" hidden="1">2</definedName>
    <definedName name="solver_eng" localSheetId="21" hidden="1">2</definedName>
    <definedName name="solver_eng" localSheetId="16" hidden="1">2</definedName>
    <definedName name="solver_eng" localSheetId="19" hidden="1">2</definedName>
    <definedName name="solver_itr" localSheetId="14" hidden="1">2147483647</definedName>
    <definedName name="solver_itr" localSheetId="22" hidden="1">2147483647</definedName>
    <definedName name="solver_itr" localSheetId="20" hidden="1">2147483647</definedName>
    <definedName name="solver_itr" localSheetId="17" hidden="1">2147483647</definedName>
    <definedName name="solver_itr" localSheetId="18" hidden="1">2147483647</definedName>
    <definedName name="solver_itr" localSheetId="15" hidden="1">2147483647</definedName>
    <definedName name="solver_itr" localSheetId="21" hidden="1">2147483647</definedName>
    <definedName name="solver_itr" localSheetId="16" hidden="1">2147483647</definedName>
    <definedName name="solver_itr" localSheetId="19" hidden="1">2147483647</definedName>
    <definedName name="solver_lhs1" localSheetId="14" hidden="1">'Bluejay Natural Gas Assignment'!$P$40:$W$51</definedName>
    <definedName name="solver_lhs1" localSheetId="22" hidden="1">'Bus Company Test'!$L$16:$L$20</definedName>
    <definedName name="solver_lhs1" localSheetId="20" hidden="1">'Busing Problem'!$Q$10:$Q$12</definedName>
    <definedName name="solver_lhs1" localSheetId="17" hidden="1">'Furniture Company'!$D$9:$D$10</definedName>
    <definedName name="solver_lhs1" localSheetId="18" hidden="1">'Investment Allocation'!$G$13:$G$14</definedName>
    <definedName name="solver_lhs1" localSheetId="15" hidden="1">'Linear Programming'!$D$8</definedName>
    <definedName name="solver_lhs1" localSheetId="21" hidden="1">'Linear Programming Final'!$D$14:$D$17</definedName>
    <definedName name="solver_lhs1" localSheetId="16" hidden="1">'PC Tech Company'!$D$16:$D$19</definedName>
    <definedName name="solver_lhs1" localSheetId="19" hidden="1">'Practice Assignment'!$E$10:$E$14</definedName>
    <definedName name="solver_lhs2" localSheetId="14" hidden="1">'Bluejay Natural Gas Assignment'!$P$52:$W$52</definedName>
    <definedName name="solver_lhs2" localSheetId="20" hidden="1">'Busing Problem'!$Q$13:$Q$17</definedName>
    <definedName name="solver_lhs2" localSheetId="18" hidden="1">'Investment Allocation'!$G$15:$G$16</definedName>
    <definedName name="solver_lhs2" localSheetId="15" hidden="1">'Linear Programming'!$D$9</definedName>
    <definedName name="solver_lhs2" localSheetId="19" hidden="1">'Practice Assignment'!$E$15</definedName>
    <definedName name="solver_lhs3" localSheetId="14" hidden="1">'Bluejay Natural Gas Assignment'!$X$40:$X$51</definedName>
    <definedName name="solver_lhs3" localSheetId="18" hidden="1">'Investment Allocation'!#REF!</definedName>
    <definedName name="solver_lhs3" localSheetId="15" hidden="1">'Linear Programming'!$E$7</definedName>
    <definedName name="solver_lhs4" localSheetId="14" hidden="1">'Bluejay Natural Gas Assignment'!$P$51:$W$51</definedName>
    <definedName name="solver_lhs4" localSheetId="18" hidden="1">'Investment Allocation'!$G$16</definedName>
    <definedName name="solver_lhs4" localSheetId="15" hidden="1">'Linear Programming'!$B$15</definedName>
    <definedName name="solver_lhs5" localSheetId="14" hidden="1">'Bluejay Natural Gas Assignment'!$X$39:$X$50</definedName>
    <definedName name="solver_lhs5" localSheetId="15" hidden="1">'Linear Programming'!$B$16</definedName>
    <definedName name="solver_lhs6" localSheetId="15" hidden="1">'Linear Programming'!$B$17</definedName>
    <definedName name="solver_lin" localSheetId="14" hidden="1">1</definedName>
    <definedName name="solver_lin" localSheetId="22" hidden="1">1</definedName>
    <definedName name="solver_lin" localSheetId="20" hidden="1">1</definedName>
    <definedName name="solver_lin" localSheetId="17" hidden="1">1</definedName>
    <definedName name="solver_lin" localSheetId="18" hidden="1">1</definedName>
    <definedName name="solver_lin" localSheetId="15" hidden="1">1</definedName>
    <definedName name="solver_lin" localSheetId="21" hidden="1">1</definedName>
    <definedName name="solver_lin" localSheetId="16" hidden="1">1</definedName>
    <definedName name="solver_lin" localSheetId="19" hidden="1">1</definedName>
    <definedName name="solver_mip" localSheetId="14" hidden="1">2147483647</definedName>
    <definedName name="solver_mip" localSheetId="22" hidden="1">2147483647</definedName>
    <definedName name="solver_mip" localSheetId="20" hidden="1">2147483647</definedName>
    <definedName name="solver_mip" localSheetId="17" hidden="1">2147483647</definedName>
    <definedName name="solver_mip" localSheetId="18" hidden="1">2147483647</definedName>
    <definedName name="solver_mip" localSheetId="15" hidden="1">2147483647</definedName>
    <definedName name="solver_mip" localSheetId="21" hidden="1">2147483647</definedName>
    <definedName name="solver_mip" localSheetId="16" hidden="1">2147483647</definedName>
    <definedName name="solver_mip" localSheetId="19" hidden="1">2147483647</definedName>
    <definedName name="solver_mni" localSheetId="14" hidden="1">30</definedName>
    <definedName name="solver_mni" localSheetId="22" hidden="1">30</definedName>
    <definedName name="solver_mni" localSheetId="20" hidden="1">30</definedName>
    <definedName name="solver_mni" localSheetId="17" hidden="1">30</definedName>
    <definedName name="solver_mni" localSheetId="18" hidden="1">30</definedName>
    <definedName name="solver_mni" localSheetId="15" hidden="1">30</definedName>
    <definedName name="solver_mni" localSheetId="21" hidden="1">30</definedName>
    <definedName name="solver_mni" localSheetId="16" hidden="1">30</definedName>
    <definedName name="solver_mni" localSheetId="19" hidden="1">30</definedName>
    <definedName name="solver_mrt" localSheetId="14" hidden="1">0.075</definedName>
    <definedName name="solver_mrt" localSheetId="22" hidden="1">0.075</definedName>
    <definedName name="solver_mrt" localSheetId="20" hidden="1">0.075</definedName>
    <definedName name="solver_mrt" localSheetId="17" hidden="1">0.075</definedName>
    <definedName name="solver_mrt" localSheetId="18" hidden="1">0.075</definedName>
    <definedName name="solver_mrt" localSheetId="15" hidden="1">0.075</definedName>
    <definedName name="solver_mrt" localSheetId="21" hidden="1">0.075</definedName>
    <definedName name="solver_mrt" localSheetId="16" hidden="1">0.075</definedName>
    <definedName name="solver_mrt" localSheetId="19" hidden="1">0.075</definedName>
    <definedName name="solver_msl" localSheetId="14" hidden="1">2</definedName>
    <definedName name="solver_msl" localSheetId="22" hidden="1">2</definedName>
    <definedName name="solver_msl" localSheetId="20" hidden="1">2</definedName>
    <definedName name="solver_msl" localSheetId="17" hidden="1">2</definedName>
    <definedName name="solver_msl" localSheetId="18" hidden="1">2</definedName>
    <definedName name="solver_msl" localSheetId="15" hidden="1">2</definedName>
    <definedName name="solver_msl" localSheetId="21" hidden="1">2</definedName>
    <definedName name="solver_msl" localSheetId="16" hidden="1">2</definedName>
    <definedName name="solver_msl" localSheetId="19" hidden="1">2</definedName>
    <definedName name="solver_neg" localSheetId="14" hidden="1">1</definedName>
    <definedName name="solver_neg" localSheetId="22" hidden="1">1</definedName>
    <definedName name="solver_neg" localSheetId="20" hidden="1">1</definedName>
    <definedName name="solver_neg" localSheetId="17" hidden="1">1</definedName>
    <definedName name="solver_neg" localSheetId="18" hidden="1">1</definedName>
    <definedName name="solver_neg" localSheetId="15" hidden="1">1</definedName>
    <definedName name="solver_neg" localSheetId="21" hidden="1">1</definedName>
    <definedName name="solver_neg" localSheetId="16" hidden="1">1</definedName>
    <definedName name="solver_neg" localSheetId="19" hidden="1">1</definedName>
    <definedName name="solver_nod" localSheetId="14" hidden="1">2147483647</definedName>
    <definedName name="solver_nod" localSheetId="22" hidden="1">2147483647</definedName>
    <definedName name="solver_nod" localSheetId="20" hidden="1">2147483647</definedName>
    <definedName name="solver_nod" localSheetId="17" hidden="1">2147483647</definedName>
    <definedName name="solver_nod" localSheetId="18" hidden="1">2147483647</definedName>
    <definedName name="solver_nod" localSheetId="15" hidden="1">2147483647</definedName>
    <definedName name="solver_nod" localSheetId="21" hidden="1">2147483647</definedName>
    <definedName name="solver_nod" localSheetId="16" hidden="1">2147483647</definedName>
    <definedName name="solver_nod" localSheetId="19" hidden="1">2147483647</definedName>
    <definedName name="solver_num" localSheetId="14" hidden="1">3</definedName>
    <definedName name="solver_num" localSheetId="22" hidden="1">1</definedName>
    <definedName name="solver_num" localSheetId="20" hidden="1">2</definedName>
    <definedName name="solver_num" localSheetId="17" hidden="1">1</definedName>
    <definedName name="solver_num" localSheetId="18" hidden="1">2</definedName>
    <definedName name="solver_num" localSheetId="15" hidden="1">2</definedName>
    <definedName name="solver_num" localSheetId="21" hidden="1">1</definedName>
    <definedName name="solver_num" localSheetId="16" hidden="1">1</definedName>
    <definedName name="solver_num" localSheetId="19" hidden="1">2</definedName>
    <definedName name="solver_opt" localSheetId="14" hidden="1">'Bluejay Natural Gas Assignment'!$P$58</definedName>
    <definedName name="solver_opt" localSheetId="22" hidden="1">'Bus Company Test'!$B$7</definedName>
    <definedName name="solver_opt" localSheetId="20" hidden="1">'Busing Problem'!$B$6</definedName>
    <definedName name="solver_opt" localSheetId="17" hidden="1">'Furniture Company'!$B$6</definedName>
    <definedName name="solver_opt" localSheetId="18" hidden="1">'Investment Allocation'!$B$6</definedName>
    <definedName name="solver_opt" localSheetId="15" hidden="1">'Linear Programming'!$B$5</definedName>
    <definedName name="solver_opt" localSheetId="21" hidden="1">'Linear Programming Final'!$B$7</definedName>
    <definedName name="solver_opt" localSheetId="16" hidden="1">'PC Tech Company'!$E$13</definedName>
    <definedName name="solver_opt" localSheetId="19" hidden="1">'Practice Assignment'!$B$7</definedName>
    <definedName name="solver_pre" localSheetId="14" hidden="1">0.000001</definedName>
    <definedName name="solver_pre" localSheetId="22" hidden="1">0.000001</definedName>
    <definedName name="solver_pre" localSheetId="20" hidden="1">0.000001</definedName>
    <definedName name="solver_pre" localSheetId="17" hidden="1">0.000001</definedName>
    <definedName name="solver_pre" localSheetId="18" hidden="1">0.000001</definedName>
    <definedName name="solver_pre" localSheetId="15" hidden="1">0.000001</definedName>
    <definedName name="solver_pre" localSheetId="21" hidden="1">0.000001</definedName>
    <definedName name="solver_pre" localSheetId="16" hidden="1">0.000001</definedName>
    <definedName name="solver_pre" localSheetId="19" hidden="1">0.000001</definedName>
    <definedName name="solver_rbv" localSheetId="14" hidden="1">1</definedName>
    <definedName name="solver_rbv" localSheetId="22" hidden="1">1</definedName>
    <definedName name="solver_rbv" localSheetId="20" hidden="1">1</definedName>
    <definedName name="solver_rbv" localSheetId="17" hidden="1">1</definedName>
    <definedName name="solver_rbv" localSheetId="18" hidden="1">1</definedName>
    <definedName name="solver_rbv" localSheetId="15" hidden="1">1</definedName>
    <definedName name="solver_rbv" localSheetId="21" hidden="1">1</definedName>
    <definedName name="solver_rbv" localSheetId="16" hidden="1">1</definedName>
    <definedName name="solver_rbv" localSheetId="19" hidden="1">1</definedName>
    <definedName name="solver_rel1" localSheetId="14" hidden="1">4</definedName>
    <definedName name="solver_rel1" localSheetId="22" hidden="1">2</definedName>
    <definedName name="solver_rel1" localSheetId="20" hidden="1">1</definedName>
    <definedName name="solver_rel1" localSheetId="17" hidden="1">1</definedName>
    <definedName name="solver_rel1" localSheetId="18" hidden="1">3</definedName>
    <definedName name="solver_rel1" localSheetId="15" hidden="1">1</definedName>
    <definedName name="solver_rel1" localSheetId="21" hidden="1">1</definedName>
    <definedName name="solver_rel1" localSheetId="16" hidden="1">1</definedName>
    <definedName name="solver_rel1" localSheetId="19" hidden="1">3</definedName>
    <definedName name="solver_rel2" localSheetId="14" hidden="1">2</definedName>
    <definedName name="solver_rel2" localSheetId="20" hidden="1">2</definedName>
    <definedName name="solver_rel2" localSheetId="18" hidden="1">1</definedName>
    <definedName name="solver_rel2" localSheetId="15" hidden="1">1</definedName>
    <definedName name="solver_rel2" localSheetId="19" hidden="1">1</definedName>
    <definedName name="solver_rel3" localSheetId="14" hidden="1">2</definedName>
    <definedName name="solver_rel3" localSheetId="18" hidden="1">1</definedName>
    <definedName name="solver_rel3" localSheetId="15" hidden="1">1</definedName>
    <definedName name="solver_rel4" localSheetId="14" hidden="1">2</definedName>
    <definedName name="solver_rel4" localSheetId="18" hidden="1">1</definedName>
    <definedName name="solver_rel4" localSheetId="15" hidden="1">3</definedName>
    <definedName name="solver_rel5" localSheetId="14" hidden="1">1</definedName>
    <definedName name="solver_rel5" localSheetId="15" hidden="1">3</definedName>
    <definedName name="solver_rel6" localSheetId="15" hidden="1">3</definedName>
    <definedName name="solver_rhs1" localSheetId="14" hidden="1">"integer"</definedName>
    <definedName name="solver_rhs1" localSheetId="22" hidden="1">'Bus Company Test'!$N$16:$N$20</definedName>
    <definedName name="solver_rhs1" localSheetId="20" hidden="1">'Busing Problem'!$S$10:$S$12</definedName>
    <definedName name="solver_rhs1" localSheetId="17" hidden="1">'Furniture Company'!$F$9:$F$10</definedName>
    <definedName name="solver_rhs1" localSheetId="18" hidden="1">'Investment Allocation'!$I$13:$I$14</definedName>
    <definedName name="solver_rhs1" localSheetId="15" hidden="1">'Linear Programming'!$F$8</definedName>
    <definedName name="solver_rhs1" localSheetId="21" hidden="1">'Linear Programming Final'!$F$14:$F$17</definedName>
    <definedName name="solver_rhs1" localSheetId="16" hidden="1">'PC Tech Company'!$F$16:$F$19</definedName>
    <definedName name="solver_rhs1" localSheetId="19" hidden="1">'Practice Assignment'!$G$10:$G$14</definedName>
    <definedName name="solver_rhs2" localSheetId="14" hidden="1">'Bluejay Natural Gas Assignment'!$P$54:$W$54</definedName>
    <definedName name="solver_rhs2" localSheetId="20" hidden="1">'Busing Problem'!$S$13:$S$17</definedName>
    <definedName name="solver_rhs2" localSheetId="18" hidden="1">'Investment Allocation'!$I$15:$I$16</definedName>
    <definedName name="solver_rhs2" localSheetId="15" hidden="1">'Linear Programming'!$F$9</definedName>
    <definedName name="solver_rhs2" localSheetId="19" hidden="1">'Practice Assignment'!$G$15</definedName>
    <definedName name="solver_rhs3" localSheetId="14" hidden="1">'Bluejay Natural Gas Assignment'!$Z$40:$Z$51</definedName>
    <definedName name="solver_rhs3" localSheetId="18" hidden="1">'Investment Allocation'!#REF!</definedName>
    <definedName name="solver_rhs3" localSheetId="15" hidden="1">'Linear Programming'!$G$7</definedName>
    <definedName name="solver_rhs4" localSheetId="14" hidden="1">'Bluejay Natural Gas Assignment'!$P$53:$W$53</definedName>
    <definedName name="solver_rhs4" localSheetId="18" hidden="1">'Investment Allocation'!$I$16</definedName>
    <definedName name="solver_rhs4" localSheetId="15" hidden="1">'Linear Programming'!$D$15</definedName>
    <definedName name="solver_rhs5" localSheetId="14" hidden="1">'Bluejay Natural Gas Assignment'!$Z$39:$Z$50</definedName>
    <definedName name="solver_rhs5" localSheetId="15" hidden="1">'Linear Programming'!$D$16</definedName>
    <definedName name="solver_rhs6" localSheetId="15" hidden="1">'Linear Programming'!$D$17</definedName>
    <definedName name="solver_rlx" localSheetId="14" hidden="1">2</definedName>
    <definedName name="solver_rlx" localSheetId="22" hidden="1">2</definedName>
    <definedName name="solver_rlx" localSheetId="20" hidden="1">2</definedName>
    <definedName name="solver_rlx" localSheetId="17" hidden="1">2</definedName>
    <definedName name="solver_rlx" localSheetId="18" hidden="1">2</definedName>
    <definedName name="solver_rlx" localSheetId="15" hidden="1">2</definedName>
    <definedName name="solver_rlx" localSheetId="21" hidden="1">2</definedName>
    <definedName name="solver_rlx" localSheetId="16" hidden="1">1</definedName>
    <definedName name="solver_rlx" localSheetId="19" hidden="1">2</definedName>
    <definedName name="solver_rsd" localSheetId="14" hidden="1">0</definedName>
    <definedName name="solver_rsd" localSheetId="22" hidden="1">0</definedName>
    <definedName name="solver_rsd" localSheetId="20" hidden="1">0</definedName>
    <definedName name="solver_rsd" localSheetId="17" hidden="1">0</definedName>
    <definedName name="solver_rsd" localSheetId="18" hidden="1">0</definedName>
    <definedName name="solver_rsd" localSheetId="15" hidden="1">0</definedName>
    <definedName name="solver_rsd" localSheetId="21" hidden="1">0</definedName>
    <definedName name="solver_rsd" localSheetId="16" hidden="1">0</definedName>
    <definedName name="solver_rsd" localSheetId="19" hidden="1">0</definedName>
    <definedName name="solver_scl" localSheetId="14" hidden="1">1</definedName>
    <definedName name="solver_scl" localSheetId="22" hidden="1">1</definedName>
    <definedName name="solver_scl" localSheetId="20" hidden="1">1</definedName>
    <definedName name="solver_scl" localSheetId="17" hidden="1">1</definedName>
    <definedName name="solver_scl" localSheetId="18" hidden="1">1</definedName>
    <definedName name="solver_scl" localSheetId="15" hidden="1">1</definedName>
    <definedName name="solver_scl" localSheetId="21" hidden="1">1</definedName>
    <definedName name="solver_scl" localSheetId="16" hidden="1">2</definedName>
    <definedName name="solver_scl" localSheetId="19" hidden="1">1</definedName>
    <definedName name="solver_sho" localSheetId="14" hidden="1">2</definedName>
    <definedName name="solver_sho" localSheetId="22" hidden="1">2</definedName>
    <definedName name="solver_sho" localSheetId="20" hidden="1">2</definedName>
    <definedName name="solver_sho" localSheetId="17" hidden="1">2</definedName>
    <definedName name="solver_sho" localSheetId="18" hidden="1">2</definedName>
    <definedName name="solver_sho" localSheetId="15" hidden="1">2</definedName>
    <definedName name="solver_sho" localSheetId="21" hidden="1">2</definedName>
    <definedName name="solver_sho" localSheetId="16" hidden="1">2</definedName>
    <definedName name="solver_sho" localSheetId="19" hidden="1">2</definedName>
    <definedName name="solver_ssz" localSheetId="14" hidden="1">100</definedName>
    <definedName name="solver_ssz" localSheetId="22" hidden="1">100</definedName>
    <definedName name="solver_ssz" localSheetId="20" hidden="1">100</definedName>
    <definedName name="solver_ssz" localSheetId="17" hidden="1">100</definedName>
    <definedName name="solver_ssz" localSheetId="18" hidden="1">100</definedName>
    <definedName name="solver_ssz" localSheetId="15" hidden="1">100</definedName>
    <definedName name="solver_ssz" localSheetId="21" hidden="1">100</definedName>
    <definedName name="solver_ssz" localSheetId="16" hidden="1">100</definedName>
    <definedName name="solver_ssz" localSheetId="19" hidden="1">100</definedName>
    <definedName name="solver_tim" localSheetId="14" hidden="1">2147483647</definedName>
    <definedName name="solver_tim" localSheetId="22" hidden="1">2147483647</definedName>
    <definedName name="solver_tim" localSheetId="20" hidden="1">2147483647</definedName>
    <definedName name="solver_tim" localSheetId="17" hidden="1">2147483647</definedName>
    <definedName name="solver_tim" localSheetId="18" hidden="1">2147483647</definedName>
    <definedName name="solver_tim" localSheetId="15" hidden="1">2147483647</definedName>
    <definedName name="solver_tim" localSheetId="21" hidden="1">2147483647</definedName>
    <definedName name="solver_tim" localSheetId="16" hidden="1">2147483647</definedName>
    <definedName name="solver_tim" localSheetId="19" hidden="1">2147483647</definedName>
    <definedName name="solver_tol" localSheetId="14" hidden="1">0.01</definedName>
    <definedName name="solver_tol" localSheetId="22" hidden="1">0.01</definedName>
    <definedName name="solver_tol" localSheetId="20" hidden="1">0.01</definedName>
    <definedName name="solver_tol" localSheetId="17" hidden="1">0.01</definedName>
    <definedName name="solver_tol" localSheetId="18" hidden="1">0.01</definedName>
    <definedName name="solver_tol" localSheetId="15" hidden="1">0.01</definedName>
    <definedName name="solver_tol" localSheetId="21" hidden="1">0.01</definedName>
    <definedName name="solver_tol" localSheetId="16" hidden="1">0.01</definedName>
    <definedName name="solver_tol" localSheetId="19" hidden="1">0.01</definedName>
    <definedName name="solver_typ" localSheetId="14" hidden="1">1</definedName>
    <definedName name="solver_typ" localSheetId="22" hidden="1">2</definedName>
    <definedName name="solver_typ" localSheetId="20" hidden="1">2</definedName>
    <definedName name="solver_typ" localSheetId="17" hidden="1">1</definedName>
    <definedName name="solver_typ" localSheetId="18" hidden="1">1</definedName>
    <definedName name="solver_typ" localSheetId="15" hidden="1">1</definedName>
    <definedName name="solver_typ" localSheetId="21" hidden="1">1</definedName>
    <definedName name="solver_typ" localSheetId="16" hidden="1">1</definedName>
    <definedName name="solver_typ" localSheetId="19" hidden="1">2</definedName>
    <definedName name="solver_val" localSheetId="14" hidden="1">0</definedName>
    <definedName name="solver_val" localSheetId="22" hidden="1">0</definedName>
    <definedName name="solver_val" localSheetId="20" hidden="1">0</definedName>
    <definedName name="solver_val" localSheetId="17" hidden="1">0</definedName>
    <definedName name="solver_val" localSheetId="18" hidden="1">0</definedName>
    <definedName name="solver_val" localSheetId="15" hidden="1">0</definedName>
    <definedName name="solver_val" localSheetId="21" hidden="1">0</definedName>
    <definedName name="solver_val" localSheetId="16" hidden="1">0</definedName>
    <definedName name="solver_val" localSheetId="19" hidden="1">0</definedName>
    <definedName name="solver_ver" localSheetId="14" hidden="1">2</definedName>
    <definedName name="solver_ver" localSheetId="22" hidden="1">2</definedName>
    <definedName name="solver_ver" localSheetId="20" hidden="1">2</definedName>
    <definedName name="solver_ver" localSheetId="17" hidden="1">2</definedName>
    <definedName name="solver_ver" localSheetId="18" hidden="1">2</definedName>
    <definedName name="solver_ver" localSheetId="15" hidden="1">2</definedName>
    <definedName name="solver_ver" localSheetId="21" hidden="1">2</definedName>
    <definedName name="solver_ver" localSheetId="16" hidden="1">2</definedName>
    <definedName name="solver_ver" localSheetId="19" hidden="1">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0" i="16" l="1"/>
  <c r="X41" i="16"/>
  <c r="X42" i="16"/>
  <c r="X43" i="16"/>
  <c r="X44" i="16"/>
  <c r="X45" i="16"/>
  <c r="X46" i="16"/>
  <c r="X47" i="16"/>
  <c r="X48" i="16"/>
  <c r="X49" i="16"/>
  <c r="X50" i="16"/>
  <c r="X51" i="16"/>
  <c r="P58" i="16"/>
  <c r="Q52" i="16"/>
  <c r="R52" i="16"/>
  <c r="S52" i="16"/>
  <c r="T52" i="16"/>
  <c r="U52" i="16"/>
  <c r="V52" i="16"/>
  <c r="W52" i="16"/>
  <c r="P52" i="16"/>
  <c r="P9" i="16"/>
  <c r="D19" i="16"/>
  <c r="E19" i="16"/>
  <c r="F19" i="16"/>
  <c r="H19" i="16"/>
  <c r="I19" i="16" s="1"/>
  <c r="J19" i="16"/>
  <c r="AB16" i="16"/>
  <c r="AB17" i="16"/>
  <c r="AB18" i="16"/>
  <c r="AB13" i="16"/>
  <c r="AB14" i="16"/>
  <c r="AB15" i="16"/>
  <c r="AB12" i="16"/>
  <c r="D17" i="25"/>
  <c r="D16" i="25"/>
  <c r="D15" i="25"/>
  <c r="D14" i="25"/>
  <c r="B7" i="25"/>
  <c r="L18" i="24"/>
  <c r="L19" i="24"/>
  <c r="L20" i="24"/>
  <c r="L17" i="24"/>
  <c r="L16" i="24"/>
  <c r="K8" i="24"/>
  <c r="K9" i="24"/>
  <c r="K10" i="24"/>
  <c r="K11" i="24"/>
  <c r="K7" i="24"/>
  <c r="B7" i="24"/>
  <c r="B6" i="23"/>
  <c r="Q17" i="23"/>
  <c r="Q15" i="23"/>
  <c r="Q16" i="23"/>
  <c r="Q14" i="23"/>
  <c r="Q13" i="23"/>
  <c r="Q12" i="23"/>
  <c r="Q11" i="23"/>
  <c r="Q10" i="23"/>
  <c r="E15" i="22"/>
  <c r="E11" i="22"/>
  <c r="E12" i="22"/>
  <c r="E13" i="22"/>
  <c r="E14" i="22"/>
  <c r="E10" i="22"/>
  <c r="B7" i="22"/>
  <c r="G14" i="21"/>
  <c r="G16" i="21"/>
  <c r="G13" i="21"/>
  <c r="G15" i="21"/>
  <c r="B6" i="21"/>
  <c r="I14" i="21"/>
  <c r="I13" i="21"/>
  <c r="I15" i="21" s="1"/>
  <c r="D10" i="20"/>
  <c r="D9" i="20"/>
  <c r="B6" i="20"/>
  <c r="E11" i="19"/>
  <c r="E10" i="19"/>
  <c r="D18" i="19"/>
  <c r="D19" i="19"/>
  <c r="D11" i="19"/>
  <c r="D10" i="19"/>
  <c r="E9" i="19"/>
  <c r="E7" i="19"/>
  <c r="D17" i="19"/>
  <c r="D16" i="19"/>
  <c r="D9" i="18"/>
  <c r="D8" i="18"/>
  <c r="B5" i="18"/>
  <c r="G19" i="19"/>
  <c r="F13" i="19"/>
  <c r="O17" i="24"/>
  <c r="O20" i="24"/>
  <c r="O18" i="24"/>
  <c r="C8" i="24"/>
  <c r="G17" i="19"/>
  <c r="O16" i="24"/>
  <c r="G16" i="19"/>
  <c r="C7" i="24"/>
  <c r="C6" i="23"/>
  <c r="C6" i="21"/>
  <c r="G18" i="19"/>
  <c r="O19" i="24"/>
  <c r="G19" i="16" l="1"/>
  <c r="K12" i="24"/>
  <c r="B8" i="24"/>
  <c r="E13" i="19"/>
  <c r="K10" i="16" l="1"/>
  <c r="K9" i="16"/>
  <c r="K15" i="16"/>
  <c r="K14" i="16"/>
  <c r="K13" i="16"/>
  <c r="J35" i="16"/>
  <c r="H36" i="16"/>
  <c r="I36" i="16" s="1"/>
  <c r="J36" i="16" s="1"/>
  <c r="H37" i="16"/>
  <c r="I37" i="16" s="1"/>
  <c r="J37" i="16" s="1"/>
  <c r="H35" i="16"/>
  <c r="I35" i="16" s="1"/>
  <c r="C36" i="16"/>
  <c r="F36" i="16" s="1"/>
  <c r="C37" i="16"/>
  <c r="C35" i="16"/>
  <c r="F29" i="16"/>
  <c r="F30" i="16"/>
  <c r="F31" i="16"/>
  <c r="F28" i="16"/>
  <c r="E29" i="16"/>
  <c r="E30" i="16"/>
  <c r="E31" i="16"/>
  <c r="E28" i="16"/>
  <c r="D29" i="16"/>
  <c r="D30" i="16"/>
  <c r="D31" i="16"/>
  <c r="D28" i="16"/>
  <c r="H29" i="16"/>
  <c r="I29" i="16" s="1"/>
  <c r="J29" i="16" s="1"/>
  <c r="H30" i="16"/>
  <c r="I30" i="16" s="1"/>
  <c r="H31" i="16"/>
  <c r="I31" i="16" s="1"/>
  <c r="J31" i="16" s="1"/>
  <c r="H28" i="16"/>
  <c r="I28" i="16" s="1"/>
  <c r="J28" i="16" s="1"/>
  <c r="H20" i="16"/>
  <c r="I20" i="16" s="1"/>
  <c r="J20" i="16" s="1"/>
  <c r="H21" i="16"/>
  <c r="I21" i="16" s="1"/>
  <c r="J21" i="16" s="1"/>
  <c r="H22" i="16"/>
  <c r="I22" i="16" s="1"/>
  <c r="J22" i="16" s="1"/>
  <c r="H23" i="16"/>
  <c r="I23" i="16" s="1"/>
  <c r="J23" i="16" s="1"/>
  <c r="F20" i="16"/>
  <c r="F21" i="16"/>
  <c r="F22" i="16"/>
  <c r="F23" i="16"/>
  <c r="E20" i="16"/>
  <c r="E21" i="16"/>
  <c r="E22" i="16"/>
  <c r="E23" i="16"/>
  <c r="D23" i="16"/>
  <c r="D22" i="16"/>
  <c r="D21" i="16"/>
  <c r="D20" i="16"/>
  <c r="G23" i="16" l="1"/>
  <c r="D32" i="16"/>
  <c r="D49" i="16" s="1"/>
  <c r="G28" i="16"/>
  <c r="J30" i="16"/>
  <c r="E54" i="16" s="1"/>
  <c r="K12" i="16"/>
  <c r="D35" i="16"/>
  <c r="G30" i="16"/>
  <c r="E36" i="16"/>
  <c r="K16" i="16"/>
  <c r="G22" i="16"/>
  <c r="E37" i="16"/>
  <c r="E24" i="16"/>
  <c r="E48" i="16" s="1"/>
  <c r="D37" i="16"/>
  <c r="E32" i="16"/>
  <c r="E49" i="16" s="1"/>
  <c r="E35" i="16"/>
  <c r="D36" i="16"/>
  <c r="G20" i="16"/>
  <c r="F32" i="16"/>
  <c r="F49" i="16" s="1"/>
  <c r="F35" i="16"/>
  <c r="G35" i="16" s="1"/>
  <c r="D24" i="16"/>
  <c r="D48" i="16" s="1"/>
  <c r="G21" i="16"/>
  <c r="G31" i="16"/>
  <c r="I41" i="16"/>
  <c r="D41" i="16"/>
  <c r="K8" i="16" s="1"/>
  <c r="G29" i="16"/>
  <c r="F37" i="16"/>
  <c r="F24" i="16"/>
  <c r="F48" i="16" s="1"/>
  <c r="D54" i="16"/>
  <c r="F54" i="16"/>
  <c r="E41" i="16" l="1"/>
  <c r="G32" i="16"/>
  <c r="G36" i="16"/>
  <c r="G37" i="16"/>
  <c r="E38" i="16"/>
  <c r="E50" i="16" s="1"/>
  <c r="D38" i="16"/>
  <c r="D50" i="16" s="1"/>
  <c r="F38" i="16"/>
  <c r="F50" i="16" s="1"/>
  <c r="G24" i="16"/>
  <c r="G41" i="16"/>
  <c r="K11" i="16" s="1"/>
  <c r="J47" i="16" s="1"/>
  <c r="F41" i="16"/>
  <c r="H46" i="15"/>
  <c r="G47" i="15"/>
  <c r="G48" i="15" s="1"/>
  <c r="G40" i="15"/>
  <c r="G38" i="15" s="1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22" i="15"/>
  <c r="C3" i="15"/>
  <c r="C4" i="15"/>
  <c r="D4" i="15" s="1"/>
  <c r="C5" i="15"/>
  <c r="D5" i="15" s="1"/>
  <c r="C6" i="15"/>
  <c r="D6" i="15" s="1"/>
  <c r="C7" i="15"/>
  <c r="D7" i="15" s="1"/>
  <c r="C8" i="15"/>
  <c r="D8" i="15" s="1"/>
  <c r="C9" i="15"/>
  <c r="D9" i="15" s="1"/>
  <c r="C10" i="15"/>
  <c r="D10" i="15" s="1"/>
  <c r="C11" i="15"/>
  <c r="D11" i="15" s="1"/>
  <c r="C12" i="15"/>
  <c r="D12" i="15" s="1"/>
  <c r="C13" i="15"/>
  <c r="D13" i="15" s="1"/>
  <c r="C14" i="15"/>
  <c r="D14" i="15" s="1"/>
  <c r="C15" i="15"/>
  <c r="D15" i="15" s="1"/>
  <c r="C16" i="15"/>
  <c r="C17" i="15"/>
  <c r="D17" i="15" s="1"/>
  <c r="C18" i="15"/>
  <c r="C19" i="15"/>
  <c r="D19" i="15" s="1"/>
  <c r="C20" i="15"/>
  <c r="D20" i="15" s="1"/>
  <c r="C21" i="15"/>
  <c r="D21" i="15" s="1"/>
  <c r="C2" i="15"/>
  <c r="D2" i="15" s="1"/>
  <c r="D3" i="15"/>
  <c r="D16" i="15"/>
  <c r="D18" i="15"/>
  <c r="F24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3" i="15"/>
  <c r="B41" i="11"/>
  <c r="C41" i="11"/>
  <c r="G38" i="16" l="1"/>
  <c r="I46" i="15"/>
  <c r="K46" i="15" s="1"/>
  <c r="L46" i="15" s="1"/>
  <c r="J46" i="15"/>
  <c r="E22" i="15"/>
  <c r="H47" i="15"/>
  <c r="I47" i="15" s="1"/>
  <c r="G49" i="15"/>
  <c r="H48" i="15"/>
  <c r="D22" i="15"/>
  <c r="B42" i="11"/>
  <c r="B8" i="14"/>
  <c r="B13" i="13"/>
  <c r="F7" i="13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6" i="13"/>
  <c r="F12" i="12"/>
  <c r="E12" i="12"/>
  <c r="E11" i="12"/>
  <c r="F11" i="12"/>
  <c r="D11" i="12"/>
  <c r="D12" i="12"/>
  <c r="C12" i="12"/>
  <c r="C11" i="12"/>
  <c r="F7" i="12"/>
  <c r="F8" i="12"/>
  <c r="F9" i="12"/>
  <c r="F10" i="12"/>
  <c r="F6" i="12"/>
  <c r="E7" i="12"/>
  <c r="E8" i="12"/>
  <c r="E9" i="12"/>
  <c r="E10" i="12"/>
  <c r="E6" i="12"/>
  <c r="D7" i="12"/>
  <c r="D8" i="12"/>
  <c r="D9" i="12"/>
  <c r="D10" i="12"/>
  <c r="D6" i="12"/>
  <c r="C7" i="12"/>
  <c r="C8" i="12"/>
  <c r="C9" i="12"/>
  <c r="C10" i="12"/>
  <c r="C6" i="12"/>
  <c r="D26" i="11"/>
  <c r="H26" i="11" s="1"/>
  <c r="D27" i="11"/>
  <c r="H27" i="11" s="1"/>
  <c r="D28" i="11"/>
  <c r="H28" i="11" s="1"/>
  <c r="D29" i="11"/>
  <c r="H29" i="11" s="1"/>
  <c r="D30" i="11"/>
  <c r="H30" i="11" s="1"/>
  <c r="D31" i="11"/>
  <c r="H31" i="11" s="1"/>
  <c r="D32" i="11"/>
  <c r="H32" i="11" s="1"/>
  <c r="D33" i="11"/>
  <c r="H33" i="11" s="1"/>
  <c r="D34" i="11"/>
  <c r="H34" i="11" s="1"/>
  <c r="D35" i="11"/>
  <c r="H35" i="11" s="1"/>
  <c r="D36" i="11"/>
  <c r="H36" i="11" s="1"/>
  <c r="D25" i="11"/>
  <c r="H25" i="11" s="1"/>
  <c r="C26" i="11"/>
  <c r="G26" i="11" s="1"/>
  <c r="C27" i="11"/>
  <c r="G27" i="11" s="1"/>
  <c r="C28" i="11"/>
  <c r="G28" i="11" s="1"/>
  <c r="C29" i="11"/>
  <c r="G29" i="11" s="1"/>
  <c r="C30" i="11"/>
  <c r="G30" i="11" s="1"/>
  <c r="C31" i="11"/>
  <c r="G31" i="11" s="1"/>
  <c r="C32" i="11"/>
  <c r="G32" i="11" s="1"/>
  <c r="C33" i="11"/>
  <c r="G33" i="11" s="1"/>
  <c r="C34" i="11"/>
  <c r="G34" i="11" s="1"/>
  <c r="C35" i="11"/>
  <c r="G35" i="11" s="1"/>
  <c r="C36" i="11"/>
  <c r="G36" i="11" s="1"/>
  <c r="C25" i="11"/>
  <c r="G25" i="11" s="1"/>
  <c r="B26" i="11"/>
  <c r="F26" i="11" s="1"/>
  <c r="B27" i="11"/>
  <c r="F27" i="11" s="1"/>
  <c r="B28" i="11"/>
  <c r="F28" i="11" s="1"/>
  <c r="B29" i="11"/>
  <c r="F29" i="11" s="1"/>
  <c r="B30" i="11"/>
  <c r="F30" i="11" s="1"/>
  <c r="B31" i="11"/>
  <c r="F31" i="11" s="1"/>
  <c r="B32" i="11"/>
  <c r="F32" i="11" s="1"/>
  <c r="B33" i="11"/>
  <c r="F33" i="11" s="1"/>
  <c r="B34" i="11"/>
  <c r="F34" i="11" s="1"/>
  <c r="B35" i="11"/>
  <c r="F35" i="11" s="1"/>
  <c r="B36" i="11"/>
  <c r="F36" i="11" s="1"/>
  <c r="B25" i="11"/>
  <c r="F25" i="11" s="1"/>
  <c r="B11" i="10"/>
  <c r="B6" i="10"/>
  <c r="B16" i="10" s="1"/>
  <c r="B13" i="9"/>
  <c r="B10" i="9"/>
  <c r="B12" i="8"/>
  <c r="B17" i="8" s="1"/>
  <c r="B15" i="8"/>
  <c r="B13" i="8"/>
  <c r="B6" i="7"/>
  <c r="B7" i="7"/>
  <c r="B15" i="7"/>
  <c r="B16" i="6"/>
  <c r="B19" i="6" s="1"/>
  <c r="E15" i="5"/>
  <c r="E16" i="5"/>
  <c r="E17" i="5"/>
  <c r="E18" i="5"/>
  <c r="D15" i="5"/>
  <c r="D16" i="5"/>
  <c r="D17" i="5" s="1"/>
  <c r="D18" i="5" s="1"/>
  <c r="C15" i="5"/>
  <c r="C16" i="5"/>
  <c r="C17" i="5" s="1"/>
  <c r="C18" i="5" s="1"/>
  <c r="B18" i="5"/>
  <c r="B15" i="5"/>
  <c r="B16" i="5" s="1"/>
  <c r="B17" i="5" s="1"/>
  <c r="D14" i="5"/>
  <c r="C14" i="5"/>
  <c r="B14" i="5"/>
  <c r="E14" i="5"/>
  <c r="D9" i="5"/>
  <c r="D7" i="5"/>
  <c r="D5" i="5"/>
  <c r="D6" i="5"/>
  <c r="D4" i="5"/>
  <c r="C9" i="4"/>
  <c r="B9" i="4"/>
  <c r="D16" i="4" s="1"/>
  <c r="D17" i="4" s="1"/>
  <c r="C6" i="4"/>
  <c r="C16" i="4" s="1"/>
  <c r="B6" i="4"/>
  <c r="B16" i="4" s="1"/>
  <c r="B19" i="2"/>
  <c r="B17" i="2"/>
  <c r="B16" i="2"/>
  <c r="B20" i="2" s="1"/>
  <c r="B12" i="1"/>
  <c r="B20" i="1"/>
  <c r="B5" i="1"/>
  <c r="B9" i="1" s="1"/>
  <c r="B21" i="1" s="1"/>
  <c r="G10" i="13"/>
  <c r="C11" i="6"/>
  <c r="G6" i="13"/>
  <c r="C8" i="14"/>
  <c r="C10" i="9"/>
  <c r="G22" i="13"/>
  <c r="C9" i="1"/>
  <c r="C20" i="2"/>
  <c r="C17" i="8"/>
  <c r="C21" i="2"/>
  <c r="C21" i="10"/>
  <c r="G20" i="13"/>
  <c r="C12" i="8"/>
  <c r="G18" i="13"/>
  <c r="C13" i="8"/>
  <c r="C17" i="2"/>
  <c r="G8" i="13"/>
  <c r="C12" i="13"/>
  <c r="C13" i="13"/>
  <c r="C19" i="6"/>
  <c r="G14" i="13"/>
  <c r="G23" i="13"/>
  <c r="G9" i="13"/>
  <c r="C6" i="10"/>
  <c r="G11" i="13"/>
  <c r="G16" i="13"/>
  <c r="G7" i="13"/>
  <c r="G19" i="13"/>
  <c r="C14" i="13"/>
  <c r="G15" i="13"/>
  <c r="C5" i="1"/>
  <c r="G24" i="13"/>
  <c r="C6" i="9"/>
  <c r="C19" i="8"/>
  <c r="C21" i="1"/>
  <c r="G12" i="13"/>
  <c r="G17" i="13"/>
  <c r="C15" i="8"/>
  <c r="C16" i="2"/>
  <c r="G13" i="13"/>
  <c r="C16" i="10"/>
  <c r="C16" i="6"/>
  <c r="G21" i="13"/>
  <c r="G25" i="13"/>
  <c r="C19" i="2"/>
  <c r="J47" i="15" l="1"/>
  <c r="K47" i="15" s="1"/>
  <c r="L47" i="15" s="1"/>
  <c r="J48" i="15"/>
  <c r="I48" i="15"/>
  <c r="G50" i="15"/>
  <c r="H50" i="15" s="1"/>
  <c r="H49" i="15"/>
  <c r="B12" i="13"/>
  <c r="B14" i="13" s="1"/>
  <c r="B45" i="11"/>
  <c r="B44" i="11"/>
  <c r="H37" i="11"/>
  <c r="G37" i="11"/>
  <c r="F37" i="11"/>
  <c r="E3" i="10" a="1"/>
  <c r="E3" i="10" s="1"/>
  <c r="B21" i="10" a="1"/>
  <c r="B21" i="10" s="1"/>
  <c r="B24" i="10" s="1"/>
  <c r="B15" i="9"/>
  <c r="B19" i="8"/>
  <c r="G13" i="8" s="1"/>
  <c r="B18" i="7"/>
  <c r="B17" i="7"/>
  <c r="H4" i="7" s="1"/>
  <c r="B11" i="6"/>
  <c r="B20" i="6" s="1"/>
  <c r="I6" i="6" s="1"/>
  <c r="C11" i="4"/>
  <c r="B17" i="4"/>
  <c r="B18" i="4" s="1"/>
  <c r="B19" i="4" s="1"/>
  <c r="B20" i="4" s="1"/>
  <c r="B21" i="4" s="1"/>
  <c r="E16" i="4"/>
  <c r="C17" i="4"/>
  <c r="F17" i="4" s="1"/>
  <c r="F16" i="4"/>
  <c r="B11" i="4"/>
  <c r="D18" i="4"/>
  <c r="B21" i="2"/>
  <c r="K48" i="15" l="1"/>
  <c r="J49" i="15"/>
  <c r="I49" i="15"/>
  <c r="I50" i="15"/>
  <c r="J50" i="15"/>
  <c r="L48" i="15"/>
  <c r="B47" i="11"/>
  <c r="H8" i="10"/>
  <c r="G18" i="10"/>
  <c r="B20" i="9"/>
  <c r="B6" i="9"/>
  <c r="B22" i="9" s="1"/>
  <c r="E4" i="9" s="1"/>
  <c r="C18" i="4"/>
  <c r="E17" i="4"/>
  <c r="D19" i="4"/>
  <c r="E18" i="4"/>
  <c r="F18" i="4"/>
  <c r="C19" i="4"/>
  <c r="K49" i="15" l="1"/>
  <c r="K50" i="15"/>
  <c r="K51" i="15" s="1"/>
  <c r="G42" i="11"/>
  <c r="F80" i="11"/>
  <c r="D20" i="4"/>
  <c r="E19" i="4"/>
  <c r="C20" i="4"/>
  <c r="F19" i="4"/>
  <c r="L50" i="15" l="1"/>
  <c r="L49" i="15"/>
  <c r="E20" i="4"/>
  <c r="D21" i="4"/>
  <c r="E21" i="4" s="1"/>
  <c r="C21" i="4"/>
  <c r="F20" i="4"/>
  <c r="L51" i="15" l="1"/>
  <c r="I39" i="15"/>
  <c r="F2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<sst xmlns="http://schemas.openxmlformats.org/spreadsheetml/2006/main" count="700" uniqueCount="431">
  <si>
    <t>Budget</t>
  </si>
  <si>
    <t>Income:</t>
  </si>
  <si>
    <t>Salary:</t>
  </si>
  <si>
    <t>Taxes (22%)</t>
  </si>
  <si>
    <t>Medical:</t>
  </si>
  <si>
    <t xml:space="preserve">Dental: </t>
  </si>
  <si>
    <t xml:space="preserve">Retirement: </t>
  </si>
  <si>
    <t>Net Income:</t>
  </si>
  <si>
    <t>Expenses:</t>
  </si>
  <si>
    <t>Rent:</t>
  </si>
  <si>
    <t>Food:</t>
  </si>
  <si>
    <t>Car/Transportation:</t>
  </si>
  <si>
    <t>Travel:</t>
  </si>
  <si>
    <t>Apt Items:</t>
  </si>
  <si>
    <t>Gifts:</t>
  </si>
  <si>
    <t>Savings:</t>
  </si>
  <si>
    <t>Loans:</t>
  </si>
  <si>
    <t>Total Expenses:</t>
  </si>
  <si>
    <t>Net Savings:</t>
  </si>
  <si>
    <t>NCAA T-Shirt Vendor</t>
  </si>
  <si>
    <t>Givens:</t>
  </si>
  <si>
    <t>Costs:</t>
  </si>
  <si>
    <t>Fixed:</t>
  </si>
  <si>
    <t>Variable:</t>
  </si>
  <si>
    <t>per shirt</t>
  </si>
  <si>
    <t>Revenue:</t>
  </si>
  <si>
    <t>Full Price:</t>
  </si>
  <si>
    <t>Reduced Price:</t>
  </si>
  <si>
    <t>Number of Shirts Ordered:</t>
  </si>
  <si>
    <t>Demand:</t>
  </si>
  <si>
    <t>Number of Shirts Sold (FP):</t>
  </si>
  <si>
    <t>Number of Shirts Sold (Reduced):</t>
  </si>
  <si>
    <t>Total Cost:</t>
  </si>
  <si>
    <t>Total Revenue:</t>
  </si>
  <si>
    <t>Total Profit:</t>
  </si>
  <si>
    <t>Woodworks Bookshelf Co.</t>
  </si>
  <si>
    <t>Cherry</t>
  </si>
  <si>
    <t>Oak</t>
  </si>
  <si>
    <t>Unit Cost:</t>
  </si>
  <si>
    <t>Board Feet:</t>
  </si>
  <si>
    <t>Materials Cost:</t>
  </si>
  <si>
    <t>Labor Required:</t>
  </si>
  <si>
    <t>Labor Rate:</t>
  </si>
  <si>
    <t>Labor Cost</t>
  </si>
  <si>
    <t xml:space="preserve">Total Cost: </t>
  </si>
  <si>
    <t>Cost Increases:</t>
  </si>
  <si>
    <t>Year</t>
  </si>
  <si>
    <t>Labor</t>
  </si>
  <si>
    <t>Total Cherry</t>
  </si>
  <si>
    <t>Total Oak</t>
  </si>
  <si>
    <t>PETROL Jeans Cost and Profits</t>
  </si>
  <si>
    <t>Resource</t>
  </si>
  <si>
    <t>Unit Cost</t>
  </si>
  <si>
    <t>Amount per Pair of Jeans</t>
  </si>
  <si>
    <t>Cost Per Pair of Jeans</t>
  </si>
  <si>
    <t>Yearly Cost Increase</t>
  </si>
  <si>
    <t>Cotton</t>
  </si>
  <si>
    <t>Hardware</t>
  </si>
  <si>
    <t>Total Cost</t>
  </si>
  <si>
    <t>Total Revenue</t>
  </si>
  <si>
    <t>Profit per Unit</t>
  </si>
  <si>
    <t>Projected Costs per Pair of Jeans</t>
  </si>
  <si>
    <t>Harware</t>
  </si>
  <si>
    <t>Pair of Jeans</t>
  </si>
  <si>
    <t>Quality Sweater Company</t>
  </si>
  <si>
    <t>Inputs:</t>
  </si>
  <si>
    <t>a) Data Table</t>
  </si>
  <si>
    <t>Printing:</t>
  </si>
  <si>
    <t>Response Rate:</t>
  </si>
  <si>
    <t>Profit:</t>
  </si>
  <si>
    <t>per catalog</t>
  </si>
  <si>
    <t>Mailing:</t>
  </si>
  <si>
    <t>Reply Envelopes:</t>
  </si>
  <si>
    <t>per order</t>
  </si>
  <si>
    <t>Labor &amp; Materials:</t>
  </si>
  <si>
    <t>Total Costs:</t>
  </si>
  <si>
    <t>Catalogs Ordered:</t>
  </si>
  <si>
    <t>Respose Rate</t>
  </si>
  <si>
    <t>&lt;-- dummy value</t>
  </si>
  <si>
    <t>Total Orders:</t>
  </si>
  <si>
    <t>Revenue</t>
  </si>
  <si>
    <t>Average Customer Order:</t>
  </si>
  <si>
    <t>Haute Dog</t>
  </si>
  <si>
    <t>Daily Sales</t>
  </si>
  <si>
    <t>Weekly Profit</t>
  </si>
  <si>
    <t>Fixed Costs:</t>
  </si>
  <si>
    <t>Variable Costs:</t>
  </si>
  <si>
    <t>per hot dog</t>
  </si>
  <si>
    <t>Total Cost (Weekly):</t>
  </si>
  <si>
    <t>Total Cost (First Week)</t>
  </si>
  <si>
    <t>Sales</t>
  </si>
  <si>
    <t>Days Open:</t>
  </si>
  <si>
    <t>Daily Sales:</t>
  </si>
  <si>
    <t>Price</t>
  </si>
  <si>
    <t>Total Weekly Revenue</t>
  </si>
  <si>
    <t>Weekly Profit (Weekly):</t>
  </si>
  <si>
    <t>Weekly Profit (First Week):</t>
  </si>
  <si>
    <t>BN Bookstore</t>
  </si>
  <si>
    <t>at least</t>
  </si>
  <si>
    <t>Regular Price</t>
  </si>
  <si>
    <t>Ordered</t>
  </si>
  <si>
    <t>Sale Price</t>
  </si>
  <si>
    <t>(500-4500)</t>
  </si>
  <si>
    <t>Order:</t>
  </si>
  <si>
    <t>Surplus:</t>
  </si>
  <si>
    <t>Demand</t>
  </si>
  <si>
    <t>Way #2:</t>
  </si>
  <si>
    <t>Order</t>
  </si>
  <si>
    <t>Costs</t>
  </si>
  <si>
    <t>Profit</t>
  </si>
  <si>
    <t>Copy Shop</t>
  </si>
  <si>
    <t>Rent for Machine:</t>
  </si>
  <si>
    <t>per copier per year</t>
  </si>
  <si>
    <t>Store Overhead Costs:</t>
  </si>
  <si>
    <t>per month</t>
  </si>
  <si>
    <t>Copy Cost:</t>
  </si>
  <si>
    <t>per copy</t>
  </si>
  <si>
    <t># of Copiers</t>
  </si>
  <si>
    <t>Total Annual Cost:</t>
  </si>
  <si>
    <t>Daily Demand:</t>
  </si>
  <si>
    <t>(500-2000)</t>
  </si>
  <si>
    <t>Annual Demand:</t>
  </si>
  <si>
    <t>Number of Copiers Rented:</t>
  </si>
  <si>
    <t>Maximum Copies Per Year:</t>
  </si>
  <si>
    <t>Copies Made per Year:</t>
  </si>
  <si>
    <t>Selling Price:</t>
  </si>
  <si>
    <t>Total Annual Revenue:</t>
  </si>
  <si>
    <t>Annual Profit</t>
  </si>
  <si>
    <t>Screamin' Blue Jays Tour</t>
  </si>
  <si>
    <t>Number of Concerts</t>
  </si>
  <si>
    <t>Concerts per week:</t>
  </si>
  <si>
    <t xml:space="preserve">Weeks on Tour: </t>
  </si>
  <si>
    <t>Total Concerts:</t>
  </si>
  <si>
    <t>Seats Sold (%)</t>
  </si>
  <si>
    <t>Expected Concert Attendance</t>
  </si>
  <si>
    <t>Maximum Capacity:</t>
  </si>
  <si>
    <t>Attendance (%):</t>
  </si>
  <si>
    <t>Number of tickets sold:</t>
  </si>
  <si>
    <t>Fixed start-up cost:</t>
  </si>
  <si>
    <t>Venue rental cost:</t>
  </si>
  <si>
    <t>per show</t>
  </si>
  <si>
    <t>Ticket Price:</t>
  </si>
  <si>
    <t>per person</t>
  </si>
  <si>
    <t>Concession sales:</t>
  </si>
  <si>
    <t>The 19th Hole</t>
  </si>
  <si>
    <t>Month</t>
  </si>
  <si>
    <t>Demand (00s)</t>
  </si>
  <si>
    <t>Linear: mx + b</t>
  </si>
  <si>
    <t>Power: y = ax^b</t>
  </si>
  <si>
    <t>Exponential: y=ae^(bx)</t>
  </si>
  <si>
    <t>Intercept (b):</t>
  </si>
  <si>
    <t>Constant (a):</t>
  </si>
  <si>
    <t>Slope (m):</t>
  </si>
  <si>
    <t>Exponent (b):</t>
  </si>
  <si>
    <t>Predictions Based On Models</t>
  </si>
  <si>
    <t>Absolute Percent Error</t>
  </si>
  <si>
    <t>Demand (Linear)</t>
  </si>
  <si>
    <t>Demand (Power)</t>
  </si>
  <si>
    <t>Demand (Exponential)</t>
  </si>
  <si>
    <t>Demand (Linear)2</t>
  </si>
  <si>
    <t>Demand (Power)3</t>
  </si>
  <si>
    <t>Demand (Exponential)4</t>
  </si>
  <si>
    <t>MAPE:</t>
  </si>
  <si>
    <t>Model the Business</t>
  </si>
  <si>
    <t xml:space="preserve">Unit Cost: </t>
  </si>
  <si>
    <t>per set of clubs</t>
  </si>
  <si>
    <t>Sale Price:</t>
  </si>
  <si>
    <t>&lt;-- From Power Model</t>
  </si>
  <si>
    <t>Actual Demand:</t>
  </si>
  <si>
    <t>Cost:</t>
  </si>
  <si>
    <t>A) set a price of $530 for a profit of $1,042,213</t>
  </si>
  <si>
    <t>Exercise Equipment Company</t>
  </si>
  <si>
    <t>Actual Data</t>
  </si>
  <si>
    <t>Forecasts</t>
  </si>
  <si>
    <t>Exponential Model</t>
  </si>
  <si>
    <t>Year Number</t>
  </si>
  <si>
    <t>Exponential</t>
  </si>
  <si>
    <t>Power</t>
  </si>
  <si>
    <t>y=ae^(bx)</t>
  </si>
  <si>
    <t>a:</t>
  </si>
  <si>
    <t>b:</t>
  </si>
  <si>
    <t>Power Function Model</t>
  </si>
  <si>
    <t>y=ax^b</t>
  </si>
  <si>
    <t>(</t>
  </si>
  <si>
    <t>Gopher Drugs:</t>
  </si>
  <si>
    <t>Development Cost:</t>
  </si>
  <si>
    <t>Cash Flows:</t>
  </si>
  <si>
    <t>Lifetime:</t>
  </si>
  <si>
    <t>years</t>
  </si>
  <si>
    <t>End of  Year</t>
  </si>
  <si>
    <t>Gross Margin ($M)</t>
  </si>
  <si>
    <t>Year 1 Margin:</t>
  </si>
  <si>
    <t>Incr. Thru year:</t>
  </si>
  <si>
    <t>Rate of Increase:</t>
  </si>
  <si>
    <t>Rate of decrease:</t>
  </si>
  <si>
    <t>Discount Rate:</t>
  </si>
  <si>
    <t>(Net) Present Value:</t>
  </si>
  <si>
    <t>Net Present Value:</t>
  </si>
  <si>
    <t>Cash Inflow (end of year)</t>
  </si>
  <si>
    <t xml:space="preserve">Development Cost: </t>
  </si>
  <si>
    <t xml:space="preserve">(Net) Present Value: </t>
  </si>
  <si>
    <t>Average of Seasonally Adjusted Sales</t>
  </si>
  <si>
    <t>Exponential Model Absolute Error</t>
  </si>
  <si>
    <t>Percent Growth</t>
  </si>
  <si>
    <t xml:space="preserve">Exponential: </t>
  </si>
  <si>
    <t xml:space="preserve">Givens </t>
  </si>
  <si>
    <t xml:space="preserve">Unit Price: </t>
  </si>
  <si>
    <t>Variable Cost:</t>
  </si>
  <si>
    <t xml:space="preserve">kits </t>
  </si>
  <si>
    <t>Unknown Growth Rate:</t>
  </si>
  <si>
    <t>Variable Cost</t>
  </si>
  <si>
    <t>SG&amp;A Costs</t>
  </si>
  <si>
    <t>Financial Estimates for Potential Projects (in $millions)</t>
  </si>
  <si>
    <t>Project Index</t>
  </si>
  <si>
    <t>Functional Area (FA)</t>
  </si>
  <si>
    <t>Partnership Percentage</t>
  </si>
  <si>
    <t>Capex Year 1</t>
  </si>
  <si>
    <t>Capex Year 2</t>
  </si>
  <si>
    <t>Capex Year 3</t>
  </si>
  <si>
    <t>NPV</t>
  </si>
  <si>
    <t xml:space="preserve">Annual Revenues (in millions) </t>
  </si>
  <si>
    <t>FA1</t>
  </si>
  <si>
    <t>Total Expenditures (in millions)</t>
  </si>
  <si>
    <t>Yearly Cap (millions)</t>
  </si>
  <si>
    <t>NPV Discount Rate % decrease:</t>
  </si>
  <si>
    <t>&lt;--dummy value</t>
  </si>
  <si>
    <t>Requirement Checks</t>
  </si>
  <si>
    <t>FA2</t>
  </si>
  <si>
    <t>Capital Ex. Under 4000 (Y1)</t>
  </si>
  <si>
    <t>Capital Ex. Under 4000 (Y2)</t>
  </si>
  <si>
    <t>Capital Ex. Under 4000 (Y3)</t>
  </si>
  <si>
    <t>Under $10,000 (year 1-3)</t>
  </si>
  <si>
    <t>FA3</t>
  </si>
  <si>
    <t>Each FA has at least 1 project approved</t>
  </si>
  <si>
    <t>Number of Approved Project for FA 1</t>
  </si>
  <si>
    <t>Number of Approved Project for FA 2</t>
  </si>
  <si>
    <t>Number of Approved Project for FA 3</t>
  </si>
  <si>
    <t>Total Number of Approved Projoects</t>
  </si>
  <si>
    <t>Functional Area</t>
  </si>
  <si>
    <t>Partnership %</t>
  </si>
  <si>
    <t>Cap Ex. Yr1</t>
  </si>
  <si>
    <t>Cap Ex. Yr2</t>
  </si>
  <si>
    <t>Cap Ex. Yr3</t>
  </si>
  <si>
    <t>New NPV</t>
  </si>
  <si>
    <t>ROI</t>
  </si>
  <si>
    <t>Approval Rating</t>
  </si>
  <si>
    <t>&lt;--Dummy Approval Rating</t>
  </si>
  <si>
    <t>FA 1 Approved Totals:</t>
  </si>
  <si>
    <t>FA 2 Approved Totals:</t>
  </si>
  <si>
    <t>FA 3 Approve Totals:</t>
  </si>
  <si>
    <t>Total Approved NPV:</t>
  </si>
  <si>
    <t xml:space="preserve">Overall Totals for Approved Projects: </t>
  </si>
  <si>
    <t>Approved Cap Ex. Year Totals</t>
  </si>
  <si>
    <t>Year 1</t>
  </si>
  <si>
    <t xml:space="preserve">Year 2 </t>
  </si>
  <si>
    <t>Year 3</t>
  </si>
  <si>
    <t>Are the Conditions Met?</t>
  </si>
  <si>
    <t>Functional Area:</t>
  </si>
  <si>
    <t>FA 1</t>
  </si>
  <si>
    <t>FA 2</t>
  </si>
  <si>
    <t>FA  3</t>
  </si>
  <si>
    <t>% Change in Discount Rate</t>
  </si>
  <si>
    <t>Average</t>
  </si>
  <si>
    <t>Minimum</t>
  </si>
  <si>
    <t>Maximum</t>
  </si>
  <si>
    <t>Constraints</t>
  </si>
  <si>
    <t>Variables:</t>
  </si>
  <si>
    <t>LHS</t>
  </si>
  <si>
    <t>Sign</t>
  </si>
  <si>
    <t>RHS</t>
  </si>
  <si>
    <t>&lt;=</t>
  </si>
  <si>
    <t>&gt;=</t>
  </si>
  <si>
    <t>X</t>
  </si>
  <si>
    <t>Y</t>
  </si>
  <si>
    <t>Variables</t>
  </si>
  <si>
    <t>B</t>
  </si>
  <si>
    <t>Solution</t>
  </si>
  <si>
    <t>X2</t>
  </si>
  <si>
    <t>X3</t>
  </si>
  <si>
    <t>X1</t>
  </si>
  <si>
    <t>Obj. Coeff</t>
  </si>
  <si>
    <t>Constraint 1</t>
  </si>
  <si>
    <t>Constraint 2</t>
  </si>
  <si>
    <t xml:space="preserve">Max </t>
  </si>
  <si>
    <t>PC Tech Company</t>
  </si>
  <si>
    <t>Objective (Max)</t>
  </si>
  <si>
    <t>Objectives?</t>
  </si>
  <si>
    <t>Variables?</t>
  </si>
  <si>
    <t>Constraints?</t>
  </si>
  <si>
    <t>&lt;--enter dummy records</t>
  </si>
  <si>
    <t>at most 600 basics</t>
  </si>
  <si>
    <t>at most 1200 XPs</t>
  </si>
  <si>
    <t>Total:</t>
  </si>
  <si>
    <t>Parts:</t>
  </si>
  <si>
    <t>Assembly hours</t>
  </si>
  <si>
    <t>Testing Hours</t>
  </si>
  <si>
    <t>Labor/Assem:</t>
  </si>
  <si>
    <t>Labor/Testing:</t>
  </si>
  <si>
    <t>for assembly</t>
  </si>
  <si>
    <t>Basic</t>
  </si>
  <si>
    <t>XP</t>
  </si>
  <si>
    <t>Testing</t>
  </si>
  <si>
    <t>Furniture Company</t>
  </si>
  <si>
    <t>T</t>
  </si>
  <si>
    <t>&lt;--Dummy Value</t>
  </si>
  <si>
    <t>Hours of labor cannot exceed 1250</t>
  </si>
  <si>
    <t>Feet of teak used cannot exceed 3600</t>
  </si>
  <si>
    <t>Objective (Max):</t>
  </si>
  <si>
    <t>At least 40% of investment is placed in tech stocks</t>
  </si>
  <si>
    <t>No more than 50% of Munis should be high risk</t>
  </si>
  <si>
    <t>Funds Allocated</t>
  </si>
  <si>
    <t>L.A. Municipal Bond</t>
  </si>
  <si>
    <t>Thompson Electronics</t>
  </si>
  <si>
    <t>United Aerospace Corp.</t>
  </si>
  <si>
    <t>Palmer Technologies</t>
  </si>
  <si>
    <t>HDN Stock (high risk)</t>
  </si>
  <si>
    <t>Muni must be at least 20% of investment</t>
  </si>
  <si>
    <t>X4</t>
  </si>
  <si>
    <t>X5</t>
  </si>
  <si>
    <t>Actual Return:</t>
  </si>
  <si>
    <t>Objective (min)</t>
  </si>
  <si>
    <t>Daily Cost of Feed</t>
  </si>
  <si>
    <t>A must have 5 or more Units</t>
  </si>
  <si>
    <t>B Must have 2 or more Units</t>
  </si>
  <si>
    <t>C Must have 10 or more units</t>
  </si>
  <si>
    <t>D Must have 7 or more units</t>
  </si>
  <si>
    <t>E Must have 6 or more units</t>
  </si>
  <si>
    <t>Total Feed must not be more than 6 lbs</t>
  </si>
  <si>
    <t>Objective (Min)</t>
  </si>
  <si>
    <t>AB</t>
  </si>
  <si>
    <t>AC</t>
  </si>
  <si>
    <t>AE</t>
  </si>
  <si>
    <t>No. of Students to assign from A to HS in B</t>
  </si>
  <si>
    <t>BB</t>
  </si>
  <si>
    <t>BC</t>
  </si>
  <si>
    <t>BE</t>
  </si>
  <si>
    <t>CB</t>
  </si>
  <si>
    <t>CC</t>
  </si>
  <si>
    <t>CE</t>
  </si>
  <si>
    <t>DB</t>
  </si>
  <si>
    <t>DC</t>
  </si>
  <si>
    <t>DE</t>
  </si>
  <si>
    <t>EB</t>
  </si>
  <si>
    <t>EC</t>
  </si>
  <si>
    <t>EE</t>
  </si>
  <si>
    <t>Student Bus Miles:</t>
  </si>
  <si>
    <t>&lt;-- Dummy Numbers</t>
  </si>
  <si>
    <t>&lt;-- Miles Traveled</t>
  </si>
  <si>
    <t>900 in School B</t>
  </si>
  <si>
    <t>900 in School C</t>
  </si>
  <si>
    <t>900 in School E</t>
  </si>
  <si>
    <t>700 In A</t>
  </si>
  <si>
    <t>500 In B</t>
  </si>
  <si>
    <t>100 In C</t>
  </si>
  <si>
    <t>800 in D</t>
  </si>
  <si>
    <t>400 in E</t>
  </si>
  <si>
    <t>=</t>
  </si>
  <si>
    <t>H1</t>
  </si>
  <si>
    <t>F1</t>
  </si>
  <si>
    <t>H2</t>
  </si>
  <si>
    <t>F2</t>
  </si>
  <si>
    <t>H3</t>
  </si>
  <si>
    <t>F3</t>
  </si>
  <si>
    <t>H4</t>
  </si>
  <si>
    <t>F4</t>
  </si>
  <si>
    <t>H5</t>
  </si>
  <si>
    <t>F5</t>
  </si>
  <si>
    <t>Variable</t>
  </si>
  <si>
    <t>costs per driver</t>
  </si>
  <si>
    <t>objective (min)</t>
  </si>
  <si>
    <t>H&amp;F cost</t>
  </si>
  <si>
    <t>total cost</t>
  </si>
  <si>
    <t>drivers at beginning of Y1</t>
  </si>
  <si>
    <t>salary</t>
  </si>
  <si>
    <t>drivers</t>
  </si>
  <si>
    <t>total</t>
  </si>
  <si>
    <t>constraints</t>
  </si>
  <si>
    <t>year 1</t>
  </si>
  <si>
    <t>year 2</t>
  </si>
  <si>
    <t>year 3</t>
  </si>
  <si>
    <t>year 4</t>
  </si>
  <si>
    <t>year 5</t>
  </si>
  <si>
    <t>Nike Factory</t>
  </si>
  <si>
    <t>Obejective (max)</t>
  </si>
  <si>
    <t>S</t>
  </si>
  <si>
    <t>Contraints</t>
  </si>
  <si>
    <t>M &lt;= 42</t>
  </si>
  <si>
    <t>W &lt;= 24</t>
  </si>
  <si>
    <t>1.5M + 3W &lt;= 42</t>
  </si>
  <si>
    <t>3M + 1W &lt;= 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</si>
  <si>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</si>
  <si>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</si>
  <si>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</si>
  <si>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</si>
  <si>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</si>
  <si>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</si>
  <si>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</si>
  <si>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</si>
  <si>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</si>
  <si>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</si>
  <si>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</si>
  <si>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</si>
  <si>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Total NPV:</t>
  </si>
  <si>
    <t>Capex under $10B</t>
  </si>
  <si>
    <t>FA 3</t>
  </si>
  <si>
    <t>Capex 1Y under $4B</t>
  </si>
  <si>
    <t>Capex 2Y under $4B</t>
  </si>
  <si>
    <t>Capex 3Y under $4B</t>
  </si>
  <si>
    <t>(000)s</t>
  </si>
  <si>
    <t>Manager 1</t>
  </si>
  <si>
    <t>Manager 2</t>
  </si>
  <si>
    <t>Manager 3</t>
  </si>
  <si>
    <t>Manager 4</t>
  </si>
  <si>
    <t>Manager 5</t>
  </si>
  <si>
    <t>Manager 6</t>
  </si>
  <si>
    <t>Manager 7</t>
  </si>
  <si>
    <t>Manager 8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</si>
  <si>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</si>
  <si>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</si>
  <si>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</si>
  <si>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</si>
  <si>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</si>
  <si>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</si>
  <si>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</si>
  <si>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</si>
  <si>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</si>
  <si>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</si>
  <si>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</si>
  <si>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</si>
  <si>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Objective(max)</t>
  </si>
  <si>
    <t>Managers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</si>
</sst>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"/>
    <numFmt numFmtId="167" formatCode="_(&quot;$&quot;* #,##0.0_);_(&quot;$&quot;* \(#,##0.0\);_(&quot;$&quot;* &quot;-&quot;?_);_(@_)"/>
    <numFmt numFmtId="168" formatCode="&quot;$&quot;#,##0.00"/>
    <numFmt numFmtId="169" formatCode="_(&quot;$&quot;* #,##0_);_(&quot;$&quot;* \(#,##0\);_(&quot;$&quot;* &quot;-&quot;?_);_(@_)"/>
  </numFmts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8"/>
      <color theme="3"/>
      <name val="Aptos Display"/>
      <family val="2"/>
      <scheme val="major"/>
    </font>
    <font>
      <sz val="12"/>
      <color theme="2" tint="-9.9978637043366805E-2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9C0006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theme="1"/>
      <name val="Aptos Narrow (Body)"/>
    </font>
    <font>
      <sz val="8"/>
      <name val="Aptos Narrow"/>
      <family val="2"/>
      <scheme val="minor"/>
    </font>
    <font>
      <sz val="12"/>
      <color theme="3" tint="0.249977111117893"/>
      <name val="Aptos Narrow"/>
      <scheme val="minor"/>
    </font>
    <font>
      <b/>
      <sz val="16"/>
      <color rgb="FF0F1114"/>
      <name val="Var(--cds-font-family-source-sa"/>
    </font>
    <font>
      <sz val="12"/>
      <color rgb="FF0F1114"/>
      <name val="Aptos Narrow"/>
      <scheme val="minor"/>
    </font>
    <font>
      <sz val="12"/>
      <color theme="1"/>
      <name val="Aptos Display"/>
      <scheme val="major"/>
    </font>
    <font>
      <b/>
      <sz val="12"/>
      <color rgb="FF0F1114"/>
      <name val="Aptos Display"/>
      <scheme val="major"/>
    </font>
    <font>
      <sz val="12"/>
      <color rgb="FF0F1114"/>
      <name val="Aptos Display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1" fillId="11" borderId="0" applyNumberFormat="0" applyBorder="0" applyAlignment="0" applyProtection="0"/>
    <xf numFmtId="0" fontId="12" fillId="12" borderId="37" applyNumberFormat="0" applyAlignment="0" applyProtection="0"/>
    <xf numFmtId="0" fontId="1" fillId="13" borderId="0" applyNumberFormat="0" applyBorder="0" applyAlignment="0" applyProtection="0"/>
  </cellStyleXfs>
  <cellXfs count="213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indent="5"/>
    </xf>
    <xf numFmtId="0" fontId="0" fillId="2" borderId="0" xfId="1" applyNumberFormat="1" applyFont="1" applyFill="1"/>
    <xf numFmtId="0" fontId="3" fillId="0" borderId="0" xfId="0" applyFont="1" applyAlignment="1">
      <alignment horizontal="right"/>
    </xf>
    <xf numFmtId="44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44" fontId="3" fillId="0" borderId="0" xfId="1" applyFont="1" applyAlignment="1">
      <alignment horizontal="center"/>
    </xf>
    <xf numFmtId="44" fontId="0" fillId="0" borderId="2" xfId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0" fontId="0" fillId="2" borderId="0" xfId="2" applyNumberFormat="1" applyFont="1" applyFill="1"/>
    <xf numFmtId="44" fontId="0" fillId="0" borderId="0" xfId="1" applyFont="1"/>
    <xf numFmtId="0" fontId="0" fillId="0" borderId="0" xfId="0" applyAlignment="1">
      <alignment horizontal="right"/>
    </xf>
    <xf numFmtId="44" fontId="0" fillId="0" borderId="0" xfId="0" applyNumberForma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6" xfId="0" applyBorder="1" applyAlignment="1">
      <alignment horizontal="right"/>
    </xf>
    <xf numFmtId="44" fontId="0" fillId="0" borderId="0" xfId="1" applyFont="1" applyBorder="1"/>
    <xf numFmtId="44" fontId="0" fillId="0" borderId="7" xfId="0" applyNumberFormat="1" applyBorder="1"/>
    <xf numFmtId="0" fontId="0" fillId="0" borderId="8" xfId="0" applyBorder="1" applyAlignment="1">
      <alignment horizontal="right"/>
    </xf>
    <xf numFmtId="164" fontId="0" fillId="0" borderId="9" xfId="1" applyNumberFormat="1" applyFont="1" applyBorder="1"/>
    <xf numFmtId="0" fontId="0" fillId="0" borderId="9" xfId="0" applyBorder="1" applyAlignment="1">
      <alignment horizontal="center"/>
    </xf>
    <xf numFmtId="44" fontId="0" fillId="0" borderId="10" xfId="0" applyNumberFormat="1" applyBorder="1"/>
    <xf numFmtId="0" fontId="3" fillId="0" borderId="11" xfId="0" applyFont="1" applyBorder="1"/>
    <xf numFmtId="10" fontId="0" fillId="0" borderId="12" xfId="0" applyNumberFormat="1" applyBorder="1"/>
    <xf numFmtId="10" fontId="0" fillId="0" borderId="13" xfId="0" applyNumberFormat="1" applyBorder="1"/>
    <xf numFmtId="0" fontId="3" fillId="0" borderId="2" xfId="0" applyFont="1" applyBorder="1"/>
    <xf numFmtId="0" fontId="0" fillId="0" borderId="2" xfId="0" applyBorder="1"/>
    <xf numFmtId="44" fontId="3" fillId="0" borderId="2" xfId="1" applyFont="1" applyBorder="1"/>
    <xf numFmtId="44" fontId="0" fillId="0" borderId="2" xfId="1" applyFont="1" applyBorder="1"/>
    <xf numFmtId="0" fontId="2" fillId="0" borderId="1" xfId="3" applyAlignment="1"/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0" fontId="0" fillId="3" borderId="0" xfId="0" applyFill="1"/>
    <xf numFmtId="165" fontId="0" fillId="3" borderId="0" xfId="2" applyNumberFormat="1" applyFont="1" applyFill="1"/>
    <xf numFmtId="10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44" fontId="6" fillId="4" borderId="0" xfId="0" applyNumberFormat="1" applyFont="1" applyFill="1"/>
    <xf numFmtId="10" fontId="0" fillId="3" borderId="0" xfId="2" applyNumberFormat="1" applyFont="1" applyFill="1"/>
    <xf numFmtId="1" fontId="0" fillId="0" borderId="0" xfId="0" applyNumberFormat="1"/>
    <xf numFmtId="0" fontId="2" fillId="0" borderId="1" xfId="3"/>
    <xf numFmtId="44" fontId="6" fillId="0" borderId="0" xfId="0" applyNumberFormat="1" applyFont="1"/>
    <xf numFmtId="0" fontId="0" fillId="3" borderId="0" xfId="0" applyFill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1" applyNumberFormat="1" applyFont="1" applyBorder="1"/>
    <xf numFmtId="44" fontId="0" fillId="0" borderId="2" xfId="0" applyNumberFormat="1" applyBorder="1"/>
    <xf numFmtId="44" fontId="6" fillId="0" borderId="2" xfId="0" applyNumberFormat="1" applyFont="1" applyBorder="1"/>
    <xf numFmtId="44" fontId="0" fillId="0" borderId="0" xfId="1" applyFont="1" applyAlignment="1">
      <alignment horizontal="right"/>
    </xf>
    <xf numFmtId="44" fontId="6" fillId="0" borderId="2" xfId="1" applyFont="1" applyBorder="1"/>
    <xf numFmtId="1" fontId="0" fillId="3" borderId="0" xfId="0" applyNumberFormat="1" applyFill="1"/>
    <xf numFmtId="0" fontId="5" fillId="0" borderId="0" xfId="4"/>
    <xf numFmtId="9" fontId="0" fillId="3" borderId="0" xfId="0" applyNumberFormat="1" applyFill="1"/>
    <xf numFmtId="9" fontId="0" fillId="0" borderId="2" xfId="0" applyNumberFormat="1" applyBorder="1"/>
    <xf numFmtId="164" fontId="0" fillId="0" borderId="2" xfId="1" applyNumberFormat="1" applyFont="1" applyBorder="1"/>
    <xf numFmtId="166" fontId="0" fillId="3" borderId="0" xfId="0" applyNumberFormat="1" applyFill="1" applyAlignment="1">
      <alignment horizontal="right"/>
    </xf>
    <xf numFmtId="0" fontId="0" fillId="0" borderId="2" xfId="0" applyBorder="1" applyAlignment="1">
      <alignment horizontal="right"/>
    </xf>
    <xf numFmtId="1" fontId="0" fillId="0" borderId="2" xfId="0" applyNumberFormat="1" applyBorder="1"/>
    <xf numFmtId="166" fontId="0" fillId="0" borderId="2" xfId="0" applyNumberFormat="1" applyBorder="1"/>
    <xf numFmtId="165" fontId="0" fillId="0" borderId="2" xfId="2" applyNumberFormat="1" applyFont="1" applyBorder="1"/>
    <xf numFmtId="9" fontId="0" fillId="0" borderId="2" xfId="2" applyFont="1" applyBorder="1"/>
    <xf numFmtId="0" fontId="7" fillId="0" borderId="2" xfId="0" applyFont="1" applyBorder="1"/>
    <xf numFmtId="44" fontId="0" fillId="5" borderId="0" xfId="1" applyFont="1" applyFill="1"/>
    <xf numFmtId="44" fontId="8" fillId="0" borderId="0" xfId="0" applyNumberFormat="1" applyFont="1"/>
    <xf numFmtId="165" fontId="0" fillId="5" borderId="0" xfId="2" applyNumberFormat="1" applyFont="1" applyFill="1"/>
    <xf numFmtId="164" fontId="8" fillId="0" borderId="2" xfId="1" applyNumberFormat="1" applyFont="1" applyBorder="1"/>
    <xf numFmtId="0" fontId="0" fillId="0" borderId="24" xfId="0" applyBorder="1" applyAlignment="1">
      <alignment horizontal="center"/>
    </xf>
    <xf numFmtId="166" fontId="0" fillId="0" borderId="24" xfId="0" applyNumberFormat="1" applyBorder="1"/>
    <xf numFmtId="165" fontId="0" fillId="0" borderId="21" xfId="2" applyNumberFormat="1" applyFont="1" applyFill="1" applyBorder="1"/>
    <xf numFmtId="164" fontId="0" fillId="0" borderId="2" xfId="0" applyNumberFormat="1" applyBorder="1"/>
    <xf numFmtId="164" fontId="0" fillId="0" borderId="2" xfId="0" applyNumberFormat="1" applyBorder="1" applyAlignment="1">
      <alignment horizontal="center"/>
    </xf>
    <xf numFmtId="167" fontId="0" fillId="0" borderId="2" xfId="0" applyNumberFormat="1" applyBorder="1"/>
    <xf numFmtId="0" fontId="0" fillId="5" borderId="2" xfId="0" applyFill="1" applyBorder="1"/>
    <xf numFmtId="8" fontId="0" fillId="0" borderId="0" xfId="0" applyNumberFormat="1"/>
    <xf numFmtId="0" fontId="9" fillId="6" borderId="2" xfId="0" applyFont="1" applyFill="1" applyBorder="1" applyAlignment="1">
      <alignment horizontal="center"/>
    </xf>
    <xf numFmtId="168" fontId="9" fillId="6" borderId="2" xfId="1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8" fontId="0" fillId="0" borderId="2" xfId="1" applyNumberFormat="1" applyFont="1" applyBorder="1" applyAlignment="1">
      <alignment horizontal="center"/>
    </xf>
    <xf numFmtId="168" fontId="0" fillId="0" borderId="2" xfId="0" applyNumberFormat="1" applyBorder="1"/>
    <xf numFmtId="164" fontId="0" fillId="3" borderId="0" xfId="1" applyNumberFormat="1" applyFont="1" applyFill="1"/>
    <xf numFmtId="167" fontId="0" fillId="0" borderId="0" xfId="0" applyNumberFormat="1"/>
    <xf numFmtId="44" fontId="7" fillId="0" borderId="18" xfId="1" applyFont="1" applyBorder="1"/>
    <xf numFmtId="165" fontId="0" fillId="0" borderId="17" xfId="2" applyNumberFormat="1" applyFont="1" applyBorder="1"/>
    <xf numFmtId="0" fontId="3" fillId="0" borderId="23" xfId="0" applyFont="1" applyBorder="1"/>
    <xf numFmtId="0" fontId="0" fillId="0" borderId="25" xfId="0" applyBorder="1"/>
    <xf numFmtId="0" fontId="3" fillId="0" borderId="25" xfId="0" applyFont="1" applyBorder="1"/>
    <xf numFmtId="0" fontId="0" fillId="0" borderId="22" xfId="0" applyBorder="1"/>
    <xf numFmtId="44" fontId="7" fillId="0" borderId="20" xfId="1" applyFont="1" applyBorder="1"/>
    <xf numFmtId="166" fontId="0" fillId="0" borderId="26" xfId="0" applyNumberFormat="1" applyBorder="1"/>
    <xf numFmtId="0" fontId="7" fillId="0" borderId="26" xfId="0" applyFont="1" applyBorder="1"/>
    <xf numFmtId="165" fontId="0" fillId="0" borderId="26" xfId="2" applyNumberFormat="1" applyFont="1" applyBorder="1"/>
    <xf numFmtId="165" fontId="0" fillId="0" borderId="19" xfId="2" applyNumberFormat="1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0" fillId="7" borderId="30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9" fontId="0" fillId="7" borderId="25" xfId="0" applyNumberFormat="1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9" fontId="0" fillId="7" borderId="2" xfId="0" applyNumberFormat="1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9" fontId="0" fillId="8" borderId="2" xfId="0" applyNumberFormat="1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9" fontId="0" fillId="9" borderId="2" xfId="0" applyNumberFormat="1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9" fontId="0" fillId="9" borderId="35" xfId="0" applyNumberFormat="1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9" fontId="0" fillId="0" borderId="2" xfId="2" applyFont="1" applyFill="1" applyBorder="1"/>
    <xf numFmtId="0" fontId="0" fillId="3" borderId="2" xfId="0" applyFill="1" applyBorder="1"/>
    <xf numFmtId="164" fontId="3" fillId="0" borderId="2" xfId="1" applyNumberFormat="1" applyFont="1" applyFill="1" applyBorder="1"/>
    <xf numFmtId="0" fontId="3" fillId="0" borderId="0" xfId="0" applyFont="1" applyAlignment="1">
      <alignment horizontal="left" indent="1"/>
    </xf>
    <xf numFmtId="164" fontId="3" fillId="0" borderId="2" xfId="0" applyNumberFormat="1" applyFont="1" applyBorder="1"/>
    <xf numFmtId="164" fontId="3" fillId="0" borderId="2" xfId="1" applyNumberFormat="1" applyFont="1" applyBorder="1"/>
    <xf numFmtId="0" fontId="3" fillId="0" borderId="0" xfId="0" applyFont="1" applyAlignment="1">
      <alignment horizontal="right" indent="1"/>
    </xf>
    <xf numFmtId="0" fontId="3" fillId="0" borderId="21" xfId="0" applyFont="1" applyBorder="1" applyAlignment="1">
      <alignment horizontal="center"/>
    </xf>
    <xf numFmtId="164" fontId="0" fillId="10" borderId="0" xfId="0" applyNumberFormat="1" applyFill="1"/>
    <xf numFmtId="9" fontId="6" fillId="0" borderId="2" xfId="2" applyFont="1" applyFill="1" applyBorder="1"/>
    <xf numFmtId="9" fontId="6" fillId="0" borderId="2" xfId="2" applyFont="1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 vertical="center"/>
    </xf>
    <xf numFmtId="44" fontId="13" fillId="0" borderId="2" xfId="1" applyFont="1" applyBorder="1"/>
    <xf numFmtId="9" fontId="13" fillId="5" borderId="2" xfId="0" applyNumberFormat="1" applyFont="1" applyFill="1" applyBorder="1"/>
    <xf numFmtId="0" fontId="0" fillId="0" borderId="2" xfId="0" applyBorder="1" applyAlignment="1">
      <alignment horizontal="left"/>
    </xf>
    <xf numFmtId="0" fontId="11" fillId="0" borderId="0" xfId="5" applyFill="1"/>
    <xf numFmtId="0" fontId="14" fillId="0" borderId="0" xfId="6" applyFont="1" applyFill="1" applyBorder="1"/>
    <xf numFmtId="0" fontId="14" fillId="0" borderId="2" xfId="6" applyFont="1" applyFill="1" applyBorder="1"/>
    <xf numFmtId="0" fontId="11" fillId="0" borderId="0" xfId="5" applyFill="1" applyBorder="1"/>
    <xf numFmtId="0" fontId="0" fillId="9" borderId="0" xfId="0" applyFill="1" applyAlignment="1">
      <alignment horizontal="center"/>
    </xf>
    <xf numFmtId="0" fontId="0" fillId="15" borderId="2" xfId="0" applyFill="1" applyBorder="1"/>
    <xf numFmtId="0" fontId="0" fillId="0" borderId="17" xfId="0" applyBorder="1"/>
    <xf numFmtId="0" fontId="0" fillId="0" borderId="0" xfId="0" applyAlignment="1">
      <alignment horizontal="left" indent="1"/>
    </xf>
    <xf numFmtId="44" fontId="0" fillId="10" borderId="0" xfId="1" applyFont="1" applyFill="1"/>
    <xf numFmtId="164" fontId="0" fillId="10" borderId="0" xfId="1" applyNumberFormat="1" applyFont="1" applyFill="1"/>
    <xf numFmtId="164" fontId="13" fillId="0" borderId="0" xfId="1" applyNumberFormat="1" applyFont="1"/>
    <xf numFmtId="169" fontId="0" fillId="0" borderId="2" xfId="0" applyNumberFormat="1" applyBorder="1"/>
    <xf numFmtId="10" fontId="0" fillId="0" borderId="0" xfId="2" applyNumberFormat="1" applyFont="1"/>
    <xf numFmtId="44" fontId="0" fillId="3" borderId="0" xfId="1" applyFont="1" applyFill="1"/>
    <xf numFmtId="0" fontId="0" fillId="14" borderId="0" xfId="0" applyFill="1"/>
    <xf numFmtId="2" fontId="0" fillId="0" borderId="2" xfId="0" applyNumberFormat="1" applyBorder="1" applyAlignment="1">
      <alignment horizontal="center"/>
    </xf>
    <xf numFmtId="2" fontId="0" fillId="3" borderId="0" xfId="0" applyNumberFormat="1" applyFill="1"/>
    <xf numFmtId="44" fontId="0" fillId="14" borderId="0" xfId="1" applyFont="1" applyFill="1"/>
    <xf numFmtId="164" fontId="0" fillId="14" borderId="0" xfId="1" applyNumberFormat="1" applyFont="1" applyFill="1"/>
    <xf numFmtId="164" fontId="0" fillId="0" borderId="0" xfId="1" applyNumberFormat="1" applyFont="1" applyFill="1" applyBorder="1"/>
    <xf numFmtId="164" fontId="0" fillId="0" borderId="0" xfId="1" applyNumberFormat="1" applyFont="1" applyFill="1" applyBorder="1" applyAlignment="1">
      <alignment horizontal="center"/>
    </xf>
    <xf numFmtId="0" fontId="3" fillId="0" borderId="0" xfId="7" applyFont="1" applyFill="1" applyBorder="1"/>
    <xf numFmtId="44" fontId="0" fillId="0" borderId="0" xfId="1" applyFont="1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64" fontId="11" fillId="11" borderId="0" xfId="5" applyNumberFormat="1" applyBorder="1"/>
    <xf numFmtId="1" fontId="0" fillId="3" borderId="0" xfId="0" applyNumberForma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vertical="center" textRotation="90"/>
    </xf>
    <xf numFmtId="0" fontId="19" fillId="0" borderId="2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19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" fillId="0" borderId="1" xfId="3" applyAlignment="1">
      <alignment horizontal="center"/>
    </xf>
    <xf numFmtId="0" fontId="2" fillId="0" borderId="0" xfId="3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4" xfId="0" applyFont="1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 vertical="center" textRotation="90"/>
    </xf>
    <xf numFmtId="0" fontId="5" fillId="0" borderId="0" xfId="4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3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Alignment="1">
      <alignment horizontal="right" indent="1"/>
    </xf>
    <xf numFmtId="0" fontId="3" fillId="0" borderId="2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/>
    </xf>
  </cellXfs>
  <cellStyles count="8">
    <cellStyle name="20% - Accent1" xfId="7" builtinId="30"/>
    <cellStyle name="Bad" xfId="5" builtinId="27"/>
    <cellStyle name="Check Cell" xfId="6" builtinId="23"/>
    <cellStyle name="Currency" xfId="1" builtinId="4"/>
    <cellStyle name="Heading 1" xfId="3" builtinId="16"/>
    <cellStyle name="Normal" xfId="0" builtinId="0"/>
    <cellStyle name="Percent" xfId="2" builtinId="5"/>
    <cellStyle name="Title" xfId="4" builtinId="15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0892388451444"/>
          <c:y val="0.15505796150481191"/>
          <c:w val="0.83644663167104116"/>
          <c:h val="0.61537766112569259"/>
        </c:manualLayout>
      </c:layout>
      <c:lineChart>
        <c:grouping val="standard"/>
        <c:varyColors val="0"/>
        <c:ser>
          <c:idx val="3"/>
          <c:order val="0"/>
          <c:tx>
            <c:strRef>
              <c:f>'Woodworks Bookshelf Co.'!$E$15</c:f>
              <c:strCache>
                <c:ptCount val="1"/>
                <c:pt idx="0">
                  <c:v>Total Cherry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'Woodworks Bookshelf Co.'!$A$16:$A$21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'Woodworks Bookshelf Co.'!$E$16:$E$21</c:f>
              <c:numCache>
                <c:formatCode>_("$"* #,##0.00_);_("$"* \(#,##0.00\);_("$"* "-"??_);_(@_)</c:formatCode>
                <c:ptCount val="6"/>
                <c:pt idx="0">
                  <c:v>461</c:v>
                </c:pt>
                <c:pt idx="1">
                  <c:v>469.4</c:v>
                </c:pt>
                <c:pt idx="2">
                  <c:v>477.96163999999999</c:v>
                </c:pt>
                <c:pt idx="3">
                  <c:v>486.68819995999996</c:v>
                </c:pt>
                <c:pt idx="4">
                  <c:v>495.58302956803993</c:v>
                </c:pt>
                <c:pt idx="5">
                  <c:v>504.64954977880791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74-B04B-9B9B-24BFE6F4E36F}"/>
            </c:ext>
          </c:extLst>
        </c:ser>
        <c:ser>
          <c:idx val="4"/>
          <c:order val="1"/>
          <c:tx>
            <c:strRef>
              <c:f>'Woodworks Bookshelf Co.'!$F$15</c:f>
              <c:strCache>
                <c:ptCount val="1"/>
                <c:pt idx="0">
                  <c:v>Total Oak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'Woodworks Bookshelf Co.'!$A$16:$A$21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'Woodworks Bookshelf Co.'!$F$16:$F$21</c:f>
              <c:numCache>
                <c:formatCode>_("$"* #,##0.00_);_("$"* \(#,##0.00\);_("$"* "-"??_);_(@_)</c:formatCode>
                <c:ptCount val="6"/>
                <c:pt idx="0">
                  <c:v>425</c:v>
                </c:pt>
                <c:pt idx="1">
                  <c:v>431.63299999999998</c:v>
                </c:pt>
                <c:pt idx="2">
                  <c:v>438.36988099999996</c:v>
                </c:pt>
                <c:pt idx="3">
                  <c:v>445.21227577699995</c:v>
                </c:pt>
                <c:pt idx="4">
                  <c:v>452.16184286720886</c:v>
                </c:pt>
                <c:pt idx="5">
                  <c:v>459.22026697398138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74-B04B-9B9B-24BFE6F4E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187439"/>
        <c:axId val="1515119103"/>
      </c:lineChart>
      <c:catAx>
        <c:axId val="151518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19103"/>
        <c:crosses val="autoZero"/>
        <c:auto val="1"/>
        <c:lblAlgn val="ctr"/>
        <c:lblOffset val="100"/>
        <c:noMultiLvlLbl val="0"/>
      </c:catAx>
      <c:valAx>
        <c:axId val="15151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8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</a:t>
            </a:r>
            <a:r>
              <a:rPr lang="en-US" baseline="0"/>
              <a:t> Costs Per Pair of Jeans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'Petrol Assignment'!$E$12</c:f>
              <c:strCache>
                <c:ptCount val="1"/>
                <c:pt idx="0">
                  <c:v> Pair of Jeans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'Petrol Assignment'!$A$13:$A$18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'Petrol Assignment'!$E$13:$E$18</c:f>
              <c:numCache>
                <c:formatCode>_("$"* #,##0.00_);_("$"* \(#,##0.00\);_("$"* "-"??_);_(@_)</c:formatCode>
                <c:ptCount val="6"/>
                <c:pt idx="0">
                  <c:v>57.4</c:v>
                </c:pt>
                <c:pt idx="1">
                  <c:v>58.832199999999993</c:v>
                </c:pt>
                <c:pt idx="2">
                  <c:v>60.300219999999989</c:v>
                </c:pt>
                <c:pt idx="3">
                  <c:v>61.804957929999979</c:v>
                </c:pt>
                <c:pt idx="4">
                  <c:v>63.347334280749969</c:v>
                </c:pt>
                <c:pt idx="5">
                  <c:v>64.928292671935708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AF-D94D-8572-5D22C9E0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18911"/>
        <c:axId val="133720623"/>
      </c:lineChart>
      <c:catAx>
        <c:axId val="13371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44790608745708355"/>
              <c:y val="0.88387652630377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0623"/>
        <c:crosses val="autoZero"/>
        <c:auto val="1"/>
        <c:lblAlgn val="ctr"/>
        <c:lblOffset val="100"/>
        <c:noMultiLvlLbl val="0"/>
      </c:catAx>
      <c:valAx>
        <c:axId val="1337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Quality</a:t>
            </a:r>
            <a:r>
              <a:rPr lang="en-US" baseline="0"/>
              <a:t> Sweater Company: Response Rate vs Profit</a:t>
            </a:r>
            <a:endParaRPr lang="en-US"/>
          </a:p>
        </c:rich>
      </c:tx>
      <c:layout>
        <c:manualLayout>
          <c:xMode val="edge"/>
          <c:yMode val="edge"/>
          <c:x val="0.13727499512365385"/>
          <c:y val="1.8656716417910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'Quality Sweater Company'!$H$7:$H$18</c:f>
              <c:numCache>
                <c:formatCode>0.0%</c:formatCode>
                <c:ptCount val="12"/>
                <c:pt idx="0">
                  <c:v>0.03</c:v>
                </c:pt>
                <c:pt idx="1">
                  <c:v>3.5000000000000003E-2</c:v>
                </c:pt>
                <c:pt idx="2">
                  <c:v>0.04</c:v>
                </c:pt>
                <c:pt idx="3">
                  <c:v>4.4999999999999998E-2</c:v>
                </c:pt>
                <c:pt idx="4">
                  <c:v>0.05</c:v>
                </c:pt>
                <c:pt idx="5">
                  <c:v>5.5E-2</c:v>
                </c:pt>
                <c:pt idx="6">
                  <c:v>0.06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7.4999999999999997E-2</c:v>
                </c:pt>
                <c:pt idx="10">
                  <c:v>0.08</c:v>
                </c:pt>
                <c:pt idx="11">
                  <c:v>8.5000000000000006E-2</c:v>
                </c:pt>
              </c:numCache>
            </c:numRef>
          </c:cat>
          <c:val>
            <c:numRef>
              <c:f>'Quality Sweater Company'!$I$7:$I$18</c:f>
              <c:numCache>
                <c:formatCode>_("$"* #,##0.00_);_("$"* \(#,##0.00\);_("$"* "-"??_);_(@_)</c:formatCode>
                <c:ptCount val="12"/>
                <c:pt idx="0">
                  <c:v>-21600</c:v>
                </c:pt>
                <c:pt idx="1">
                  <c:v>-17700</c:v>
                </c:pt>
                <c:pt idx="2">
                  <c:v>-13800</c:v>
                </c:pt>
                <c:pt idx="3">
                  <c:v>-9900</c:v>
                </c:pt>
                <c:pt idx="4">
                  <c:v>-6000</c:v>
                </c:pt>
                <c:pt idx="5">
                  <c:v>-2100.0000000000291</c:v>
                </c:pt>
                <c:pt idx="6">
                  <c:v>1799.9999999999709</c:v>
                </c:pt>
                <c:pt idx="7">
                  <c:v>5699.9999999999709</c:v>
                </c:pt>
                <c:pt idx="8">
                  <c:v>9600</c:v>
                </c:pt>
                <c:pt idx="9">
                  <c:v>13500</c:v>
                </c:pt>
                <c:pt idx="10">
                  <c:v>17400</c:v>
                </c:pt>
                <c:pt idx="11">
                  <c:v>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D-AB42-8CE4-00A24109A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343439"/>
        <c:axId val="15536495"/>
      </c:barChart>
      <c:catAx>
        <c:axId val="465343439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495"/>
        <c:crosses val="autoZero"/>
        <c:auto val="1"/>
        <c:lblAlgn val="ctr"/>
        <c:lblOffset val="100"/>
        <c:noMultiLvlLbl val="0"/>
      </c:catAx>
      <c:valAx>
        <c:axId val="155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3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vs Demand</a:t>
            </a:r>
            <a:endParaRPr lang="en-US"/>
          </a:p>
        </c:rich>
      </c:tx>
      <c:layout>
        <c:manualLayout>
          <c:xMode val="edge"/>
          <c:yMode val="edge"/>
          <c:x val="0.333463268365817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 19th Hole'!$C$3</c:f>
              <c:strCache>
                <c:ptCount val="1"/>
                <c:pt idx="0">
                  <c:v>Demand (00s)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8240083850904774E-2"/>
                  <c:y val="-0.58334426946631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9.1782438086328313E-2"/>
                  <c:y val="-0.48950933216681247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6.3784551683514726E-2"/>
                  <c:y val="-0.422179571303587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'The 19th Hole'!$B$4:$B$15</c:f>
              <c:numCache>
                <c:formatCode>General</c:formatCode>
                <c:ptCount val="12"/>
                <c:pt idx="0">
                  <c:v>450</c:v>
                </c:pt>
                <c:pt idx="1">
                  <c:v>300</c:v>
                </c:pt>
                <c:pt idx="2">
                  <c:v>440</c:v>
                </c:pt>
                <c:pt idx="3">
                  <c:v>360</c:v>
                </c:pt>
                <c:pt idx="4">
                  <c:v>290</c:v>
                </c:pt>
                <c:pt idx="5">
                  <c:v>450</c:v>
                </c:pt>
                <c:pt idx="6">
                  <c:v>340</c:v>
                </c:pt>
                <c:pt idx="7">
                  <c:v>370</c:v>
                </c:pt>
                <c:pt idx="8">
                  <c:v>500</c:v>
                </c:pt>
                <c:pt idx="9">
                  <c:v>490</c:v>
                </c:pt>
                <c:pt idx="10">
                  <c:v>430</c:v>
                </c:pt>
                <c:pt idx="11">
                  <c:v>390</c:v>
                </c:pt>
              </c:numCache>
            </c:numRef>
          </c:xVal>
          <c:yVal>
            <c:numRef>
              <c:f>'The 19th Hole'!$C$4:$C$15</c:f>
              <c:numCache>
                <c:formatCode>General</c:formatCode>
                <c:ptCount val="12"/>
                <c:pt idx="0">
                  <c:v>45</c:v>
                </c:pt>
                <c:pt idx="1">
                  <c:v>103</c:v>
                </c:pt>
                <c:pt idx="2">
                  <c:v>49</c:v>
                </c:pt>
                <c:pt idx="3">
                  <c:v>86</c:v>
                </c:pt>
                <c:pt idx="4">
                  <c:v>125</c:v>
                </c:pt>
                <c:pt idx="5">
                  <c:v>52</c:v>
                </c:pt>
                <c:pt idx="6">
                  <c:v>87</c:v>
                </c:pt>
                <c:pt idx="7">
                  <c:v>68</c:v>
                </c:pt>
                <c:pt idx="8">
                  <c:v>45</c:v>
                </c:pt>
                <c:pt idx="9">
                  <c:v>44</c:v>
                </c:pt>
                <c:pt idx="10">
                  <c:v>58</c:v>
                </c:pt>
                <c:pt idx="11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2D-724D-B1F3-4DD58129A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504768"/>
        <c:axId val="1931107664"/>
      </c:scatterChart>
      <c:valAx>
        <c:axId val="193050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07664"/>
        <c:crosses val="autoZero"/>
        <c:crossBetween val="midCat"/>
      </c:valAx>
      <c:valAx>
        <c:axId val="19311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(00s)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0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vs Profit</a:t>
            </a:r>
            <a:endParaRPr lang="en-US"/>
          </a:p>
        </c:rich>
      </c:tx>
      <c:layout>
        <c:manualLayout>
          <c:xMode val="edge"/>
          <c:yMode val="edge"/>
          <c:x val="0.4340901137357829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 19th Hole'!$F$43:$F$77</c:f>
              <c:numCache>
                <c:formatCode>_("$"* #,##0_);_("$"* \(#,##0\);_("$"* "-"??_);_(@_)</c:formatCode>
                <c:ptCount val="35"/>
                <c:pt idx="0">
                  <c:v>260</c:v>
                </c:pt>
                <c:pt idx="1">
                  <c:v>270</c:v>
                </c:pt>
                <c:pt idx="2">
                  <c:v>280</c:v>
                </c:pt>
                <c:pt idx="3">
                  <c:v>290</c:v>
                </c:pt>
                <c:pt idx="4">
                  <c:v>300</c:v>
                </c:pt>
                <c:pt idx="5">
                  <c:v>310</c:v>
                </c:pt>
                <c:pt idx="6">
                  <c:v>320</c:v>
                </c:pt>
                <c:pt idx="7">
                  <c:v>330</c:v>
                </c:pt>
                <c:pt idx="8">
                  <c:v>340</c:v>
                </c:pt>
                <c:pt idx="9">
                  <c:v>350</c:v>
                </c:pt>
                <c:pt idx="10">
                  <c:v>360</c:v>
                </c:pt>
                <c:pt idx="11">
                  <c:v>370</c:v>
                </c:pt>
                <c:pt idx="12">
                  <c:v>380</c:v>
                </c:pt>
                <c:pt idx="13">
                  <c:v>390</c:v>
                </c:pt>
                <c:pt idx="14">
                  <c:v>400</c:v>
                </c:pt>
                <c:pt idx="15">
                  <c:v>410</c:v>
                </c:pt>
                <c:pt idx="16">
                  <c:v>420</c:v>
                </c:pt>
                <c:pt idx="17">
                  <c:v>430</c:v>
                </c:pt>
                <c:pt idx="18">
                  <c:v>440</c:v>
                </c:pt>
                <c:pt idx="19">
                  <c:v>450</c:v>
                </c:pt>
                <c:pt idx="20">
                  <c:v>460</c:v>
                </c:pt>
                <c:pt idx="21">
                  <c:v>470</c:v>
                </c:pt>
                <c:pt idx="22">
                  <c:v>480</c:v>
                </c:pt>
                <c:pt idx="23">
                  <c:v>490</c:v>
                </c:pt>
                <c:pt idx="24">
                  <c:v>500</c:v>
                </c:pt>
                <c:pt idx="25">
                  <c:v>510</c:v>
                </c:pt>
                <c:pt idx="26">
                  <c:v>520</c:v>
                </c:pt>
                <c:pt idx="27">
                  <c:v>530</c:v>
                </c:pt>
                <c:pt idx="28">
                  <c:v>540</c:v>
                </c:pt>
                <c:pt idx="29">
                  <c:v>550</c:v>
                </c:pt>
                <c:pt idx="30">
                  <c:v>560</c:v>
                </c:pt>
                <c:pt idx="31">
                  <c:v>570</c:v>
                </c:pt>
                <c:pt idx="32">
                  <c:v>580</c:v>
                </c:pt>
                <c:pt idx="33">
                  <c:v>590</c:v>
                </c:pt>
                <c:pt idx="34">
                  <c:v>600</c:v>
                </c:pt>
              </c:numCache>
            </c:numRef>
          </c:xVal>
          <c:yVal>
            <c:numRef>
              <c:f>'The 19th Hole'!$G$43:$G$77</c:f>
              <c:numCache>
                <c:formatCode>_("$"* #,##0_);_("$"* \(#,##0\);_("$"* "-"??_);_(@_)</c:formatCode>
                <c:ptCount val="35"/>
                <c:pt idx="0">
                  <c:v>144859.72842847556</c:v>
                </c:pt>
                <c:pt idx="1">
                  <c:v>269590.60184817808</c:v>
                </c:pt>
                <c:pt idx="2">
                  <c:v>377277.18719872413</c:v>
                </c:pt>
                <c:pt idx="3">
                  <c:v>470458.61526328744</c:v>
                </c:pt>
                <c:pt idx="4">
                  <c:v>551238.40185229108</c:v>
                </c:pt>
                <c:pt idx="5">
                  <c:v>621369.53021456813</c:v>
                </c:pt>
                <c:pt idx="6">
                  <c:v>682320.93416212313</c:v>
                </c:pt>
                <c:pt idx="7">
                  <c:v>735329.86392835062</c:v>
                </c:pt>
                <c:pt idx="8">
                  <c:v>781443.44106265297</c:v>
                </c:pt>
                <c:pt idx="9">
                  <c:v>821551.86522268457</c:v>
                </c:pt>
                <c:pt idx="10">
                  <c:v>856415.12424477958</c:v>
                </c:pt>
                <c:pt idx="11">
                  <c:v>886684.61116254725</c:v>
                </c:pt>
                <c:pt idx="12">
                  <c:v>912920.72098907013</c:v>
                </c:pt>
                <c:pt idx="13">
                  <c:v>935607.253438466</c:v>
                </c:pt>
                <c:pt idx="14">
                  <c:v>955163.26238462282</c:v>
                </c:pt>
                <c:pt idx="15">
                  <c:v>971952.85243747453</c:v>
                </c:pt>
                <c:pt idx="16">
                  <c:v>986293.31587235699</c:v>
                </c:pt>
                <c:pt idx="17">
                  <c:v>998461.92082203622</c:v>
                </c:pt>
                <c:pt idx="18">
                  <c:v>1008701.5979665397</c:v>
                </c:pt>
                <c:pt idx="19">
                  <c:v>1017225.7233983984</c:v>
                </c:pt>
                <c:pt idx="20">
                  <c:v>1024222.1565401531</c:v>
                </c:pt>
                <c:pt idx="21">
                  <c:v>1029856.6614397548</c:v>
                </c:pt>
                <c:pt idx="22">
                  <c:v>1034275.8155834542</c:v>
                </c:pt>
                <c:pt idx="23">
                  <c:v>1037609.4911199291</c:v>
                </c:pt>
                <c:pt idx="24">
                  <c:v>1039972.9779989794</c:v>
                </c:pt>
                <c:pt idx="25">
                  <c:v>1041468.8061629091</c:v>
                </c:pt>
                <c:pt idx="26">
                  <c:v>1042188.3139489595</c:v>
                </c:pt>
                <c:pt idx="27">
                  <c:v>1042213.0017719698</c:v>
                </c:pt>
                <c:pt idx="28">
                  <c:v>1041615.7035724644</c:v>
                </c:pt>
                <c:pt idx="29">
                  <c:v>1040461.6031350964</c:v>
                </c:pt>
                <c:pt idx="30">
                  <c:v>1038809.1179690239</c:v>
                </c:pt>
                <c:pt idx="31">
                  <c:v>1036710.669808225</c:v>
                </c:pt>
                <c:pt idx="32">
                  <c:v>1034213.3577876764</c:v>
                </c:pt>
                <c:pt idx="33">
                  <c:v>1031359.5478624469</c:v>
                </c:pt>
                <c:pt idx="34">
                  <c:v>1028187.3899667513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1-8A4B-AD6F-BD2401C4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913216"/>
        <c:axId val="2097418112"/>
      </c:scatterChart>
      <c:valAx>
        <c:axId val="209791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418112"/>
        <c:crosses val="autoZero"/>
        <c:crossBetween val="midCat"/>
      </c:valAx>
      <c:valAx>
        <c:axId val="20974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91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56812466504513"/>
          <c:y val="0.16243073782443862"/>
          <c:w val="0.81109844580945711"/>
          <c:h val="0.68902305054610113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1.5220554891371562E-2"/>
                  <c:y val="-0.34449612649225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2.0862019210949417E-2"/>
                  <c:y val="-0.13666243332486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'Exercist Equiptment Co. Assignm'!$A$6:$A$10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'Exercist Equiptment Co. Assignm'!$B$6:$B$10</c:f>
              <c:numCache>
                <c:formatCode>General</c:formatCode>
                <c:ptCount val="5"/>
                <c:pt idx="0">
                  <c:v>218.6</c:v>
                </c:pt>
                <c:pt idx="1">
                  <c:v>435</c:v>
                </c:pt>
                <c:pt idx="2">
                  <c:v>915</c:v>
                </c:pt>
                <c:pt idx="3">
                  <c:v>1825.9</c:v>
                </c:pt>
                <c:pt idx="4">
                  <c:v>4021.8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B-E546-82C9-C1CBB02BD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939856"/>
        <c:axId val="2098941568"/>
      </c:scatterChart>
      <c:valAx>
        <c:axId val="209893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41568"/>
        <c:crosses val="autoZero"/>
        <c:crossBetween val="midCat"/>
      </c:valAx>
      <c:valAx>
        <c:axId val="20989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</a:t>
                </a:r>
              </a:p>
            </c:rich>
          </c:tx>
          <c:layout>
            <c:manualLayout>
              <c:xMode val="edge"/>
              <c:yMode val="edge"/>
              <c:x val="0"/>
              <c:y val="0.436811341122682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3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Seasonally Adjusted Sales (YOY)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02537182852147"/>
          <c:y val="0.14116907261592301"/>
          <c:w val="0.78864129483814527"/>
          <c:h val="0.7212809857101195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0733420354541244"/>
                  <c:y val="-0.13653944298629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'Decision Thru Regression &amp; NPV'!$A$2:$A$21</c:f>
              <c:numCache>
                <c:formatCode>General</c:formatCode>
                <c:ptCount val="20"/>
                <c:pt idx="0" formatCode="0">
                  <c:v>1</c:v>
                </c:pt>
                <c:pt idx="1">
                  <c:v>2</c:v>
                </c:pt>
                <c:pt idx="2" formatCode="0">
                  <c:v>3</c:v>
                </c:pt>
                <c:pt idx="3">
                  <c:v>4</c:v>
                </c:pt>
                <c:pt idx="4" formatCode="0">
                  <c:v>5</c:v>
                </c:pt>
                <c:pt idx="5">
                  <c:v>6</c:v>
                </c:pt>
                <c:pt idx="6" formatCode="0">
                  <c:v>7</c:v>
                </c:pt>
                <c:pt idx="7">
                  <c:v>8</c:v>
                </c:pt>
                <c:pt idx="8" formatCode="0">
                  <c:v>9</c:v>
                </c:pt>
                <c:pt idx="9">
                  <c:v>10</c:v>
                </c:pt>
                <c:pt idx="10" formatCode="0">
                  <c:v>11</c:v>
                </c:pt>
                <c:pt idx="11">
                  <c:v>12</c:v>
                </c:pt>
                <c:pt idx="12" formatCode="0">
                  <c:v>13</c:v>
                </c:pt>
                <c:pt idx="13">
                  <c:v>14</c:v>
                </c:pt>
                <c:pt idx="14" formatCode="0">
                  <c:v>15</c:v>
                </c:pt>
                <c:pt idx="15">
                  <c:v>16</c:v>
                </c:pt>
                <c:pt idx="16" formatCode="0">
                  <c:v>17</c:v>
                </c:pt>
                <c:pt idx="17">
                  <c:v>18</c:v>
                </c:pt>
                <c:pt idx="18" formatCode="0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'Decision Thru Regression &amp; NPV'!$B$2:$B$21</c:f>
              <c:numCache>
                <c:formatCode>"$"#,##0.00</c:formatCode>
                <c:ptCount val="20"/>
                <c:pt idx="0">
                  <c:v>150781.16666666666</c:v>
                </c:pt>
                <c:pt idx="1">
                  <c:v>161696.25</c:v>
                </c:pt>
                <c:pt idx="2">
                  <c:v>175688.83333333334</c:v>
                </c:pt>
                <c:pt idx="3">
                  <c:v>185437.25</c:v>
                </c:pt>
                <c:pt idx="4">
                  <c:v>196728.16666666666</c:v>
                </c:pt>
                <c:pt idx="5">
                  <c:v>206334.08333333334</c:v>
                </c:pt>
                <c:pt idx="6">
                  <c:v>215657.66666666666</c:v>
                </c:pt>
                <c:pt idx="7">
                  <c:v>233872</c:v>
                </c:pt>
                <c:pt idx="8">
                  <c:v>248748.25</c:v>
                </c:pt>
                <c:pt idx="9">
                  <c:v>255663.75</c:v>
                </c:pt>
                <c:pt idx="10">
                  <c:v>261272.41666666666</c:v>
                </c:pt>
                <c:pt idx="11">
                  <c:v>272232.5</c:v>
                </c:pt>
                <c:pt idx="12">
                  <c:v>288987.5</c:v>
                </c:pt>
                <c:pt idx="13">
                  <c:v>307826.08333333331</c:v>
                </c:pt>
                <c:pt idx="14">
                  <c:v>323823.08333333331</c:v>
                </c:pt>
                <c:pt idx="15">
                  <c:v>334008</c:v>
                </c:pt>
                <c:pt idx="16">
                  <c:v>328780.33333333331</c:v>
                </c:pt>
                <c:pt idx="17">
                  <c:v>303288.91666666669</c:v>
                </c:pt>
                <c:pt idx="18">
                  <c:v>323964.16666666669</c:v>
                </c:pt>
                <c:pt idx="19">
                  <c:v>349717.75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D-3A43-ABB2-16158B821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430128"/>
        <c:axId val="2015540864"/>
      </c:scatterChart>
      <c:valAx>
        <c:axId val="209943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540864"/>
        <c:crosses val="autoZero"/>
        <c:crossBetween val="midCat"/>
      </c:valAx>
      <c:valAx>
        <c:axId val="20155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3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203200</xdr:rowOff>
    </xdr:from>
    <xdr:to>
      <xdr:col>14</xdr:col>
      <xdr:colOff>0</xdr:colOff>
      <xdr:row>14</xdr:row>
      <xdr:rowOff>175575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1DF7C-9EBC-447D-2120-E1FD8D6F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8600" y="203200"/>
          <a:ext cx="7772400" cy="289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793750</xdr:colOff>
      <xdr:row>14</xdr:row>
      <xdr:rowOff>12700</xdr:rowOff>
    </xdr:from>
    <xdr:to>
      <xdr:col>14</xdr:col>
      <xdr:colOff>304800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9FAAB-9CE4-8EF1-A3EC-F0845CBDD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22</xdr:row>
      <xdr:rowOff>63500</xdr:rowOff>
    </xdr:from>
    <xdr:to>
      <xdr:col>6</xdr:col>
      <xdr:colOff>431800</xdr:colOff>
      <xdr:row>42</xdr:row>
      <xdr:rowOff>109991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09493F-4B1B-5533-5218-1DD4435AC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4584700"/>
          <a:ext cx="5765800" cy="41104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425450</xdr:colOff>
      <xdr:row>17</xdr:row>
      <xdr:rowOff>50800</xdr:rowOff>
    </xdr:from>
    <xdr:to>
      <xdr:col>14</xdr:col>
      <xdr:colOff>292100</xdr:colOff>
      <xdr:row>43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6DC9B-3B44-64CD-D521-86126DA7D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393700</xdr:colOff>
      <xdr:row>1</xdr:row>
      <xdr:rowOff>127000</xdr:rowOff>
    </xdr:from>
    <xdr:to>
      <xdr:col>14</xdr:col>
      <xdr:colOff>622300</xdr:colOff>
      <xdr:row>15</xdr:row>
      <xdr:rowOff>35856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D88CE5-667B-ADFD-E7DC-1EC7D3FE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5900" y="393700"/>
          <a:ext cx="7772400" cy="28425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158750</xdr:colOff>
      <xdr:row>4</xdr:row>
      <xdr:rowOff>12700</xdr:rowOff>
    </xdr:from>
    <xdr:to>
      <xdr:col>15</xdr:col>
      <xdr:colOff>76200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54DD5-B821-3281-A77B-BC9DDC955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25400</xdr:colOff>
      <xdr:row>24</xdr:row>
      <xdr:rowOff>12700</xdr:rowOff>
    </xdr:from>
    <xdr:to>
      <xdr:col>9</xdr:col>
      <xdr:colOff>723900</xdr:colOff>
      <xdr:row>43</xdr:row>
      <xdr:rowOff>99485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72364-3DE7-50A5-14D1-B1C1516B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00" y="5041900"/>
          <a:ext cx="7772400" cy="3947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1346200</xdr:colOff>
      <xdr:row>25</xdr:row>
      <xdr:rowOff>114300</xdr:rowOff>
    </xdr:from>
    <xdr:to>
      <xdr:col>8</xdr:col>
      <xdr:colOff>711200</xdr:colOff>
      <xdr:row>33</xdr:row>
      <xdr:rowOff>82498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92650-6B02-3246-581D-A29CDA84D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200" y="5270500"/>
          <a:ext cx="7772400" cy="15937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26</xdr:row>
      <xdr:rowOff>38100</xdr:rowOff>
    </xdr:from>
    <xdr:to>
      <xdr:col>7</xdr:col>
      <xdr:colOff>12700</xdr:colOff>
      <xdr:row>43</xdr:row>
      <xdr:rowOff>52527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B628B-B3A4-8891-5618-1F418BF6B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372100"/>
          <a:ext cx="7772400" cy="34688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1473200</xdr:colOff>
      <xdr:row>12</xdr:row>
      <xdr:rowOff>101600</xdr:rowOff>
    </xdr:from>
    <xdr:to>
      <xdr:col>11</xdr:col>
      <xdr:colOff>457200</xdr:colOff>
      <xdr:row>19</xdr:row>
      <xdr:rowOff>151567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7D359-C78E-D83C-5A4A-4DAD99DF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2616200"/>
          <a:ext cx="7772400" cy="14723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27</xdr:row>
      <xdr:rowOff>76200</xdr:rowOff>
    </xdr:from>
    <xdr:to>
      <xdr:col>7</xdr:col>
      <xdr:colOff>279400</xdr:colOff>
      <xdr:row>43</xdr:row>
      <xdr:rowOff>62699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6BD3B-AD72-773F-4C4E-6988FF11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6045200"/>
          <a:ext cx="7772400" cy="32376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0</xdr:row>
      <xdr:rowOff>190500</xdr:rowOff>
    </xdr:from>
    <xdr:to>
      <xdr:col>12</xdr:col>
      <xdr:colOff>762000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EBCDA-6540-2032-5879-C81B7A181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41</xdr:row>
      <xdr:rowOff>190500</xdr:rowOff>
    </xdr:from>
    <xdr:to>
      <xdr:col>12</xdr:col>
      <xdr:colOff>311150</xdr:colOff>
      <xdr:row>55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301149-E729-1AFC-E9A2-227F306E1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215900</xdr:colOff>
      <xdr:row>14</xdr:row>
      <xdr:rowOff>177799</xdr:rowOff>
    </xdr:from>
    <xdr:to>
      <xdr:col>14</xdr:col>
      <xdr:colOff>127000</xdr:colOff>
      <xdr:row>39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1DB885-C863-B236-AAAA-C81D0E0B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52300" y="3098799"/>
          <a:ext cx="6337300" cy="50419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2</xdr:row>
      <xdr:rowOff>50800</xdr:rowOff>
    </xdr:from>
    <xdr:to>
      <xdr:col>15</xdr:col>
      <xdr:colOff>787400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18846-7FD7-C095-1A5D-B75E1806D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469900</xdr:colOff>
      <xdr:row>20</xdr:row>
      <xdr:rowOff>63500</xdr:rowOff>
    </xdr:from>
    <xdr:to>
      <xdr:col>11</xdr:col>
      <xdr:colOff>330200</xdr:colOff>
      <xdr:row>40</xdr:row>
      <xdr:rowOff>83766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CED97-7B78-C696-6971-78BAC13C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9800" y="4203700"/>
          <a:ext cx="7772400" cy="40842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1651000</xdr:colOff>
      <xdr:row>33</xdr:row>
      <xdr:rowOff>177800</xdr:rowOff>
    </xdr:from>
    <xdr:to>
      <xdr:col>6</xdr:col>
      <xdr:colOff>1790700</xdr:colOff>
      <xdr:row>51</xdr:row>
      <xdr:rowOff>200901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6702F-A0AA-D92C-BCD6-38CD8D00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6959600"/>
          <a:ext cx="7772400" cy="36807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1384300</xdr:colOff>
      <xdr:row>11</xdr:row>
      <xdr:rowOff>101600</xdr:rowOff>
    </xdr:from>
    <xdr:to>
      <xdr:col>9</xdr:col>
      <xdr:colOff>241300</xdr:colOff>
      <xdr:row>24</xdr:row>
      <xdr:rowOff>118426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75F99-AE69-65DD-9229-3C97EACA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336800"/>
          <a:ext cx="7772400" cy="265842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781050</xdr:colOff>
      <xdr:row>2</xdr:row>
      <xdr:rowOff>50800</xdr:rowOff>
    </xdr:from>
    <xdr:to>
      <xdr:col>15</xdr:col>
      <xdr:colOff>165100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E9303-86F6-086A-0462-48D874235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1117600</xdr:colOff>
      <xdr:row>19</xdr:row>
      <xdr:rowOff>38100</xdr:rowOff>
    </xdr:from>
    <xdr:to>
      <xdr:col>15</xdr:col>
      <xdr:colOff>508000</xdr:colOff>
      <xdr:row>30</xdr:row>
      <xdr:rowOff>120740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8CB51-1F83-06F1-6AEC-A0831E541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3898900"/>
          <a:ext cx="7772400" cy="23178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50</xdr:row>
      <xdr:rowOff>50800</xdr:rowOff>
    </xdr:from>
    <xdr:to>
      <xdr:col>13</xdr:col>
      <xdr:colOff>609600</xdr:colOff>
      <xdr:row>66</xdr:row>
      <xdr:rowOff>39864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2B16C-8581-391C-69A1-4DE297C2D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0600" y="10261600"/>
          <a:ext cx="7772400" cy="324026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66</xdr:row>
      <xdr:rowOff>50800</xdr:rowOff>
    </xdr:from>
    <xdr:to>
      <xdr:col>13</xdr:col>
      <xdr:colOff>609600</xdr:colOff>
      <xdr:row>70</xdr:row>
      <xdr:rowOff>84161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D0582-1523-A986-AD12-A8551DB5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0600" y="13512800"/>
          <a:ext cx="7772400" cy="846161"/>
        </a:xfrm>
        <a:prstGeom prst="rect">
          <a:avLst/>
        </a:prstGeom>
      </xdr:spPr>
    </xdr:pic>
    <xdr:clientData/>
  </xdr:twoCellAnchor>
  <xdr:twoCellAnchor editAs="oneCell">
    <xdr:from>
      <xdr:col>17</xdr:col>
      <xdr:colOff>254000</xdr:colOff>
      <xdr:row>55</xdr:row>
      <xdr:rowOff>63500</xdr:rowOff>
    </xdr:from>
    <xdr:to>
      <xdr:col>23</xdr:col>
      <xdr:colOff>838200</xdr:colOff>
      <xdr:row>66</xdr:row>
      <xdr:rowOff>79322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1A57B0-34AF-ECC8-83F4-BF404FB0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38900" y="11290300"/>
          <a:ext cx="7772400" cy="2251022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54</xdr:row>
      <xdr:rowOff>139700</xdr:rowOff>
    </xdr:from>
    <xdr:to>
      <xdr:col>33</xdr:col>
      <xdr:colOff>571500</xdr:colOff>
      <xdr:row>83</xdr:row>
      <xdr:rowOff>17010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CECDFA-6469-97B6-6179-EBFE10E63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66900" y="11163300"/>
          <a:ext cx="7772400" cy="57701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12</xdr:row>
      <xdr:rowOff>12700</xdr:rowOff>
    </xdr:from>
    <xdr:to>
      <xdr:col>17</xdr:col>
      <xdr:colOff>762000</xdr:colOff>
      <xdr:row>28</xdr:row>
      <xdr:rowOff>106039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EF403-BDBA-2BCD-FF10-6F36BAA7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9300" y="2514600"/>
          <a:ext cx="7772400" cy="334453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63500</xdr:rowOff>
    </xdr:from>
    <xdr:to>
      <xdr:col>7</xdr:col>
      <xdr:colOff>114300</xdr:colOff>
      <xdr:row>25</xdr:row>
      <xdr:rowOff>50982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65D18-81E9-883F-FB0B-9A3AE5D10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4500"/>
          <a:ext cx="7772400" cy="222268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1181100</xdr:colOff>
      <xdr:row>19</xdr:row>
      <xdr:rowOff>190500</xdr:rowOff>
    </xdr:from>
    <xdr:to>
      <xdr:col>11</xdr:col>
      <xdr:colOff>165100</xdr:colOff>
      <xdr:row>43</xdr:row>
      <xdr:rowOff>166972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CACE2-BC5E-F6F9-9BC3-D5C8A5D51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5100" y="4051300"/>
          <a:ext cx="7772400" cy="485327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16</xdr:row>
      <xdr:rowOff>190500</xdr:rowOff>
    </xdr:from>
    <xdr:to>
      <xdr:col>8</xdr:col>
      <xdr:colOff>63500</xdr:colOff>
      <xdr:row>41</xdr:row>
      <xdr:rowOff>5748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8F557-53FF-9B3A-5EFE-03FC150A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441700"/>
          <a:ext cx="7772400" cy="489524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520700</xdr:colOff>
      <xdr:row>18</xdr:row>
      <xdr:rowOff>165100</xdr:rowOff>
    </xdr:from>
    <xdr:to>
      <xdr:col>11</xdr:col>
      <xdr:colOff>444500</xdr:colOff>
      <xdr:row>42</xdr:row>
      <xdr:rowOff>47085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F44C2-2AD9-D3E9-D702-D605B392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2400" y="3822700"/>
          <a:ext cx="7772400" cy="475878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254000</xdr:colOff>
      <xdr:row>5</xdr:row>
      <xdr:rowOff>114300</xdr:rowOff>
    </xdr:from>
    <xdr:to>
      <xdr:col>18</xdr:col>
      <xdr:colOff>596900</xdr:colOff>
      <xdr:row>12</xdr:row>
      <xdr:rowOff>155667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C1313-932E-83FC-5C78-E7DD647B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0" y="1181100"/>
          <a:ext cx="7772400" cy="14637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DCB1D-1CA5-0A4D-8D05-BDD8AD00FCC4}" name="Table1" displayName="Table1" ref="A24:H36" totalsRowShown="0" headerRowDxfId="23" headerRowBorderDxfId="22" tableBorderDxfId="21" totalsRowBorderDxfId="20">
  <autoFilter ref="A24:H36" xr:uid="{7BCDCB1D-1CA5-0A4D-8D05-BDD8AD00FCC4}"/>
  <tableColumns count="8">
    <tableColumn id="1" xr3:uid="{57AB0371-E9D1-C64B-A0A2-C6C2ACBCBD17}" name="Price" dataDxfId="19" dataCellStyle="Currency"/>
    <tableColumn id="2" xr3:uid="{08EB3EE5-C7F8-0348-995F-0E021AF07773}" name="Demand (Linear)" dataDxfId="18">
      <calculatedColumnFormula>$B$20*A25+$B$19</calculatedColumnFormula>
    </tableColumn>
    <tableColumn id="3" xr3:uid="{08B5C995-1A13-C74B-B051-3E78337F0962}" name="Demand (Power)" dataDxfId="17">
      <calculatedColumnFormula>$D$19*A25^$D$20</calculatedColumnFormula>
    </tableColumn>
    <tableColumn id="4" xr3:uid="{429C1E5F-7224-6044-B9C8-CCB301775BA4}" name="Demand (Exponential)" dataDxfId="16">
      <calculatedColumnFormula>$F$19*EXP($F$20*A25)</calculatedColumnFormula>
    </tableColumn>
    <tableColumn id="5" xr3:uid="{54F91887-C466-E44C-B6A8-D905C22AA03D}" name="Demand (00s)" dataDxfId="15"/>
    <tableColumn id="6" xr3:uid="{45D94F1B-902A-0D43-AA4A-C20AB696F678}" name="Demand (Linear)2" dataDxfId="14" dataCellStyle="Percent">
      <calculatedColumnFormula>ABS(B25-E25)/E25</calculatedColumnFormula>
    </tableColumn>
    <tableColumn id="7" xr3:uid="{34A0ECFD-19C3-8C4E-A5A7-2E2F3F74A761}" name="Demand (Power)3" dataDxfId="13" dataCellStyle="Percent">
      <calculatedColumnFormula>ABS(C25-E25)/E25</calculatedColumnFormula>
    </tableColumn>
    <tableColumn id="8" xr3:uid="{05C81A1D-DC93-6849-984C-D2501F59DB1E}" name="Demand (Exponential)4" dataDxfId="12" dataCellStyle="Percent">
      <calculatedColumnFormula>ABS(D25-E25)/E25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2D4D-2ECA-444A-A72B-33751B8263B9}">
  <dimension ref="A1:C21"/>
  <sheetViews>
    <sheetView workbookViewId="0">
      <selection activeCell="B13" sqref="B13"/>
    </sheetView>
  </sheetViews>
  <sheetFormatPr baseColWidth="10" defaultColWidth="11" defaultRowHeight="16"/>
  <cols>
    <col min="1" max="1" width="17" style="3" bestFit="1" customWidth="1"/>
    <col min="2" max="2" width="12.5" style="2" bestFit="1" customWidth="1"/>
  </cols>
  <sheetData>
    <row r="1" spans="1:3" ht="21" thickBot="1">
      <c r="A1" s="187" t="s">
        <v>0</v>
      </c>
      <c r="B1" s="187"/>
    </row>
    <row r="2" spans="1:3" ht="17" thickTop="1"/>
    <row r="3" spans="1:3">
      <c r="A3" s="3" t="s">
        <v>1</v>
      </c>
    </row>
    <row r="4" spans="1:3">
      <c r="A4" s="3" t="s">
        <v>2</v>
      </c>
      <c r="B4" s="2">
        <v>50000</v>
      </c>
    </row>
    <row r="5" spans="1:3">
      <c r="A5" s="3" t="s">
        <v>3</v>
      </c>
      <c r="B5" s="2">
        <f>0.22*B4</f>
        <v>11000</v>
      </c>
      <c r="C5" t="str">
        <f ca="1">_xlfn.FORMULATEXT(B5)</f>
        <v>=0.22*B4</v>
      </c>
    </row>
    <row r="6" spans="1:3">
      <c r="A6" s="3" t="s">
        <v>4</v>
      </c>
      <c r="B6" s="2">
        <v>5000</v>
      </c>
    </row>
    <row r="7" spans="1:3">
      <c r="A7" s="3" t="s">
        <v>5</v>
      </c>
      <c r="B7" s="2">
        <v>500</v>
      </c>
    </row>
    <row r="8" spans="1:3">
      <c r="A8" s="3" t="s">
        <v>6</v>
      </c>
      <c r="B8" s="2">
        <v>4000</v>
      </c>
    </row>
    <row r="9" spans="1:3">
      <c r="A9" s="3" t="s">
        <v>7</v>
      </c>
      <c r="B9" s="2">
        <f>B4-B5-B6-B7-B8</f>
        <v>29500</v>
      </c>
      <c r="C9" t="str">
        <f ca="1">_xlfn.FORMULATEXT(B9)</f>
        <v>=B4-B5-B6-B7-B8</v>
      </c>
    </row>
    <row r="11" spans="1:3">
      <c r="A11" s="3" t="s">
        <v>8</v>
      </c>
    </row>
    <row r="12" spans="1:3">
      <c r="A12" s="3" t="s">
        <v>9</v>
      </c>
      <c r="B12" s="2">
        <f>500*12</f>
        <v>6000</v>
      </c>
    </row>
    <row r="13" spans="1:3">
      <c r="A13" s="3" t="s">
        <v>10</v>
      </c>
      <c r="B13" s="2">
        <v>5000</v>
      </c>
    </row>
    <row r="14" spans="1:3">
      <c r="A14" s="3" t="s">
        <v>11</v>
      </c>
      <c r="B14" s="2">
        <v>5000</v>
      </c>
    </row>
    <row r="15" spans="1:3">
      <c r="A15" s="3" t="s">
        <v>12</v>
      </c>
      <c r="B15" s="2">
        <v>2000</v>
      </c>
    </row>
    <row r="16" spans="1:3">
      <c r="A16" s="3" t="s">
        <v>13</v>
      </c>
      <c r="B16" s="2">
        <v>1000</v>
      </c>
    </row>
    <row r="17" spans="1:3">
      <c r="A17" s="3" t="s">
        <v>14</v>
      </c>
      <c r="B17" s="2">
        <v>500</v>
      </c>
    </row>
    <row r="18" spans="1:3">
      <c r="A18" s="3" t="s">
        <v>15</v>
      </c>
      <c r="B18" s="2">
        <v>5000</v>
      </c>
    </row>
    <row r="19" spans="1:3">
      <c r="A19" s="3" t="s">
        <v>16</v>
      </c>
      <c r="B19" s="2">
        <v>10000</v>
      </c>
    </row>
    <row r="20" spans="1:3">
      <c r="A20" s="3" t="s">
        <v>17</v>
      </c>
      <c r="B20" s="2">
        <f>SUM(B12:B19)</f>
        <v>34500</v>
      </c>
    </row>
    <row r="21" spans="1:3">
      <c r="A21" s="3" t="s">
        <v>18</v>
      </c>
      <c r="B21" s="2">
        <f>B9-B20</f>
        <v>-5000</v>
      </c>
      <c r="C21" t="str">
        <f ca="1">_xlfn.FORMULATEXT(B21)</f>
        <v>=B9-B20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9D28-527B-3843-965E-CD1171D5E5F4}">
  <dimension ref="A1:C21"/>
  <sheetViews>
    <sheetView workbookViewId="0">
      <selection activeCell="G53" sqref="G53"/>
    </sheetView>
  </sheetViews>
  <sheetFormatPr baseColWidth="10" defaultColWidth="11" defaultRowHeight="16"/>
  <cols>
    <col min="1" max="1" width="28.1640625" style="3" bestFit="1" customWidth="1"/>
    <col min="2" max="2" width="10.83203125" style="2"/>
    <col min="3" max="3" width="11.6640625" bestFit="1" customWidth="1"/>
  </cols>
  <sheetData>
    <row r="1" spans="1:3" ht="21" thickBot="1">
      <c r="A1" s="187" t="s">
        <v>19</v>
      </c>
      <c r="B1" s="187"/>
      <c r="C1" s="187"/>
    </row>
    <row r="2" spans="1:3" ht="17" thickTop="1">
      <c r="C2" s="1"/>
    </row>
    <row r="3" spans="1:3">
      <c r="A3" s="3" t="s">
        <v>20</v>
      </c>
    </row>
    <row r="4" spans="1:3">
      <c r="A4" s="7" t="s">
        <v>21</v>
      </c>
    </row>
    <row r="5" spans="1:3">
      <c r="A5" s="8" t="s">
        <v>22</v>
      </c>
      <c r="B5" s="2">
        <v>750</v>
      </c>
    </row>
    <row r="6" spans="1:3">
      <c r="A6" s="8" t="s">
        <v>23</v>
      </c>
      <c r="B6" s="2">
        <v>8</v>
      </c>
      <c r="C6" t="s">
        <v>24</v>
      </c>
    </row>
    <row r="7" spans="1:3">
      <c r="A7" s="7" t="s">
        <v>25</v>
      </c>
    </row>
    <row r="8" spans="1:3">
      <c r="A8" s="8" t="s">
        <v>26</v>
      </c>
      <c r="B8" s="2">
        <v>18</v>
      </c>
      <c r="C8" t="s">
        <v>24</v>
      </c>
    </row>
    <row r="9" spans="1:3">
      <c r="A9" s="8" t="s">
        <v>27</v>
      </c>
      <c r="B9" s="2">
        <v>6</v>
      </c>
      <c r="C9" t="s">
        <v>24</v>
      </c>
    </row>
    <row r="14" spans="1:3">
      <c r="A14" s="4" t="s">
        <v>28</v>
      </c>
      <c r="B14" s="9">
        <v>1500</v>
      </c>
    </row>
    <row r="15" spans="1:3">
      <c r="A15" s="4" t="s">
        <v>29</v>
      </c>
      <c r="B15" s="9">
        <v>1500</v>
      </c>
    </row>
    <row r="16" spans="1:3">
      <c r="A16" s="4" t="s">
        <v>30</v>
      </c>
      <c r="B16" s="6">
        <f>MIN(B14:B15)</f>
        <v>1500</v>
      </c>
      <c r="C16" t="str">
        <f ca="1">_xlfn.FORMULATEXT(B16)</f>
        <v>=MIN(B14:B15)</v>
      </c>
    </row>
    <row r="17" spans="1:3">
      <c r="A17" s="4" t="s">
        <v>31</v>
      </c>
      <c r="B17" s="6">
        <f>MAX(B14-B15,0)</f>
        <v>0</v>
      </c>
      <c r="C17" t="str">
        <f ca="1">_xlfn.FORMULATEXT(B17)</f>
        <v>=MAX(B14-B15,0)</v>
      </c>
    </row>
    <row r="19" spans="1:3">
      <c r="A19" s="10" t="s">
        <v>32</v>
      </c>
      <c r="B19" s="2">
        <f>B5+B6*B14</f>
        <v>12750</v>
      </c>
      <c r="C19" t="str">
        <f ca="1">_xlfn.FORMULATEXT(B19)</f>
        <v>=B5+B6*B14</v>
      </c>
    </row>
    <row r="20" spans="1:3">
      <c r="A20" s="10" t="s">
        <v>33</v>
      </c>
      <c r="B20" s="2">
        <f>B8*B16+B9*B17</f>
        <v>27000</v>
      </c>
      <c r="C20" t="str">
        <f ca="1">_xlfn.FORMULATEXT(B20)</f>
        <v>=B8*B16+B9*B17</v>
      </c>
    </row>
    <row r="21" spans="1:3">
      <c r="A21" s="10" t="s">
        <v>34</v>
      </c>
      <c r="B21" s="2">
        <f>B20-B19</f>
        <v>14250</v>
      </c>
      <c r="C21" t="str">
        <f ca="1">_xlfn.FORMULATEXT(B21)</f>
        <v>=B20-B19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AF3A-D3E3-244F-A6E7-35599BBED093}">
  <dimension ref="A1:F21"/>
  <sheetViews>
    <sheetView topLeftCell="A5" workbookViewId="0">
      <selection activeCell="H55" sqref="H55"/>
    </sheetView>
  </sheetViews>
  <sheetFormatPr baseColWidth="10" defaultColWidth="11" defaultRowHeight="16"/>
  <cols>
    <col min="1" max="1" width="13.5" bestFit="1" customWidth="1"/>
    <col min="2" max="2" width="14.1640625" style="11" customWidth="1"/>
    <col min="3" max="3" width="10.83203125" style="11"/>
  </cols>
  <sheetData>
    <row r="1" spans="1:6" ht="20">
      <c r="A1" s="188" t="s">
        <v>35</v>
      </c>
      <c r="B1" s="188"/>
      <c r="C1" s="188"/>
    </row>
    <row r="3" spans="1:6">
      <c r="A3" s="1" t="s">
        <v>21</v>
      </c>
      <c r="B3" s="13" t="s">
        <v>36</v>
      </c>
      <c r="C3" s="13" t="s">
        <v>37</v>
      </c>
    </row>
    <row r="4" spans="1:6">
      <c r="A4" t="s">
        <v>38</v>
      </c>
      <c r="B4" s="11">
        <v>5.5</v>
      </c>
      <c r="C4" s="11">
        <v>4.3</v>
      </c>
    </row>
    <row r="5" spans="1:6">
      <c r="A5" t="s">
        <v>39</v>
      </c>
      <c r="B5" s="12">
        <v>30</v>
      </c>
      <c r="C5" s="12">
        <v>30</v>
      </c>
    </row>
    <row r="6" spans="1:6">
      <c r="A6" t="s">
        <v>40</v>
      </c>
      <c r="B6" s="5">
        <f>B5*B4</f>
        <v>165</v>
      </c>
      <c r="C6" s="5">
        <f>C5*C4</f>
        <v>129</v>
      </c>
    </row>
    <row r="7" spans="1:6">
      <c r="A7" t="s">
        <v>41</v>
      </c>
      <c r="B7" s="12">
        <v>16</v>
      </c>
      <c r="C7" s="12">
        <v>16</v>
      </c>
    </row>
    <row r="8" spans="1:6">
      <c r="A8" t="s">
        <v>42</v>
      </c>
      <c r="B8" s="11">
        <v>18.5</v>
      </c>
      <c r="C8" s="11">
        <v>18.5</v>
      </c>
    </row>
    <row r="9" spans="1:6">
      <c r="A9" t="s">
        <v>43</v>
      </c>
      <c r="B9" s="11">
        <f>B8*B7</f>
        <v>296</v>
      </c>
      <c r="C9" s="11">
        <f>C8*C7</f>
        <v>296</v>
      </c>
    </row>
    <row r="11" spans="1:6">
      <c r="A11" t="s">
        <v>44</v>
      </c>
      <c r="B11" s="11">
        <f>B9+B6</f>
        <v>461</v>
      </c>
      <c r="C11" s="11">
        <f>C9+C6</f>
        <v>425</v>
      </c>
    </row>
    <row r="13" spans="1:6">
      <c r="A13" t="s">
        <v>45</v>
      </c>
      <c r="B13" s="17">
        <v>2.4E-2</v>
      </c>
      <c r="C13" s="17">
        <v>1.7000000000000001E-2</v>
      </c>
      <c r="D13" s="18">
        <v>1.4999999999999999E-2</v>
      </c>
    </row>
    <row r="15" spans="1:6">
      <c r="A15" s="106" t="s">
        <v>46</v>
      </c>
      <c r="B15" s="15" t="s">
        <v>36</v>
      </c>
      <c r="C15" s="15" t="s">
        <v>37</v>
      </c>
      <c r="D15" s="106" t="s">
        <v>47</v>
      </c>
      <c r="E15" s="106" t="s">
        <v>48</v>
      </c>
      <c r="F15" s="106" t="s">
        <v>49</v>
      </c>
    </row>
    <row r="16" spans="1:6">
      <c r="A16" s="104">
        <v>0</v>
      </c>
      <c r="B16" s="14">
        <f>B6</f>
        <v>165</v>
      </c>
      <c r="C16" s="14">
        <f>C6</f>
        <v>129</v>
      </c>
      <c r="D16" s="16">
        <f>B9</f>
        <v>296</v>
      </c>
      <c r="E16" s="16">
        <f>B16+D16</f>
        <v>461</v>
      </c>
      <c r="F16" s="16">
        <f>C16+D16</f>
        <v>425</v>
      </c>
    </row>
    <row r="17" spans="1:6">
      <c r="A17" s="104">
        <v>1</v>
      </c>
      <c r="B17" s="14">
        <f>B16*(1+2.4%)</f>
        <v>168.96</v>
      </c>
      <c r="C17" s="14">
        <f>C16*(1+$C$13)</f>
        <v>131.19299999999998</v>
      </c>
      <c r="D17" s="16">
        <f>D16*(1+$D$13)</f>
        <v>300.44</v>
      </c>
      <c r="E17" s="16">
        <f t="shared" ref="E17:E21" si="0">B17+D17</f>
        <v>469.4</v>
      </c>
      <c r="F17" s="16">
        <f t="shared" ref="F17:F21" si="1">C17+D17</f>
        <v>431.63299999999998</v>
      </c>
    </row>
    <row r="18" spans="1:6">
      <c r="A18" s="104">
        <v>2</v>
      </c>
      <c r="B18" s="14">
        <f t="shared" ref="B18:B21" si="2">B17*(1+2.4%)</f>
        <v>173.01504</v>
      </c>
      <c r="C18" s="14">
        <f t="shared" ref="C18:C21" si="3">C17*(1+$C$13)</f>
        <v>133.42328099999997</v>
      </c>
      <c r="D18" s="16">
        <f t="shared" ref="D18:D21" si="4">D17*(1+$D$13)</f>
        <v>304.94659999999999</v>
      </c>
      <c r="E18" s="16">
        <f t="shared" si="0"/>
        <v>477.96163999999999</v>
      </c>
      <c r="F18" s="16">
        <f t="shared" si="1"/>
        <v>438.36988099999996</v>
      </c>
    </row>
    <row r="19" spans="1:6">
      <c r="A19" s="104">
        <v>3</v>
      </c>
      <c r="B19" s="14">
        <f t="shared" si="2"/>
        <v>177.16740096000001</v>
      </c>
      <c r="C19" s="14">
        <f t="shared" si="3"/>
        <v>135.69147677699996</v>
      </c>
      <c r="D19" s="16">
        <f t="shared" si="4"/>
        <v>309.52079899999995</v>
      </c>
      <c r="E19" s="16">
        <f t="shared" si="0"/>
        <v>486.68819995999996</v>
      </c>
      <c r="F19" s="16">
        <f t="shared" si="1"/>
        <v>445.21227577699995</v>
      </c>
    </row>
    <row r="20" spans="1:6">
      <c r="A20" s="104">
        <v>4</v>
      </c>
      <c r="B20" s="14">
        <f t="shared" si="2"/>
        <v>181.41941858304003</v>
      </c>
      <c r="C20" s="14">
        <f t="shared" si="3"/>
        <v>137.99823188220896</v>
      </c>
      <c r="D20" s="16">
        <f t="shared" si="4"/>
        <v>314.16361098499993</v>
      </c>
      <c r="E20" s="16">
        <f t="shared" si="0"/>
        <v>495.58302956803993</v>
      </c>
      <c r="F20" s="16">
        <f t="shared" si="1"/>
        <v>452.16184286720886</v>
      </c>
    </row>
    <row r="21" spans="1:6">
      <c r="A21" s="104">
        <v>5</v>
      </c>
      <c r="B21" s="14">
        <f t="shared" si="2"/>
        <v>185.77348462903299</v>
      </c>
      <c r="C21" s="14">
        <f t="shared" si="3"/>
        <v>140.34420182420649</v>
      </c>
      <c r="D21" s="16">
        <f t="shared" si="4"/>
        <v>318.87606514977489</v>
      </c>
      <c r="E21" s="16">
        <f t="shared" si="0"/>
        <v>504.64954977880791</v>
      </c>
      <c r="F21" s="16">
        <f t="shared" si="1"/>
        <v>459.22026697398138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3EA0-476B-9949-9CF9-1B0820876BC4}">
  <dimension ref="A1:E18"/>
  <sheetViews>
    <sheetView workbookViewId="0">
      <selection activeCell="F57" sqref="F57"/>
    </sheetView>
  </sheetViews>
  <sheetFormatPr baseColWidth="10" defaultColWidth="11" defaultRowHeight="16"/>
  <cols>
    <col min="3" max="3" width="21.6640625" bestFit="1" customWidth="1"/>
    <col min="4" max="4" width="19.1640625" bestFit="1" customWidth="1"/>
    <col min="5" max="5" width="18.1640625" bestFit="1" customWidth="1"/>
  </cols>
  <sheetData>
    <row r="1" spans="1:5" ht="21" thickBot="1">
      <c r="A1" s="187" t="s">
        <v>50</v>
      </c>
      <c r="B1" s="187"/>
      <c r="C1" s="187"/>
    </row>
    <row r="2" spans="1:5" ht="18" thickTop="1" thickBot="1"/>
    <row r="3" spans="1:5">
      <c r="A3" s="22" t="s">
        <v>51</v>
      </c>
      <c r="B3" s="23" t="s">
        <v>52</v>
      </c>
      <c r="C3" s="23" t="s">
        <v>53</v>
      </c>
      <c r="D3" s="24" t="s">
        <v>54</v>
      </c>
      <c r="E3" s="32" t="s">
        <v>55</v>
      </c>
    </row>
    <row r="4" spans="1:5">
      <c r="A4" s="25" t="s">
        <v>56</v>
      </c>
      <c r="B4" s="26">
        <v>1.65</v>
      </c>
      <c r="C4" s="105">
        <v>1.2</v>
      </c>
      <c r="D4" s="27">
        <f>B4*C4</f>
        <v>1.9799999999999998</v>
      </c>
      <c r="E4" s="33">
        <v>0.02</v>
      </c>
    </row>
    <row r="5" spans="1:5">
      <c r="A5" s="25" t="s">
        <v>57</v>
      </c>
      <c r="B5" s="26">
        <v>1.42</v>
      </c>
      <c r="C5" s="105">
        <v>1</v>
      </c>
      <c r="D5" s="27">
        <f t="shared" ref="D5:D6" si="0">B5*C5</f>
        <v>1.42</v>
      </c>
      <c r="E5" s="33">
        <v>0.03</v>
      </c>
    </row>
    <row r="6" spans="1:5" ht="17" thickBot="1">
      <c r="A6" s="28" t="s">
        <v>47</v>
      </c>
      <c r="B6" s="29">
        <v>12</v>
      </c>
      <c r="C6" s="30">
        <v>4.5</v>
      </c>
      <c r="D6" s="31">
        <f t="shared" si="0"/>
        <v>54</v>
      </c>
      <c r="E6" s="34">
        <v>2.5000000000000001E-2</v>
      </c>
    </row>
    <row r="7" spans="1:5">
      <c r="C7" s="10" t="s">
        <v>58</v>
      </c>
      <c r="D7" s="21">
        <f>SUM(D4:D6)</f>
        <v>57.4</v>
      </c>
    </row>
    <row r="8" spans="1:5">
      <c r="C8" s="10" t="s">
        <v>59</v>
      </c>
      <c r="D8" s="19">
        <v>150</v>
      </c>
    </row>
    <row r="9" spans="1:5">
      <c r="C9" s="137" t="s">
        <v>60</v>
      </c>
      <c r="D9" s="21">
        <f>SUM(D8-D7)</f>
        <v>92.6</v>
      </c>
    </row>
    <row r="11" spans="1:5" ht="20">
      <c r="A11" s="188" t="s">
        <v>61</v>
      </c>
      <c r="B11" s="188"/>
      <c r="C11" s="188"/>
    </row>
    <row r="12" spans="1:5">
      <c r="A12" s="35" t="s">
        <v>46</v>
      </c>
      <c r="B12" s="37" t="s">
        <v>56</v>
      </c>
      <c r="C12" s="37" t="s">
        <v>62</v>
      </c>
      <c r="D12" s="37" t="s">
        <v>47</v>
      </c>
      <c r="E12" s="37" t="s">
        <v>63</v>
      </c>
    </row>
    <row r="13" spans="1:5">
      <c r="A13" s="36">
        <v>0</v>
      </c>
      <c r="B13" s="38">
        <v>1.98</v>
      </c>
      <c r="C13" s="38">
        <v>1.42</v>
      </c>
      <c r="D13" s="38">
        <v>54</v>
      </c>
      <c r="E13" s="38">
        <v>57.4</v>
      </c>
    </row>
    <row r="14" spans="1:5">
      <c r="A14" s="36">
        <v>1</v>
      </c>
      <c r="B14" s="38">
        <f>B13*(1+$E$4)</f>
        <v>2.0196000000000001</v>
      </c>
      <c r="C14" s="38">
        <f>C13*(1+$E$5)</f>
        <v>1.4625999999999999</v>
      </c>
      <c r="D14" s="38">
        <f>D13*(1+$E$6)</f>
        <v>55.349999999999994</v>
      </c>
      <c r="E14" s="38">
        <f>SUM(B14:D14)</f>
        <v>58.832199999999993</v>
      </c>
    </row>
    <row r="15" spans="1:5">
      <c r="A15" s="36">
        <v>2</v>
      </c>
      <c r="B15" s="38">
        <f t="shared" ref="B15:B17" si="1">B14*(1+$E$4)</f>
        <v>2.0599920000000003</v>
      </c>
      <c r="C15" s="38">
        <f t="shared" ref="C15:C18" si="2">C14*(1+$E$5)</f>
        <v>1.506478</v>
      </c>
      <c r="D15" s="38">
        <f t="shared" ref="D15:D18" si="3">D14*(1+$E$6)</f>
        <v>56.733749999999986</v>
      </c>
      <c r="E15" s="38">
        <f t="shared" ref="E15:E18" si="4">SUM(B15:D15)</f>
        <v>60.300219999999989</v>
      </c>
    </row>
    <row r="16" spans="1:5">
      <c r="A16" s="36">
        <v>3</v>
      </c>
      <c r="B16" s="38">
        <f t="shared" si="1"/>
        <v>2.1011918400000003</v>
      </c>
      <c r="C16" s="38">
        <f t="shared" si="2"/>
        <v>1.5516723400000001</v>
      </c>
      <c r="D16" s="38">
        <f t="shared" si="3"/>
        <v>58.152093749999977</v>
      </c>
      <c r="E16" s="38">
        <f t="shared" si="4"/>
        <v>61.804957929999979</v>
      </c>
    </row>
    <row r="17" spans="1:5">
      <c r="A17" s="36">
        <v>4</v>
      </c>
      <c r="B17" s="38">
        <f t="shared" si="1"/>
        <v>2.1432156768000001</v>
      </c>
      <c r="C17" s="38">
        <f t="shared" si="2"/>
        <v>1.5982225102000001</v>
      </c>
      <c r="D17" s="38">
        <f t="shared" si="3"/>
        <v>59.605896093749969</v>
      </c>
      <c r="E17" s="38">
        <f t="shared" si="4"/>
        <v>63.347334280749969</v>
      </c>
    </row>
    <row r="18" spans="1:5">
      <c r="A18" s="36">
        <v>5</v>
      </c>
      <c r="B18" s="38">
        <f>B17*(1+$E$4)</f>
        <v>2.1860799903360002</v>
      </c>
      <c r="C18" s="38">
        <f t="shared" si="2"/>
        <v>1.6461691855060001</v>
      </c>
      <c r="D18" s="38">
        <f t="shared" si="3"/>
        <v>61.096043496093714</v>
      </c>
      <c r="E18" s="38">
        <f t="shared" si="4"/>
        <v>64.928292671935708</v>
      </c>
    </row>
  </sheetData>
  <mergeCells count="2">
    <mergeCell ref="A1:C1"/>
    <mergeCell ref="A11:C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0873-60F3-9A40-ADE4-06FAAF36E118}">
  <dimension ref="A1:I62"/>
  <sheetViews>
    <sheetView workbookViewId="0">
      <selection activeCell="M49" sqref="M49"/>
    </sheetView>
  </sheetViews>
  <sheetFormatPr baseColWidth="10" defaultColWidth="11" defaultRowHeight="16"/>
  <cols>
    <col min="1" max="1" width="28.6640625" bestFit="1" customWidth="1"/>
    <col min="2" max="3" width="14.33203125" bestFit="1" customWidth="1"/>
    <col min="8" max="8" width="22.33203125" customWidth="1"/>
    <col min="9" max="9" width="12.1640625" bestFit="1" customWidth="1"/>
  </cols>
  <sheetData>
    <row r="1" spans="1:9" ht="21" thickBot="1">
      <c r="A1" s="39" t="s">
        <v>64</v>
      </c>
    </row>
    <row r="2" spans="1:9" ht="22" thickTop="1" thickBot="1">
      <c r="A2" s="39"/>
    </row>
    <row r="3" spans="1:9" ht="17" thickTop="1">
      <c r="A3" s="42" t="s">
        <v>65</v>
      </c>
    </row>
    <row r="4" spans="1:9">
      <c r="A4" s="7" t="s">
        <v>21</v>
      </c>
      <c r="H4" t="s">
        <v>66</v>
      </c>
    </row>
    <row r="5" spans="1:9">
      <c r="A5" s="43" t="s">
        <v>67</v>
      </c>
      <c r="B5" s="19">
        <v>20000</v>
      </c>
      <c r="H5" t="s">
        <v>68</v>
      </c>
      <c r="I5" t="s">
        <v>69</v>
      </c>
    </row>
    <row r="6" spans="1:9">
      <c r="A6" t="s">
        <v>23</v>
      </c>
      <c r="I6" s="50">
        <f>B20</f>
        <v>0</v>
      </c>
    </row>
    <row r="7" spans="1:9">
      <c r="A7" s="43" t="s">
        <v>67</v>
      </c>
      <c r="B7" s="19">
        <v>0.1</v>
      </c>
      <c r="C7" t="s">
        <v>70</v>
      </c>
      <c r="H7" s="48">
        <v>0.03</v>
      </c>
      <c r="I7" s="21">
        <f t="dataTable" ref="I7:I18" dt2D="0" dtr="0" r1="B15"/>
        <v>-21600</v>
      </c>
    </row>
    <row r="8" spans="1:9">
      <c r="A8" s="43" t="s">
        <v>71</v>
      </c>
      <c r="B8" s="19">
        <v>0.15</v>
      </c>
      <c r="C8" t="s">
        <v>70</v>
      </c>
      <c r="H8" s="49">
        <v>3.5000000000000003E-2</v>
      </c>
      <c r="I8" s="21">
        <v>-17700</v>
      </c>
    </row>
    <row r="9" spans="1:9">
      <c r="A9" s="43" t="s">
        <v>72</v>
      </c>
      <c r="B9" s="19">
        <v>0.2</v>
      </c>
      <c r="C9" t="s">
        <v>73</v>
      </c>
      <c r="H9" s="48">
        <v>0.04</v>
      </c>
      <c r="I9" s="21">
        <v>-13800</v>
      </c>
    </row>
    <row r="10" spans="1:9">
      <c r="A10" s="43" t="s">
        <v>74</v>
      </c>
      <c r="B10" s="19">
        <v>32</v>
      </c>
      <c r="C10" t="s">
        <v>73</v>
      </c>
      <c r="H10" s="49">
        <v>4.4999999999999998E-2</v>
      </c>
      <c r="I10" s="21">
        <v>-9900</v>
      </c>
    </row>
    <row r="11" spans="1:9">
      <c r="A11" s="43" t="s">
        <v>75</v>
      </c>
      <c r="B11" s="21">
        <f>B5+(B7+B8)*B14+(B9+B10)*B16</f>
        <v>230769.23076923096</v>
      </c>
      <c r="C11" t="str">
        <f ca="1">_xlfn.FORMULATEXT(B11)</f>
        <v>=B5+(B7+B8)*B14+(B9+B10)*B16</v>
      </c>
      <c r="H11" s="48">
        <v>0.05</v>
      </c>
      <c r="I11" s="21">
        <v>-6000</v>
      </c>
    </row>
    <row r="12" spans="1:9">
      <c r="H12" s="49">
        <v>5.5E-2</v>
      </c>
      <c r="I12" s="21">
        <v>-2100.0000000000291</v>
      </c>
    </row>
    <row r="13" spans="1:9">
      <c r="H13" s="48">
        <v>0.06</v>
      </c>
      <c r="I13" s="21">
        <v>1799.9999999999709</v>
      </c>
    </row>
    <row r="14" spans="1:9">
      <c r="A14" s="43" t="s">
        <v>76</v>
      </c>
      <c r="B14" s="6">
        <v>100000</v>
      </c>
      <c r="H14" s="49">
        <v>6.5000000000000002E-2</v>
      </c>
      <c r="I14" s="21">
        <v>5699.9999999999709</v>
      </c>
    </row>
    <row r="15" spans="1:9">
      <c r="A15" s="44" t="s">
        <v>77</v>
      </c>
      <c r="B15" s="51">
        <v>5.7692307692307744E-2</v>
      </c>
      <c r="C15" t="s">
        <v>78</v>
      </c>
      <c r="H15" s="48">
        <v>7.0000000000000007E-2</v>
      </c>
      <c r="I15" s="21">
        <v>9600</v>
      </c>
    </row>
    <row r="16" spans="1:9">
      <c r="A16" s="44" t="s">
        <v>79</v>
      </c>
      <c r="B16" s="52">
        <f>B15*B14</f>
        <v>5769.2307692307741</v>
      </c>
      <c r="C16" t="str">
        <f ca="1">_xlfn.FORMULATEXT(B16)</f>
        <v>=B15*B14</v>
      </c>
      <c r="H16" s="49">
        <v>7.4999999999999997E-2</v>
      </c>
      <c r="I16" s="21">
        <v>13500</v>
      </c>
    </row>
    <row r="17" spans="1:9">
      <c r="A17" s="1" t="s">
        <v>80</v>
      </c>
      <c r="H17" s="48">
        <v>0.08</v>
      </c>
      <c r="I17" s="21">
        <v>17400</v>
      </c>
    </row>
    <row r="18" spans="1:9">
      <c r="A18" s="43" t="s">
        <v>81</v>
      </c>
      <c r="B18" s="19">
        <v>40</v>
      </c>
      <c r="H18" s="49">
        <v>8.5000000000000006E-2</v>
      </c>
      <c r="I18" s="21">
        <v>21300</v>
      </c>
    </row>
    <row r="19" spans="1:9">
      <c r="A19" s="43" t="s">
        <v>33</v>
      </c>
      <c r="B19" s="21">
        <f>B16*B18</f>
        <v>230769.23076923096</v>
      </c>
      <c r="C19" t="str">
        <f ca="1">_xlfn.FORMULATEXT(B19)</f>
        <v>=B16*B18</v>
      </c>
    </row>
    <row r="20" spans="1:9">
      <c r="A20" s="43" t="s">
        <v>34</v>
      </c>
      <c r="B20" s="21">
        <f>B19-B11</f>
        <v>0</v>
      </c>
    </row>
    <row r="52" spans="1:4">
      <c r="A52" s="189"/>
      <c r="B52" s="189"/>
    </row>
    <row r="53" spans="1:4">
      <c r="C53" s="20"/>
      <c r="D53" s="21"/>
    </row>
    <row r="56" spans="1:4">
      <c r="A56" s="20"/>
    </row>
    <row r="57" spans="1:4">
      <c r="A57" s="20"/>
    </row>
    <row r="58" spans="1:4">
      <c r="A58" s="20"/>
      <c r="B58" s="41"/>
    </row>
    <row r="59" spans="1:4">
      <c r="B59" s="21"/>
    </row>
    <row r="60" spans="1:4">
      <c r="A60" s="3"/>
    </row>
    <row r="61" spans="1:4">
      <c r="A61" s="20"/>
    </row>
    <row r="62" spans="1:4">
      <c r="A62" s="20"/>
      <c r="B62" s="2"/>
    </row>
  </sheetData>
  <mergeCells count="1">
    <mergeCell ref="A52:B5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408B-F2C0-CE42-8FC9-C5060C380DF6}">
  <dimension ref="A1:H19"/>
  <sheetViews>
    <sheetView workbookViewId="0">
      <selection activeCell="C21" sqref="C21"/>
    </sheetView>
  </sheetViews>
  <sheetFormatPr baseColWidth="10" defaultColWidth="11" defaultRowHeight="16"/>
  <cols>
    <col min="1" max="1" width="26.1640625" customWidth="1"/>
    <col min="8" max="8" width="18.1640625" customWidth="1"/>
  </cols>
  <sheetData>
    <row r="1" spans="1:8" ht="21" thickBot="1">
      <c r="A1" s="53" t="s">
        <v>82</v>
      </c>
    </row>
    <row r="2" spans="1:8" ht="17" thickTop="1">
      <c r="A2" t="s">
        <v>65</v>
      </c>
    </row>
    <row r="3" spans="1:8">
      <c r="A3" s="1" t="s">
        <v>21</v>
      </c>
      <c r="G3" s="1" t="s">
        <v>83</v>
      </c>
      <c r="H3" s="1" t="s">
        <v>84</v>
      </c>
    </row>
    <row r="4" spans="1:8">
      <c r="A4" s="43" t="s">
        <v>85</v>
      </c>
      <c r="B4" s="19">
        <v>500</v>
      </c>
      <c r="H4" s="54">
        <f>B17</f>
        <v>850</v>
      </c>
    </row>
    <row r="5" spans="1:8">
      <c r="A5" s="43" t="s">
        <v>86</v>
      </c>
      <c r="B5" s="19">
        <v>0.5</v>
      </c>
      <c r="C5" t="s">
        <v>87</v>
      </c>
      <c r="G5">
        <v>10</v>
      </c>
      <c r="H5">
        <f t="dataTable" ref="H5:H19" dt2D="0" dtr="0" r1="B11"/>
        <v>10</v>
      </c>
    </row>
    <row r="6" spans="1:8">
      <c r="A6" s="43" t="s">
        <v>88</v>
      </c>
      <c r="B6" s="21">
        <f>(B5*B11*B10)+200</f>
        <v>350</v>
      </c>
      <c r="G6">
        <v>20</v>
      </c>
      <c r="H6">
        <v>220</v>
      </c>
    </row>
    <row r="7" spans="1:8">
      <c r="A7" s="43" t="s">
        <v>89</v>
      </c>
      <c r="B7" s="21">
        <f>B6+B4</f>
        <v>850</v>
      </c>
      <c r="G7">
        <v>30</v>
      </c>
      <c r="H7">
        <v>430</v>
      </c>
    </row>
    <row r="8" spans="1:8">
      <c r="G8">
        <v>40</v>
      </c>
      <c r="H8">
        <v>640</v>
      </c>
    </row>
    <row r="9" spans="1:8">
      <c r="A9" s="1" t="s">
        <v>90</v>
      </c>
      <c r="G9">
        <v>50</v>
      </c>
      <c r="H9">
        <v>850</v>
      </c>
    </row>
    <row r="10" spans="1:8">
      <c r="A10" s="43" t="s">
        <v>91</v>
      </c>
      <c r="B10">
        <v>6</v>
      </c>
      <c r="G10">
        <v>60</v>
      </c>
      <c r="H10">
        <v>1060</v>
      </c>
    </row>
    <row r="11" spans="1:8">
      <c r="A11" s="43" t="s">
        <v>92</v>
      </c>
      <c r="B11" s="52">
        <v>50</v>
      </c>
      <c r="G11">
        <v>70</v>
      </c>
      <c r="H11">
        <v>1270</v>
      </c>
    </row>
    <row r="12" spans="1:8">
      <c r="G12">
        <v>80</v>
      </c>
      <c r="H12">
        <v>1480</v>
      </c>
    </row>
    <row r="13" spans="1:8">
      <c r="A13" s="1" t="s">
        <v>80</v>
      </c>
      <c r="G13">
        <v>90</v>
      </c>
      <c r="H13">
        <v>1690</v>
      </c>
    </row>
    <row r="14" spans="1:8">
      <c r="A14" s="43" t="s">
        <v>93</v>
      </c>
      <c r="B14" s="19">
        <v>4</v>
      </c>
      <c r="G14">
        <v>100</v>
      </c>
      <c r="H14">
        <v>1900</v>
      </c>
    </row>
    <row r="15" spans="1:8">
      <c r="A15" s="43" t="s">
        <v>94</v>
      </c>
      <c r="B15" s="21">
        <f>B14*(B10*B11)</f>
        <v>1200</v>
      </c>
      <c r="G15">
        <v>110</v>
      </c>
      <c r="H15">
        <v>2110</v>
      </c>
    </row>
    <row r="16" spans="1:8">
      <c r="G16">
        <v>120</v>
      </c>
      <c r="H16">
        <v>2320</v>
      </c>
    </row>
    <row r="17" spans="1:8">
      <c r="A17" s="1" t="s">
        <v>95</v>
      </c>
      <c r="B17" s="21">
        <f>B15-B6</f>
        <v>850</v>
      </c>
      <c r="G17">
        <v>130</v>
      </c>
      <c r="H17">
        <v>2530</v>
      </c>
    </row>
    <row r="18" spans="1:8">
      <c r="A18" s="1" t="s">
        <v>96</v>
      </c>
      <c r="B18" s="21">
        <f>B15-B7</f>
        <v>350</v>
      </c>
      <c r="G18">
        <v>140</v>
      </c>
      <c r="H18">
        <v>2740</v>
      </c>
    </row>
    <row r="19" spans="1:8">
      <c r="G19">
        <v>150</v>
      </c>
      <c r="H19">
        <v>2950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DC75-26AA-C046-AF9B-5A324B7B6BF7}">
  <dimension ref="A1:P22"/>
  <sheetViews>
    <sheetView workbookViewId="0">
      <selection activeCell="I40" sqref="I40"/>
    </sheetView>
  </sheetViews>
  <sheetFormatPr baseColWidth="10" defaultColWidth="11" defaultRowHeight="16"/>
  <cols>
    <col min="1" max="1" width="15.33203125" bestFit="1" customWidth="1"/>
    <col min="2" max="2" width="12.5" bestFit="1" customWidth="1"/>
    <col min="3" max="3" width="30.5" bestFit="1" customWidth="1"/>
    <col min="8" max="8" width="17" customWidth="1"/>
    <col min="9" max="9" width="14.83203125" customWidth="1"/>
    <col min="10" max="10" width="13.83203125" customWidth="1"/>
    <col min="11" max="11" width="16" customWidth="1"/>
    <col min="12" max="16" width="11.5" bestFit="1" customWidth="1"/>
  </cols>
  <sheetData>
    <row r="1" spans="1:16" ht="20">
      <c r="A1" s="188" t="s">
        <v>97</v>
      </c>
      <c r="B1" s="188"/>
    </row>
    <row r="3" spans="1:16">
      <c r="F3" t="s">
        <v>98</v>
      </c>
    </row>
    <row r="4" spans="1:16">
      <c r="A4" t="s">
        <v>99</v>
      </c>
      <c r="B4" s="19">
        <v>30</v>
      </c>
      <c r="F4" s="56" t="s">
        <v>100</v>
      </c>
      <c r="G4" s="104" t="s">
        <v>52</v>
      </c>
    </row>
    <row r="5" spans="1:16">
      <c r="A5" t="s">
        <v>101</v>
      </c>
      <c r="B5" s="19">
        <v>10</v>
      </c>
      <c r="F5" s="104">
        <v>0</v>
      </c>
      <c r="G5" s="14">
        <v>24</v>
      </c>
    </row>
    <row r="6" spans="1:16">
      <c r="F6" s="104">
        <v>1000</v>
      </c>
      <c r="G6" s="14">
        <v>23</v>
      </c>
    </row>
    <row r="7" spans="1:16">
      <c r="F7" s="104">
        <v>2000</v>
      </c>
      <c r="G7" s="14">
        <v>22.25</v>
      </c>
    </row>
    <row r="8" spans="1:16">
      <c r="F8" s="104">
        <v>3000</v>
      </c>
      <c r="G8" s="14">
        <v>21.75</v>
      </c>
    </row>
    <row r="9" spans="1:16">
      <c r="A9" t="s">
        <v>29</v>
      </c>
      <c r="B9" s="55">
        <v>500</v>
      </c>
      <c r="C9" t="s">
        <v>102</v>
      </c>
      <c r="F9" s="104">
        <v>4000</v>
      </c>
      <c r="G9" s="14">
        <v>21.3</v>
      </c>
    </row>
    <row r="10" spans="1:16">
      <c r="A10" t="s">
        <v>103</v>
      </c>
      <c r="B10" s="55">
        <v>500</v>
      </c>
    </row>
    <row r="12" spans="1:16">
      <c r="A12" t="s">
        <v>104</v>
      </c>
      <c r="B12">
        <f>MAX(B10-B9,0)</f>
        <v>0</v>
      </c>
      <c r="C12" t="str">
        <f ca="1">_xlfn.FORMULATEXT(B12)</f>
        <v>=MAX(B10-B9,0)</v>
      </c>
      <c r="H12" s="190" t="s">
        <v>105</v>
      </c>
      <c r="I12" s="191"/>
      <c r="J12" s="191"/>
      <c r="K12" s="191"/>
      <c r="L12" s="191"/>
      <c r="M12" s="191"/>
      <c r="N12" s="191"/>
      <c r="O12" s="191"/>
      <c r="P12" s="191"/>
    </row>
    <row r="13" spans="1:16">
      <c r="A13" t="s">
        <v>106</v>
      </c>
      <c r="B13">
        <f>IF(B9&gt;B10,0,B10-B9)</f>
        <v>0</v>
      </c>
      <c r="C13" t="str">
        <f ca="1">_xlfn.FORMULATEXT(B13)</f>
        <v>=IF(B9&gt;B10,0,B10-B9)</v>
      </c>
      <c r="G13" s="59">
        <f>B19</f>
        <v>3000</v>
      </c>
      <c r="H13" s="36">
        <v>500</v>
      </c>
      <c r="I13" s="36">
        <v>1000</v>
      </c>
      <c r="J13" s="36">
        <v>1500</v>
      </c>
      <c r="K13" s="36">
        <v>2000</v>
      </c>
      <c r="L13" s="36">
        <v>2500</v>
      </c>
      <c r="M13" s="36">
        <v>3000</v>
      </c>
      <c r="N13" s="36">
        <v>3500</v>
      </c>
      <c r="O13" s="36">
        <v>4000</v>
      </c>
      <c r="P13" s="36">
        <v>4500</v>
      </c>
    </row>
    <row r="14" spans="1:16">
      <c r="F14" s="192" t="s">
        <v>107</v>
      </c>
      <c r="G14" s="36">
        <v>500</v>
      </c>
      <c r="H14" s="38">
        <f t="dataTable" ref="H14:P22" dt2D="1" dtr="1" r1="B9" r2="B10"/>
        <v>3000</v>
      </c>
      <c r="I14" s="58">
        <v>3000</v>
      </c>
      <c r="J14" s="58">
        <v>3000</v>
      </c>
      <c r="K14" s="58">
        <v>3000</v>
      </c>
      <c r="L14" s="58">
        <v>3000</v>
      </c>
      <c r="M14" s="58">
        <v>3000</v>
      </c>
      <c r="N14" s="58">
        <v>3000</v>
      </c>
      <c r="O14" s="58">
        <v>3000</v>
      </c>
      <c r="P14" s="58">
        <v>3000</v>
      </c>
    </row>
    <row r="15" spans="1:16">
      <c r="A15" t="s">
        <v>108</v>
      </c>
      <c r="B15" s="19">
        <f>VLOOKUP(B10,F5:G9,2,TRUE)*B10</f>
        <v>12000</v>
      </c>
      <c r="C15" t="str">
        <f ca="1">_xlfn.FORMULATEXT(B15)</f>
        <v>=VLOOKUP(B10,F5:G9,2,TRUE)*B10</v>
      </c>
      <c r="F15" s="193"/>
      <c r="G15" s="36">
        <v>1000</v>
      </c>
      <c r="H15" s="58">
        <v>-3000</v>
      </c>
      <c r="I15" s="58">
        <v>7000</v>
      </c>
      <c r="J15" s="58">
        <v>7000</v>
      </c>
      <c r="K15" s="58">
        <v>7000</v>
      </c>
      <c r="L15" s="58">
        <v>7000</v>
      </c>
      <c r="M15" s="58">
        <v>7000</v>
      </c>
      <c r="N15" s="58">
        <v>7000</v>
      </c>
      <c r="O15" s="58">
        <v>7000</v>
      </c>
      <c r="P15" s="58">
        <v>7000</v>
      </c>
    </row>
    <row r="16" spans="1:16">
      <c r="F16" s="193"/>
      <c r="G16" s="36">
        <v>1500</v>
      </c>
      <c r="H16" s="58">
        <v>-9500</v>
      </c>
      <c r="I16" s="58">
        <v>500</v>
      </c>
      <c r="J16" s="58">
        <v>10500</v>
      </c>
      <c r="K16" s="58">
        <v>10500</v>
      </c>
      <c r="L16" s="58">
        <v>10500</v>
      </c>
      <c r="M16" s="58">
        <v>10500</v>
      </c>
      <c r="N16" s="58">
        <v>10500</v>
      </c>
      <c r="O16" s="58">
        <v>10500</v>
      </c>
      <c r="P16" s="58">
        <v>10500</v>
      </c>
    </row>
    <row r="17" spans="1:16">
      <c r="A17" t="s">
        <v>80</v>
      </c>
      <c r="B17" s="21">
        <f>MIN(B9:B10)*B4+B12*B5</f>
        <v>15000</v>
      </c>
      <c r="C17" t="str">
        <f ca="1">_xlfn.FORMULATEXT(B17)</f>
        <v>=MIN(B9:B10)*B4+B12*B5</v>
      </c>
      <c r="F17" s="193"/>
      <c r="G17" s="36">
        <v>2000</v>
      </c>
      <c r="H17" s="58">
        <v>-14500</v>
      </c>
      <c r="I17" s="58">
        <v>-4500</v>
      </c>
      <c r="J17" s="58">
        <v>5500</v>
      </c>
      <c r="K17" s="58">
        <v>15500</v>
      </c>
      <c r="L17" s="58">
        <v>15500</v>
      </c>
      <c r="M17" s="58">
        <v>15500</v>
      </c>
      <c r="N17" s="58">
        <v>15500</v>
      </c>
      <c r="O17" s="58">
        <v>15500</v>
      </c>
      <c r="P17" s="58">
        <v>15500</v>
      </c>
    </row>
    <row r="18" spans="1:16">
      <c r="F18" s="193"/>
      <c r="G18" s="36">
        <v>2500</v>
      </c>
      <c r="H18" s="58">
        <v>-20625</v>
      </c>
      <c r="I18" s="58">
        <v>-10625</v>
      </c>
      <c r="J18" s="58">
        <v>-625</v>
      </c>
      <c r="K18" s="58">
        <v>9375</v>
      </c>
      <c r="L18" s="58">
        <v>19375</v>
      </c>
      <c r="M18" s="58">
        <v>19375</v>
      </c>
      <c r="N18" s="58">
        <v>19375</v>
      </c>
      <c r="O18" s="58">
        <v>19375</v>
      </c>
      <c r="P18" s="58">
        <v>19375</v>
      </c>
    </row>
    <row r="19" spans="1:16">
      <c r="A19" t="s">
        <v>109</v>
      </c>
      <c r="B19" s="21">
        <f>B17-B15</f>
        <v>3000</v>
      </c>
      <c r="C19" t="str">
        <f ca="1">_xlfn.FORMULATEXT(B19)</f>
        <v>=B17-B15</v>
      </c>
      <c r="F19" s="193"/>
      <c r="G19" s="36">
        <v>3000</v>
      </c>
      <c r="H19" s="58">
        <v>-25250</v>
      </c>
      <c r="I19" s="58">
        <v>-15250</v>
      </c>
      <c r="J19" s="58">
        <v>-5250</v>
      </c>
      <c r="K19" s="58">
        <v>4750</v>
      </c>
      <c r="L19" s="58">
        <v>14750</v>
      </c>
      <c r="M19" s="58">
        <v>24750</v>
      </c>
      <c r="N19" s="58">
        <v>24750</v>
      </c>
      <c r="O19" s="58">
        <v>24750</v>
      </c>
      <c r="P19" s="58">
        <v>24750</v>
      </c>
    </row>
    <row r="20" spans="1:16">
      <c r="F20" s="193"/>
      <c r="G20" s="36">
        <v>3500</v>
      </c>
      <c r="H20" s="58">
        <v>-31125</v>
      </c>
      <c r="I20" s="58">
        <v>-21125</v>
      </c>
      <c r="J20" s="58">
        <v>-11125</v>
      </c>
      <c r="K20" s="58">
        <v>-1125</v>
      </c>
      <c r="L20" s="58">
        <v>8875</v>
      </c>
      <c r="M20" s="58">
        <v>18875</v>
      </c>
      <c r="N20" s="58">
        <v>28875</v>
      </c>
      <c r="O20" s="58">
        <v>28875</v>
      </c>
      <c r="P20" s="58">
        <v>28875</v>
      </c>
    </row>
    <row r="21" spans="1:16">
      <c r="F21" s="193"/>
      <c r="G21" s="36">
        <v>4000</v>
      </c>
      <c r="H21" s="58">
        <v>-35200</v>
      </c>
      <c r="I21" s="58">
        <v>-25200</v>
      </c>
      <c r="J21" s="58">
        <v>-15200</v>
      </c>
      <c r="K21" s="58">
        <v>-5200</v>
      </c>
      <c r="L21" s="58">
        <v>4800</v>
      </c>
      <c r="M21" s="58">
        <v>14800</v>
      </c>
      <c r="N21" s="58">
        <v>24800</v>
      </c>
      <c r="O21" s="58">
        <v>34800</v>
      </c>
      <c r="P21" s="58">
        <v>34800</v>
      </c>
    </row>
    <row r="22" spans="1:16">
      <c r="F22" s="193"/>
      <c r="G22" s="36">
        <v>4500</v>
      </c>
      <c r="H22" s="58">
        <v>-40850</v>
      </c>
      <c r="I22" s="58">
        <v>-30850</v>
      </c>
      <c r="J22" s="58">
        <v>-20850</v>
      </c>
      <c r="K22" s="58">
        <v>-10850</v>
      </c>
      <c r="L22" s="58">
        <v>-850</v>
      </c>
      <c r="M22" s="58">
        <v>9150</v>
      </c>
      <c r="N22" s="58">
        <v>19150</v>
      </c>
      <c r="O22" s="58">
        <v>29150</v>
      </c>
      <c r="P22" s="58">
        <v>39150</v>
      </c>
    </row>
  </sheetData>
  <mergeCells count="3">
    <mergeCell ref="A1:B1"/>
    <mergeCell ref="H12:P12"/>
    <mergeCell ref="F14:F22"/>
  </mergeCells>
  <conditionalFormatting sqref="H14:P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9C00-C3E3-154E-91D3-54B1CD668B44}">
  <dimension ref="A1:I22"/>
  <sheetViews>
    <sheetView workbookViewId="0">
      <selection activeCell="C5" sqref="C5"/>
    </sheetView>
  </sheetViews>
  <sheetFormatPr baseColWidth="10" defaultColWidth="11" defaultRowHeight="16"/>
  <cols>
    <col min="1" max="1" width="22.6640625" bestFit="1" customWidth="1"/>
    <col min="2" max="2" width="12.5" bestFit="1" customWidth="1"/>
    <col min="3" max="3" width="25.33203125" bestFit="1" customWidth="1"/>
    <col min="5" max="5" width="11.33203125" bestFit="1" customWidth="1"/>
    <col min="6" max="6" width="12.1640625" bestFit="1" customWidth="1"/>
    <col min="7" max="9" width="11.1640625" bestFit="1" customWidth="1"/>
  </cols>
  <sheetData>
    <row r="1" spans="1:9" ht="21" thickBot="1">
      <c r="A1" s="187" t="s">
        <v>110</v>
      </c>
      <c r="B1" s="187"/>
    </row>
    <row r="2" spans="1:9" ht="17" thickTop="1">
      <c r="A2" s="1" t="s">
        <v>21</v>
      </c>
      <c r="E2" s="191"/>
      <c r="F2" s="191"/>
      <c r="G2" s="191"/>
      <c r="H2" s="191"/>
      <c r="I2" s="191"/>
    </row>
    <row r="3" spans="1:9">
      <c r="A3" s="20" t="s">
        <v>111</v>
      </c>
      <c r="B3" s="19">
        <v>5000</v>
      </c>
      <c r="C3" t="s">
        <v>112</v>
      </c>
      <c r="E3" s="194" t="s">
        <v>105</v>
      </c>
      <c r="F3" s="195"/>
      <c r="G3" s="195"/>
      <c r="H3" s="195"/>
      <c r="I3" s="196"/>
    </row>
    <row r="4" spans="1:9">
      <c r="A4" s="60" t="s">
        <v>113</v>
      </c>
      <c r="B4" s="19">
        <v>400</v>
      </c>
      <c r="C4" t="s">
        <v>114</v>
      </c>
      <c r="E4" s="61">
        <f>B22</f>
        <v>0</v>
      </c>
      <c r="F4" s="57">
        <v>500</v>
      </c>
      <c r="G4" s="57">
        <v>1000</v>
      </c>
      <c r="H4" s="57">
        <v>1500</v>
      </c>
      <c r="I4" s="57">
        <v>2000</v>
      </c>
    </row>
    <row r="5" spans="1:9">
      <c r="A5" s="20" t="s">
        <v>115</v>
      </c>
      <c r="B5" s="19">
        <v>0.03</v>
      </c>
      <c r="C5" t="s">
        <v>116</v>
      </c>
      <c r="D5" s="197" t="s">
        <v>117</v>
      </c>
      <c r="E5" s="57">
        <v>1</v>
      </c>
      <c r="F5" s="38">
        <f t="dataTable" ref="F5:I9" dt2D="1" dtr="1" r1="B9" r2="B12"/>
        <v>-2800</v>
      </c>
      <c r="G5" s="38">
        <v>-2800</v>
      </c>
      <c r="H5" s="38">
        <v>-2800</v>
      </c>
      <c r="I5" s="38">
        <v>-2800</v>
      </c>
    </row>
    <row r="6" spans="1:9">
      <c r="A6" s="1" t="s">
        <v>118</v>
      </c>
      <c r="B6" s="21">
        <f>(12*B4)+(B5*B15)+(B3*B12)</f>
        <v>28285.714285714283</v>
      </c>
      <c r="C6" t="str">
        <f ca="1">_xlfn.FORMULATEXT(B6)</f>
        <v>=(12*B4)+(B5*B15)+(B3*B12)</v>
      </c>
      <c r="D6" s="197"/>
      <c r="E6" s="57">
        <v>2</v>
      </c>
      <c r="F6" s="38">
        <v>-2025</v>
      </c>
      <c r="G6" s="38">
        <v>-800</v>
      </c>
      <c r="H6" s="38">
        <v>-800</v>
      </c>
      <c r="I6" s="38">
        <v>-800</v>
      </c>
    </row>
    <row r="7" spans="1:9">
      <c r="D7" s="197"/>
      <c r="E7" s="57">
        <v>3</v>
      </c>
      <c r="F7" s="38">
        <v>-7025</v>
      </c>
      <c r="G7" s="38">
        <v>1200</v>
      </c>
      <c r="H7" s="38">
        <v>1200</v>
      </c>
      <c r="I7" s="38">
        <v>1200</v>
      </c>
    </row>
    <row r="8" spans="1:9">
      <c r="D8" s="197"/>
      <c r="E8" s="57">
        <v>4</v>
      </c>
      <c r="F8" s="38">
        <v>-12025</v>
      </c>
      <c r="G8" s="38">
        <v>750</v>
      </c>
      <c r="H8" s="38">
        <v>3200</v>
      </c>
      <c r="I8" s="38">
        <v>3200</v>
      </c>
    </row>
    <row r="9" spans="1:9">
      <c r="A9" t="s">
        <v>119</v>
      </c>
      <c r="B9" s="62">
        <v>774.95107632093936</v>
      </c>
      <c r="C9" t="s">
        <v>120</v>
      </c>
      <c r="D9" s="197"/>
      <c r="E9" s="57">
        <v>5</v>
      </c>
      <c r="F9" s="38">
        <v>-17025</v>
      </c>
      <c r="G9" s="38">
        <v>-4250</v>
      </c>
      <c r="H9" s="38">
        <v>5200</v>
      </c>
      <c r="I9" s="38">
        <v>5200</v>
      </c>
    </row>
    <row r="10" spans="1:9">
      <c r="A10" t="s">
        <v>121</v>
      </c>
      <c r="B10">
        <f>365*B9</f>
        <v>282857.14285714284</v>
      </c>
      <c r="C10" t="str">
        <f ca="1">_xlfn.FORMULATEXT(B10)</f>
        <v>=365*B9</v>
      </c>
    </row>
    <row r="12" spans="1:9">
      <c r="A12" t="s">
        <v>122</v>
      </c>
      <c r="B12" s="45">
        <v>3</v>
      </c>
    </row>
    <row r="13" spans="1:9">
      <c r="A13" t="s">
        <v>123</v>
      </c>
      <c r="B13">
        <f>100000*B12</f>
        <v>300000</v>
      </c>
    </row>
    <row r="15" spans="1:9">
      <c r="A15" t="s">
        <v>124</v>
      </c>
      <c r="B15">
        <f>MIN(B10,B13)</f>
        <v>282857.14285714284</v>
      </c>
    </row>
    <row r="17" spans="1:3">
      <c r="A17" s="1" t="s">
        <v>25</v>
      </c>
      <c r="B17" s="1"/>
      <c r="C17" s="1"/>
    </row>
    <row r="18" spans="1:3">
      <c r="A18" t="s">
        <v>125</v>
      </c>
      <c r="B18" s="19">
        <v>0.1</v>
      </c>
      <c r="C18" t="s">
        <v>116</v>
      </c>
    </row>
    <row r="20" spans="1:3">
      <c r="A20" s="1" t="s">
        <v>126</v>
      </c>
      <c r="B20" s="21">
        <f>B18*B15</f>
        <v>28285.714285714286</v>
      </c>
    </row>
    <row r="22" spans="1:3">
      <c r="A22" s="1" t="s">
        <v>127</v>
      </c>
      <c r="B22" s="21">
        <f>B20-B6</f>
        <v>0</v>
      </c>
    </row>
  </sheetData>
  <mergeCells count="4">
    <mergeCell ref="A1:B1"/>
    <mergeCell ref="E2:I2"/>
    <mergeCell ref="E3:I3"/>
    <mergeCell ref="D5:D9"/>
  </mergeCells>
  <conditionalFormatting sqref="F5:I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04C1-4B81-C14B-8131-2E472AD601C9}">
  <dimension ref="A1:M24"/>
  <sheetViews>
    <sheetView workbookViewId="0">
      <selection activeCell="F55" sqref="F55"/>
    </sheetView>
  </sheetViews>
  <sheetFormatPr baseColWidth="10" defaultColWidth="11" defaultRowHeight="16"/>
  <cols>
    <col min="1" max="1" width="23" customWidth="1"/>
    <col min="2" max="2" width="20.33203125" customWidth="1"/>
    <col min="7" max="7" width="14.6640625" bestFit="1" customWidth="1"/>
    <col min="8" max="8" width="14.83203125" bestFit="1" customWidth="1"/>
    <col min="9" max="9" width="14.6640625" bestFit="1" customWidth="1"/>
    <col min="10" max="13" width="14" bestFit="1" customWidth="1"/>
  </cols>
  <sheetData>
    <row r="1" spans="1:8" ht="21" thickBot="1">
      <c r="A1" s="187" t="s">
        <v>128</v>
      </c>
      <c r="B1" s="187"/>
    </row>
    <row r="2" spans="1:8" ht="17" thickTop="1"/>
    <row r="3" spans="1:8" ht="24">
      <c r="A3" s="63" t="s">
        <v>129</v>
      </c>
      <c r="E3" s="40" cm="1">
        <f t="array" ref="E3:E4">(B19:B20)*B6</f>
        <v>7500</v>
      </c>
    </row>
    <row r="4" spans="1:8">
      <c r="A4" s="10" t="s">
        <v>130</v>
      </c>
      <c r="B4" s="45">
        <v>5</v>
      </c>
      <c r="E4">
        <v>225</v>
      </c>
    </row>
    <row r="5" spans="1:8">
      <c r="A5" s="10" t="s">
        <v>131</v>
      </c>
      <c r="B5" s="67">
        <v>30</v>
      </c>
    </row>
    <row r="6" spans="1:8">
      <c r="A6" s="10" t="s">
        <v>132</v>
      </c>
      <c r="B6">
        <f>B4*B5</f>
        <v>150</v>
      </c>
      <c r="C6" t="str">
        <f ca="1">_xlfn.FORMULATEXT(B6)</f>
        <v>=B4*B5</v>
      </c>
    </row>
    <row r="7" spans="1:8">
      <c r="G7" s="35" t="s">
        <v>133</v>
      </c>
      <c r="H7" s="35" t="s">
        <v>109</v>
      </c>
    </row>
    <row r="8" spans="1:8" ht="24">
      <c r="A8" s="198" t="s">
        <v>134</v>
      </c>
      <c r="B8" s="198"/>
      <c r="G8" s="36"/>
      <c r="H8" s="59">
        <f>B24</f>
        <v>-250000</v>
      </c>
    </row>
    <row r="9" spans="1:8">
      <c r="A9" s="10" t="s">
        <v>135</v>
      </c>
      <c r="B9">
        <v>800</v>
      </c>
      <c r="G9" s="65">
        <v>0.4</v>
      </c>
      <c r="H9" s="38">
        <f t="dataTable" ref="H9:H15" dt2D="0" dtr="0" r1="B10" ca="1"/>
        <v>-3250000</v>
      </c>
    </row>
    <row r="10" spans="1:8">
      <c r="A10" s="10" t="s">
        <v>136</v>
      </c>
      <c r="B10" s="64">
        <v>0.9</v>
      </c>
      <c r="G10" s="65">
        <v>0.5</v>
      </c>
      <c r="H10" s="38">
        <v>-2650000</v>
      </c>
    </row>
    <row r="11" spans="1:8">
      <c r="A11" s="10" t="s">
        <v>137</v>
      </c>
      <c r="B11">
        <f>B10*B9</f>
        <v>720</v>
      </c>
      <c r="G11" s="65">
        <v>0.6</v>
      </c>
      <c r="H11" s="38">
        <v>-2050000</v>
      </c>
    </row>
    <row r="12" spans="1:8">
      <c r="G12" s="65">
        <v>0.7</v>
      </c>
      <c r="H12" s="38">
        <v>-1450000</v>
      </c>
    </row>
    <row r="13" spans="1:8" ht="24">
      <c r="A13" s="63" t="s">
        <v>108</v>
      </c>
      <c r="G13" s="65">
        <v>0.8</v>
      </c>
      <c r="H13" s="38">
        <v>-850000</v>
      </c>
    </row>
    <row r="14" spans="1:8">
      <c r="A14" s="10" t="s">
        <v>138</v>
      </c>
      <c r="B14" s="2">
        <v>5500000</v>
      </c>
      <c r="G14" s="65">
        <v>0.9</v>
      </c>
      <c r="H14" s="38">
        <v>-250000</v>
      </c>
    </row>
    <row r="15" spans="1:8">
      <c r="A15" s="10" t="s">
        <v>139</v>
      </c>
      <c r="B15" s="2">
        <v>1000</v>
      </c>
      <c r="C15" t="s">
        <v>140</v>
      </c>
      <c r="G15" s="65">
        <v>1</v>
      </c>
      <c r="H15" s="38">
        <v>350000</v>
      </c>
    </row>
    <row r="16" spans="1:8">
      <c r="A16" s="1" t="s">
        <v>44</v>
      </c>
      <c r="B16" s="40">
        <f>B14+(B15*B6)</f>
        <v>5650000</v>
      </c>
      <c r="C16" t="str">
        <f ca="1">_xlfn.FORMULATEXT(B16)</f>
        <v>=B14+(B15*B6)</v>
      </c>
    </row>
    <row r="18" spans="1:13" ht="24">
      <c r="A18" s="63" t="s">
        <v>80</v>
      </c>
      <c r="G18" s="59">
        <f>B24</f>
        <v>-250000</v>
      </c>
      <c r="H18" s="66">
        <v>40</v>
      </c>
      <c r="I18" s="66">
        <v>45</v>
      </c>
      <c r="J18" s="66">
        <v>50</v>
      </c>
      <c r="K18" s="66">
        <v>55</v>
      </c>
      <c r="L18" s="66">
        <v>60</v>
      </c>
      <c r="M18" s="66">
        <v>65</v>
      </c>
    </row>
    <row r="19" spans="1:13">
      <c r="A19" s="10" t="s">
        <v>141</v>
      </c>
      <c r="B19" s="2">
        <v>50</v>
      </c>
      <c r="C19" t="s">
        <v>142</v>
      </c>
      <c r="G19" s="36">
        <v>30</v>
      </c>
      <c r="H19" s="38">
        <f t="dataTable" ref="H19:M24" dt2D="1" dtr="1" r1="B19" r2="B5"/>
        <v>-1330000</v>
      </c>
      <c r="I19" s="38">
        <v>-790000</v>
      </c>
      <c r="J19" s="38">
        <v>-250000</v>
      </c>
      <c r="K19" s="38">
        <v>290000</v>
      </c>
      <c r="L19" s="38">
        <v>830000</v>
      </c>
      <c r="M19" s="38">
        <v>1370000</v>
      </c>
    </row>
    <row r="20" spans="1:13">
      <c r="A20" s="10" t="s">
        <v>143</v>
      </c>
      <c r="B20" s="19">
        <v>1.5</v>
      </c>
      <c r="C20" t="s">
        <v>142</v>
      </c>
      <c r="G20" s="36">
        <v>35</v>
      </c>
      <c r="H20" s="38">
        <v>-635000</v>
      </c>
      <c r="I20" s="38">
        <v>-5000</v>
      </c>
      <c r="J20" s="38">
        <v>625000</v>
      </c>
      <c r="K20" s="38">
        <v>1255000</v>
      </c>
      <c r="L20" s="38">
        <v>1885000</v>
      </c>
      <c r="M20" s="38">
        <v>2515000</v>
      </c>
    </row>
    <row r="21" spans="1:13">
      <c r="A21" s="1" t="s">
        <v>33</v>
      </c>
      <c r="B21" s="21" cm="1">
        <f t="array" ref="B21:B22">B11*B6*(B19:B20)</f>
        <v>5400000</v>
      </c>
      <c r="C21" t="str">
        <f ca="1">_xlfn.FORMULATEXT(B21)</f>
        <v>=B11*B6*(B19:B20)</v>
      </c>
      <c r="G21" s="36">
        <v>40</v>
      </c>
      <c r="H21" s="38">
        <v>60000</v>
      </c>
      <c r="I21" s="38">
        <v>780000</v>
      </c>
      <c r="J21" s="38">
        <v>1500000</v>
      </c>
      <c r="K21" s="38">
        <v>2220000</v>
      </c>
      <c r="L21" s="38">
        <v>2940000</v>
      </c>
      <c r="M21" s="38">
        <v>3660000</v>
      </c>
    </row>
    <row r="22" spans="1:13">
      <c r="B22" s="6">
        <v>162000</v>
      </c>
      <c r="G22" s="36">
        <v>45</v>
      </c>
      <c r="H22" s="38">
        <v>755000</v>
      </c>
      <c r="I22" s="38">
        <v>1565000</v>
      </c>
      <c r="J22" s="38">
        <v>2375000</v>
      </c>
      <c r="K22" s="38">
        <v>3185000</v>
      </c>
      <c r="L22" s="38">
        <v>3995000</v>
      </c>
      <c r="M22" s="38">
        <v>4805000</v>
      </c>
    </row>
    <row r="23" spans="1:13">
      <c r="G23" s="36">
        <v>50</v>
      </c>
      <c r="H23" s="38">
        <v>1450000</v>
      </c>
      <c r="I23" s="38">
        <v>2350000</v>
      </c>
      <c r="J23" s="38">
        <v>3250000</v>
      </c>
      <c r="K23" s="38">
        <v>4150000</v>
      </c>
      <c r="L23" s="38">
        <v>5050000</v>
      </c>
      <c r="M23" s="38">
        <v>5950000</v>
      </c>
    </row>
    <row r="24" spans="1:13">
      <c r="A24" t="s">
        <v>109</v>
      </c>
      <c r="B24" s="19">
        <f>B21-B16</f>
        <v>-250000</v>
      </c>
      <c r="G24" s="36">
        <v>55</v>
      </c>
      <c r="H24" s="38">
        <v>2145000</v>
      </c>
      <c r="I24" s="38">
        <v>3135000</v>
      </c>
      <c r="J24" s="38">
        <v>4125000</v>
      </c>
      <c r="K24" s="38">
        <v>5115000</v>
      </c>
      <c r="L24" s="38">
        <v>6105000</v>
      </c>
      <c r="M24" s="38">
        <v>7095000</v>
      </c>
    </row>
  </sheetData>
  <mergeCells count="2">
    <mergeCell ref="A1:B1"/>
    <mergeCell ref="A8:B8"/>
  </mergeCells>
  <conditionalFormatting sqref="H9:H15 G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M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B231-B86F-364A-9609-A120FCE3DB54}">
  <dimension ref="A1:M138"/>
  <sheetViews>
    <sheetView workbookViewId="0">
      <selection activeCell="O46" sqref="O46"/>
    </sheetView>
  </sheetViews>
  <sheetFormatPr baseColWidth="10" defaultColWidth="11" defaultRowHeight="16"/>
  <cols>
    <col min="1" max="1" width="17.1640625" customWidth="1"/>
    <col min="2" max="2" width="17" customWidth="1"/>
    <col min="3" max="3" width="18" customWidth="1"/>
    <col min="4" max="4" width="21.5" customWidth="1"/>
    <col min="5" max="6" width="19.6640625" bestFit="1" customWidth="1"/>
    <col min="7" max="7" width="19.83203125" bestFit="1" customWidth="1"/>
    <col min="8" max="8" width="22.5" customWidth="1"/>
    <col min="9" max="13" width="14.6640625" bestFit="1" customWidth="1"/>
  </cols>
  <sheetData>
    <row r="1" spans="1:3" ht="21" thickBot="1">
      <c r="A1" s="187" t="s">
        <v>144</v>
      </c>
      <c r="B1" s="187"/>
    </row>
    <row r="2" spans="1:3" ht="17" thickTop="1"/>
    <row r="3" spans="1:3">
      <c r="A3" s="35" t="s">
        <v>145</v>
      </c>
      <c r="B3" s="35" t="s">
        <v>93</v>
      </c>
      <c r="C3" s="35" t="s">
        <v>146</v>
      </c>
    </row>
    <row r="4" spans="1:3">
      <c r="A4" s="68">
        <v>1</v>
      </c>
      <c r="B4" s="57">
        <v>450</v>
      </c>
      <c r="C4" s="36">
        <v>45</v>
      </c>
    </row>
    <row r="5" spans="1:3">
      <c r="A5" s="36">
        <v>2</v>
      </c>
      <c r="B5" s="57">
        <v>300</v>
      </c>
      <c r="C5" s="36">
        <v>103</v>
      </c>
    </row>
    <row r="6" spans="1:3">
      <c r="A6" s="68">
        <v>3</v>
      </c>
      <c r="B6" s="57">
        <v>440</v>
      </c>
      <c r="C6" s="36">
        <v>49</v>
      </c>
    </row>
    <row r="7" spans="1:3">
      <c r="A7" s="36">
        <v>4</v>
      </c>
      <c r="B7" s="57">
        <v>360</v>
      </c>
      <c r="C7" s="36">
        <v>86</v>
      </c>
    </row>
    <row r="8" spans="1:3">
      <c r="A8" s="68">
        <v>5</v>
      </c>
      <c r="B8" s="57">
        <v>290</v>
      </c>
      <c r="C8" s="36">
        <v>125</v>
      </c>
    </row>
    <row r="9" spans="1:3">
      <c r="A9" s="36">
        <v>6</v>
      </c>
      <c r="B9" s="57">
        <v>450</v>
      </c>
      <c r="C9" s="36">
        <v>52</v>
      </c>
    </row>
    <row r="10" spans="1:3">
      <c r="A10" s="68">
        <v>7</v>
      </c>
      <c r="B10" s="57">
        <v>340</v>
      </c>
      <c r="C10" s="36">
        <v>87</v>
      </c>
    </row>
    <row r="11" spans="1:3">
      <c r="A11" s="36">
        <v>8</v>
      </c>
      <c r="B11" s="57">
        <v>370</v>
      </c>
      <c r="C11" s="36">
        <v>68</v>
      </c>
    </row>
    <row r="12" spans="1:3">
      <c r="A12" s="68">
        <v>9</v>
      </c>
      <c r="B12" s="57">
        <v>500</v>
      </c>
      <c r="C12" s="36">
        <v>45</v>
      </c>
    </row>
    <row r="13" spans="1:3">
      <c r="A13" s="36">
        <v>10</v>
      </c>
      <c r="B13" s="57">
        <v>490</v>
      </c>
      <c r="C13" s="36">
        <v>44</v>
      </c>
    </row>
    <row r="14" spans="1:3">
      <c r="A14" s="68">
        <v>11</v>
      </c>
      <c r="B14" s="57">
        <v>430</v>
      </c>
      <c r="C14" s="36">
        <v>58</v>
      </c>
    </row>
    <row r="15" spans="1:3">
      <c r="A15" s="36">
        <v>12</v>
      </c>
      <c r="B15" s="57">
        <v>390</v>
      </c>
      <c r="C15" s="36">
        <v>68</v>
      </c>
    </row>
    <row r="18" spans="1:8">
      <c r="A18" s="194" t="s">
        <v>147</v>
      </c>
      <c r="B18" s="196"/>
      <c r="C18" s="194" t="s">
        <v>148</v>
      </c>
      <c r="D18" s="196"/>
      <c r="E18" s="199" t="s">
        <v>149</v>
      </c>
      <c r="F18" s="199"/>
    </row>
    <row r="19" spans="1:8">
      <c r="A19" s="36" t="s">
        <v>150</v>
      </c>
      <c r="B19" s="36">
        <v>211.31</v>
      </c>
      <c r="C19" s="36" t="s">
        <v>151</v>
      </c>
      <c r="D19" s="69">
        <v>5871064</v>
      </c>
      <c r="E19" s="36" t="s">
        <v>151</v>
      </c>
      <c r="F19" s="36">
        <v>466.51</v>
      </c>
    </row>
    <row r="20" spans="1:8">
      <c r="A20" s="36" t="s">
        <v>152</v>
      </c>
      <c r="B20" s="36">
        <v>-0.35460000000000003</v>
      </c>
      <c r="C20" s="36" t="s">
        <v>153</v>
      </c>
      <c r="D20" s="36">
        <v>-1.9079999999999999</v>
      </c>
      <c r="E20" s="36" t="s">
        <v>153</v>
      </c>
      <c r="F20" s="36">
        <v>-5.0000000000000001E-3</v>
      </c>
    </row>
    <row r="23" spans="1:8">
      <c r="A23" s="191" t="s">
        <v>154</v>
      </c>
      <c r="B23" s="191"/>
      <c r="C23" s="191"/>
      <c r="D23" s="191"/>
      <c r="F23" s="200" t="s">
        <v>155</v>
      </c>
      <c r="G23" s="200"/>
    </row>
    <row r="24" spans="1:8">
      <c r="A24" s="95" t="s">
        <v>93</v>
      </c>
      <c r="B24" s="96" t="s">
        <v>156</v>
      </c>
      <c r="C24" s="96" t="s">
        <v>157</v>
      </c>
      <c r="D24" s="96" t="s">
        <v>158</v>
      </c>
      <c r="E24" s="97" t="s">
        <v>146</v>
      </c>
      <c r="F24" s="96" t="s">
        <v>159</v>
      </c>
      <c r="G24" s="96" t="s">
        <v>160</v>
      </c>
      <c r="H24" s="98" t="s">
        <v>161</v>
      </c>
    </row>
    <row r="25" spans="1:8">
      <c r="A25" s="93">
        <v>450</v>
      </c>
      <c r="B25" s="70">
        <f>$B$20*A25+$B$19</f>
        <v>51.739999999999981</v>
      </c>
      <c r="C25" s="70">
        <f>$D$19*A25^$D$20</f>
        <v>50.861286169919921</v>
      </c>
      <c r="D25" s="70">
        <f t="shared" ref="D25:D36" si="0">$F$19*EXP($F$20*A25)</f>
        <v>49.169792250355329</v>
      </c>
      <c r="E25" s="73">
        <v>45</v>
      </c>
      <c r="F25" s="71">
        <f>ABS(B25-E25)/E25</f>
        <v>0.14977777777777734</v>
      </c>
      <c r="G25" s="71">
        <f>ABS(C25-E25)/E25</f>
        <v>0.13025080377599826</v>
      </c>
      <c r="H25" s="94">
        <f>ABS(D25-E25)/E25</f>
        <v>9.2662050007896193E-2</v>
      </c>
    </row>
    <row r="26" spans="1:8">
      <c r="A26" s="93">
        <v>300</v>
      </c>
      <c r="B26" s="70">
        <f t="shared" ref="B26:B36" si="1">$B$20*A26+$B$19</f>
        <v>104.92999999999999</v>
      </c>
      <c r="C26" s="70">
        <f t="shared" ref="C26:C36" si="2">$D$19*A26^$D$20</f>
        <v>110.2476803704582</v>
      </c>
      <c r="D26" s="70">
        <f t="shared" si="0"/>
        <v>104.09245101084399</v>
      </c>
      <c r="E26" s="73">
        <v>103</v>
      </c>
      <c r="F26" s="71">
        <f t="shared" ref="F26:F36" si="3">ABS(B26-E26)/E26</f>
        <v>1.8737864077669832E-2</v>
      </c>
      <c r="G26" s="71">
        <f>ABS(C26-E26)/E26</f>
        <v>7.0365828839399985E-2</v>
      </c>
      <c r="H26" s="94">
        <f t="shared" ref="H26:H36" si="4">ABS(D26-E26)/E26</f>
        <v>1.0606320493630948E-2</v>
      </c>
    </row>
    <row r="27" spans="1:8">
      <c r="A27" s="93">
        <v>440</v>
      </c>
      <c r="B27" s="70">
        <f t="shared" si="1"/>
        <v>55.286000000000001</v>
      </c>
      <c r="C27" s="70">
        <f t="shared" si="2"/>
        <v>53.089557787712614</v>
      </c>
      <c r="D27" s="70">
        <f t="shared" si="0"/>
        <v>51.69078140761237</v>
      </c>
      <c r="E27" s="73">
        <v>49</v>
      </c>
      <c r="F27" s="71">
        <f t="shared" si="3"/>
        <v>0.12828571428571431</v>
      </c>
      <c r="G27" s="71">
        <f t="shared" ref="G27:G36" si="5">ABS(C27-E27)/E27</f>
        <v>8.3460363014543154E-2</v>
      </c>
      <c r="H27" s="94">
        <f t="shared" si="4"/>
        <v>5.4913906277803466E-2</v>
      </c>
    </row>
    <row r="28" spans="1:8">
      <c r="A28" s="93">
        <v>360</v>
      </c>
      <c r="B28" s="70">
        <f t="shared" si="1"/>
        <v>83.653999999999996</v>
      </c>
      <c r="C28" s="70">
        <f t="shared" si="2"/>
        <v>77.85592038588905</v>
      </c>
      <c r="D28" s="70">
        <f t="shared" si="0"/>
        <v>77.113584344252331</v>
      </c>
      <c r="E28" s="73">
        <v>86</v>
      </c>
      <c r="F28" s="71">
        <f t="shared" si="3"/>
        <v>2.7279069767441901E-2</v>
      </c>
      <c r="G28" s="71">
        <f t="shared" si="5"/>
        <v>9.4698600164080812E-2</v>
      </c>
      <c r="H28" s="94">
        <f t="shared" si="4"/>
        <v>0.10333041460171709</v>
      </c>
    </row>
    <row r="29" spans="1:8">
      <c r="A29" s="93">
        <v>290</v>
      </c>
      <c r="B29" s="70">
        <f t="shared" si="1"/>
        <v>108.476</v>
      </c>
      <c r="C29" s="70">
        <f t="shared" si="2"/>
        <v>117.61465381582187</v>
      </c>
      <c r="D29" s="70">
        <f t="shared" si="0"/>
        <v>109.42938509863754</v>
      </c>
      <c r="E29" s="73">
        <v>125</v>
      </c>
      <c r="F29" s="71">
        <f t="shared" si="3"/>
        <v>0.132192</v>
      </c>
      <c r="G29" s="71">
        <f t="shared" si="5"/>
        <v>5.9082769473425063E-2</v>
      </c>
      <c r="H29" s="94">
        <f t="shared" si="4"/>
        <v>0.12456491921089968</v>
      </c>
    </row>
    <row r="30" spans="1:8">
      <c r="A30" s="93">
        <v>450</v>
      </c>
      <c r="B30" s="70">
        <f t="shared" si="1"/>
        <v>51.739999999999981</v>
      </c>
      <c r="C30" s="70">
        <f t="shared" si="2"/>
        <v>50.861286169919921</v>
      </c>
      <c r="D30" s="70">
        <f t="shared" si="0"/>
        <v>49.169792250355329</v>
      </c>
      <c r="E30" s="73">
        <v>52</v>
      </c>
      <c r="F30" s="71">
        <f t="shared" si="3"/>
        <v>5.0000000000003713E-3</v>
      </c>
      <c r="G30" s="71">
        <f t="shared" si="5"/>
        <v>2.1898342886155355E-2</v>
      </c>
      <c r="H30" s="94">
        <f t="shared" si="4"/>
        <v>5.4427072108551369E-2</v>
      </c>
    </row>
    <row r="31" spans="1:8">
      <c r="A31" s="93">
        <v>340</v>
      </c>
      <c r="B31" s="70">
        <f t="shared" si="1"/>
        <v>90.745999999999995</v>
      </c>
      <c r="C31" s="70">
        <f t="shared" si="2"/>
        <v>86.827049006961417</v>
      </c>
      <c r="D31" s="70">
        <f t="shared" si="0"/>
        <v>85.223690805841244</v>
      </c>
      <c r="E31" s="73">
        <v>87</v>
      </c>
      <c r="F31" s="71">
        <f t="shared" si="3"/>
        <v>4.3057471264367757E-2</v>
      </c>
      <c r="G31" s="71">
        <f t="shared" si="5"/>
        <v>1.9879424487193459E-3</v>
      </c>
      <c r="H31" s="94">
        <f t="shared" si="4"/>
        <v>2.0417347059296046E-2</v>
      </c>
    </row>
    <row r="32" spans="1:8">
      <c r="A32" s="93">
        <v>370</v>
      </c>
      <c r="B32" s="70">
        <f t="shared" si="1"/>
        <v>80.108000000000004</v>
      </c>
      <c r="C32" s="70">
        <f t="shared" si="2"/>
        <v>73.890384263545585</v>
      </c>
      <c r="D32" s="70">
        <f t="shared" si="0"/>
        <v>73.352710456970414</v>
      </c>
      <c r="E32" s="73">
        <v>68</v>
      </c>
      <c r="F32" s="71">
        <f t="shared" si="3"/>
        <v>0.17805882352941182</v>
      </c>
      <c r="G32" s="71">
        <f t="shared" si="5"/>
        <v>8.6623297993317416E-2</v>
      </c>
      <c r="H32" s="94">
        <f t="shared" si="4"/>
        <v>7.8716330249564911E-2</v>
      </c>
    </row>
    <row r="33" spans="1:8">
      <c r="A33" s="93">
        <v>500</v>
      </c>
      <c r="B33" s="70">
        <f t="shared" si="1"/>
        <v>34.009999999999991</v>
      </c>
      <c r="C33" s="70">
        <f t="shared" si="2"/>
        <v>41.59891911995917</v>
      </c>
      <c r="D33" s="70">
        <f t="shared" si="0"/>
        <v>38.293472708035026</v>
      </c>
      <c r="E33" s="73">
        <v>45</v>
      </c>
      <c r="F33" s="71">
        <f t="shared" si="3"/>
        <v>0.24422222222222242</v>
      </c>
      <c r="G33" s="71">
        <f t="shared" si="5"/>
        <v>7.5579575112018446E-2</v>
      </c>
      <c r="H33" s="94">
        <f t="shared" si="4"/>
        <v>0.14903393982144386</v>
      </c>
    </row>
    <row r="34" spans="1:8">
      <c r="A34" s="93">
        <v>490</v>
      </c>
      <c r="B34" s="70">
        <f t="shared" si="1"/>
        <v>37.555999999999983</v>
      </c>
      <c r="C34" s="70">
        <f t="shared" si="2"/>
        <v>43.233728796663705</v>
      </c>
      <c r="D34" s="70">
        <f t="shared" si="0"/>
        <v>40.256821037821332</v>
      </c>
      <c r="E34" s="73">
        <v>44</v>
      </c>
      <c r="F34" s="71">
        <f t="shared" si="3"/>
        <v>0.14645454545454584</v>
      </c>
      <c r="G34" s="71">
        <f t="shared" si="5"/>
        <v>1.7415254621279432E-2</v>
      </c>
      <c r="H34" s="94">
        <f t="shared" si="4"/>
        <v>8.5072249140424272E-2</v>
      </c>
    </row>
    <row r="35" spans="1:8">
      <c r="A35" s="93">
        <v>430</v>
      </c>
      <c r="B35" s="70">
        <f t="shared" si="1"/>
        <v>58.831999999999994</v>
      </c>
      <c r="C35" s="70">
        <f t="shared" si="2"/>
        <v>55.470106712335337</v>
      </c>
      <c r="D35" s="70">
        <f t="shared" si="0"/>
        <v>54.341024442914069</v>
      </c>
      <c r="E35" s="73">
        <v>58</v>
      </c>
      <c r="F35" s="71">
        <f t="shared" si="3"/>
        <v>1.4344827586206787E-2</v>
      </c>
      <c r="G35" s="71">
        <f t="shared" si="5"/>
        <v>4.3618849787321778E-2</v>
      </c>
      <c r="H35" s="94">
        <f t="shared" si="4"/>
        <v>6.3085785466998806E-2</v>
      </c>
    </row>
    <row r="36" spans="1:8">
      <c r="A36" s="99">
        <v>390</v>
      </c>
      <c r="B36" s="100">
        <f t="shared" si="1"/>
        <v>73.015999999999991</v>
      </c>
      <c r="C36" s="100">
        <f t="shared" si="2"/>
        <v>66.829089531318985</v>
      </c>
      <c r="D36" s="100">
        <f t="shared" si="0"/>
        <v>66.372277135824447</v>
      </c>
      <c r="E36" s="101">
        <v>68</v>
      </c>
      <c r="F36" s="102">
        <f t="shared" si="3"/>
        <v>7.3764705882352816E-2</v>
      </c>
      <c r="G36" s="102">
        <f t="shared" si="5"/>
        <v>1.7219271598250221E-2</v>
      </c>
      <c r="H36" s="103">
        <f t="shared" si="4"/>
        <v>2.393710094375813E-2</v>
      </c>
    </row>
    <row r="37" spans="1:8">
      <c r="E37" t="s">
        <v>162</v>
      </c>
      <c r="F37" s="48">
        <f>AVERAGE(F25:F36)</f>
        <v>9.6764585153975916E-2</v>
      </c>
      <c r="G37" s="76">
        <f>AVERAGE(G25:G36)</f>
        <v>5.8516741642875771E-2</v>
      </c>
      <c r="H37" s="48">
        <f>AVERAGE(H25:H36)</f>
        <v>7.17306196151654E-2</v>
      </c>
    </row>
    <row r="38" spans="1:8">
      <c r="A38" t="s">
        <v>163</v>
      </c>
    </row>
    <row r="39" spans="1:8">
      <c r="A39" t="s">
        <v>164</v>
      </c>
      <c r="B39" s="74">
        <v>250</v>
      </c>
      <c r="C39" t="s">
        <v>165</v>
      </c>
    </row>
    <row r="40" spans="1:8">
      <c r="A40" t="s">
        <v>166</v>
      </c>
      <c r="B40" s="74">
        <v>450</v>
      </c>
      <c r="C40" t="s">
        <v>165</v>
      </c>
    </row>
    <row r="41" spans="1:8">
      <c r="A41" t="s">
        <v>29</v>
      </c>
      <c r="B41" s="52">
        <f>D19*B40^D20</f>
        <v>50.861286169919921</v>
      </c>
      <c r="C41" t="str">
        <f ca="1">_xlfn.FORMULATEXT(B41)</f>
        <v>=D19*B40^D20</v>
      </c>
      <c r="D41" t="s">
        <v>167</v>
      </c>
      <c r="F41" s="1" t="s">
        <v>93</v>
      </c>
      <c r="G41" s="1" t="s">
        <v>109</v>
      </c>
    </row>
    <row r="42" spans="1:8">
      <c r="A42" t="s">
        <v>168</v>
      </c>
      <c r="B42" s="52">
        <f>B41*100</f>
        <v>5086.1286169919922</v>
      </c>
      <c r="G42" s="75">
        <f>B47</f>
        <v>1017225.7233983984</v>
      </c>
    </row>
    <row r="43" spans="1:8">
      <c r="F43" s="66">
        <v>260</v>
      </c>
      <c r="G43" s="66">
        <f t="dataTable" ref="G43:G77" dt2D="0" dtr="0" r1="B40"/>
        <v>144859.72842847556</v>
      </c>
    </row>
    <row r="44" spans="1:8">
      <c r="A44" t="s">
        <v>169</v>
      </c>
      <c r="B44" s="21">
        <f>B42*B39</f>
        <v>1271532.154247998</v>
      </c>
      <c r="F44" s="66">
        <v>270</v>
      </c>
      <c r="G44" s="66">
        <v>269590.60184817808</v>
      </c>
    </row>
    <row r="45" spans="1:8">
      <c r="A45" t="s">
        <v>25</v>
      </c>
      <c r="B45" s="21">
        <f>B42*B40</f>
        <v>2288757.8776463964</v>
      </c>
      <c r="F45" s="66">
        <v>280</v>
      </c>
      <c r="G45" s="66">
        <v>377277.18719872413</v>
      </c>
    </row>
    <row r="46" spans="1:8">
      <c r="F46" s="66">
        <v>290</v>
      </c>
      <c r="G46" s="66">
        <v>470458.61526328744</v>
      </c>
    </row>
    <row r="47" spans="1:8">
      <c r="A47" t="s">
        <v>34</v>
      </c>
      <c r="B47" s="21">
        <f>B45-B44</f>
        <v>1017225.7233983984</v>
      </c>
      <c r="F47" s="66">
        <v>300</v>
      </c>
      <c r="G47" s="66">
        <v>551238.40185229108</v>
      </c>
    </row>
    <row r="48" spans="1:8">
      <c r="F48" s="66">
        <v>310</v>
      </c>
      <c r="G48" s="66">
        <v>621369.53021456813</v>
      </c>
    </row>
    <row r="49" spans="6:9">
      <c r="F49" s="66">
        <v>320</v>
      </c>
      <c r="G49" s="66">
        <v>682320.93416212313</v>
      </c>
    </row>
    <row r="50" spans="6:9">
      <c r="F50" s="66">
        <v>330</v>
      </c>
      <c r="G50" s="66">
        <v>735329.86392835062</v>
      </c>
    </row>
    <row r="51" spans="6:9">
      <c r="F51" s="66">
        <v>340</v>
      </c>
      <c r="G51" s="66">
        <v>781443.44106265297</v>
      </c>
    </row>
    <row r="52" spans="6:9">
      <c r="F52" s="66">
        <v>350</v>
      </c>
      <c r="G52" s="66">
        <v>821551.86522268457</v>
      </c>
    </row>
    <row r="53" spans="6:9">
      <c r="F53" s="66">
        <v>360</v>
      </c>
      <c r="G53" s="66">
        <v>856415.12424477958</v>
      </c>
    </row>
    <row r="54" spans="6:9">
      <c r="F54" s="66">
        <v>370</v>
      </c>
      <c r="G54" s="66">
        <v>886684.61116254725</v>
      </c>
    </row>
    <row r="55" spans="6:9">
      <c r="F55" s="66">
        <v>380</v>
      </c>
      <c r="G55" s="66">
        <v>912920.72098907013</v>
      </c>
    </row>
    <row r="56" spans="6:9">
      <c r="F56" s="66">
        <v>390</v>
      </c>
      <c r="G56" s="66">
        <v>935607.253438466</v>
      </c>
    </row>
    <row r="57" spans="6:9">
      <c r="F57" s="66">
        <v>400</v>
      </c>
      <c r="G57" s="66">
        <v>955163.26238462282</v>
      </c>
    </row>
    <row r="58" spans="6:9">
      <c r="F58" s="66">
        <v>410</v>
      </c>
      <c r="G58" s="66">
        <v>971952.85243747453</v>
      </c>
    </row>
    <row r="59" spans="6:9">
      <c r="F59" s="66">
        <v>420</v>
      </c>
      <c r="G59" s="66">
        <v>986293.31587235699</v>
      </c>
    </row>
    <row r="60" spans="6:9">
      <c r="F60" s="66">
        <v>430</v>
      </c>
      <c r="G60" s="66">
        <v>998461.92082203622</v>
      </c>
    </row>
    <row r="61" spans="6:9">
      <c r="F61" s="66">
        <v>440</v>
      </c>
      <c r="G61" s="66">
        <v>1008701.5979665397</v>
      </c>
      <c r="I61" t="s">
        <v>170</v>
      </c>
    </row>
    <row r="62" spans="6:9">
      <c r="F62" s="66">
        <v>450</v>
      </c>
      <c r="G62" s="66">
        <v>1017225.7233983984</v>
      </c>
    </row>
    <row r="63" spans="6:9">
      <c r="F63" s="66">
        <v>460</v>
      </c>
      <c r="G63" s="66">
        <v>1024222.1565401531</v>
      </c>
    </row>
    <row r="64" spans="6:9">
      <c r="F64" s="66">
        <v>470</v>
      </c>
      <c r="G64" s="66">
        <v>1029856.6614397548</v>
      </c>
    </row>
    <row r="65" spans="6:13">
      <c r="F65" s="66">
        <v>480</v>
      </c>
      <c r="G65" s="66">
        <v>1034275.8155834542</v>
      </c>
    </row>
    <row r="66" spans="6:13">
      <c r="F66" s="66">
        <v>490</v>
      </c>
      <c r="G66" s="66">
        <v>1037609.4911199291</v>
      </c>
    </row>
    <row r="67" spans="6:13">
      <c r="F67" s="66">
        <v>500</v>
      </c>
      <c r="G67" s="66">
        <v>1039972.9779989794</v>
      </c>
    </row>
    <row r="68" spans="6:13">
      <c r="F68" s="66">
        <v>510</v>
      </c>
      <c r="G68" s="66">
        <v>1041468.8061629091</v>
      </c>
    </row>
    <row r="69" spans="6:13">
      <c r="F69" s="66">
        <v>520</v>
      </c>
      <c r="G69" s="66">
        <v>1042188.3139489595</v>
      </c>
    </row>
    <row r="70" spans="6:13">
      <c r="F70" s="66">
        <v>530</v>
      </c>
      <c r="G70" s="66">
        <v>1042213.0017719698</v>
      </c>
    </row>
    <row r="71" spans="6:13">
      <c r="F71" s="66">
        <v>540</v>
      </c>
      <c r="G71" s="66">
        <v>1041615.7035724644</v>
      </c>
    </row>
    <row r="72" spans="6:13">
      <c r="F72" s="66">
        <v>550</v>
      </c>
      <c r="G72" s="66">
        <v>1040461.6031350964</v>
      </c>
    </row>
    <row r="73" spans="6:13">
      <c r="F73" s="66">
        <v>560</v>
      </c>
      <c r="G73" s="66">
        <v>1038809.1179690239</v>
      </c>
    </row>
    <row r="74" spans="6:13">
      <c r="F74" s="66">
        <v>570</v>
      </c>
      <c r="G74" s="66">
        <v>1036710.669808225</v>
      </c>
    </row>
    <row r="75" spans="6:13">
      <c r="F75" s="66">
        <v>580</v>
      </c>
      <c r="G75" s="66">
        <v>1034213.3577876764</v>
      </c>
    </row>
    <row r="76" spans="6:13">
      <c r="F76" s="66">
        <v>590</v>
      </c>
      <c r="G76" s="66">
        <v>1031359.5478624469</v>
      </c>
    </row>
    <row r="77" spans="6:13">
      <c r="F77" s="66">
        <v>600</v>
      </c>
      <c r="G77" s="66">
        <v>1028187.3899667513</v>
      </c>
    </row>
    <row r="78" spans="6:13">
      <c r="G78" s="21"/>
    </row>
    <row r="79" spans="6:13">
      <c r="F79" s="2"/>
      <c r="G79" s="200" t="s">
        <v>52</v>
      </c>
      <c r="H79" s="200"/>
      <c r="I79" s="200"/>
      <c r="J79" s="200"/>
      <c r="K79" s="200"/>
      <c r="L79" s="200"/>
      <c r="M79" s="200"/>
    </row>
    <row r="80" spans="6:13">
      <c r="F80" s="77">
        <f>B47</f>
        <v>1017225.7233983984</v>
      </c>
      <c r="G80" s="36">
        <v>250</v>
      </c>
      <c r="H80" s="36">
        <v>300</v>
      </c>
      <c r="I80" s="36">
        <v>350</v>
      </c>
      <c r="J80" s="36">
        <v>400</v>
      </c>
      <c r="K80" s="36">
        <v>450</v>
      </c>
      <c r="L80" s="36">
        <v>500</v>
      </c>
      <c r="M80" s="36">
        <v>550</v>
      </c>
    </row>
    <row r="81" spans="5:13" ht="16" customHeight="1">
      <c r="E81" s="201" t="s">
        <v>93</v>
      </c>
      <c r="F81" s="66">
        <v>260</v>
      </c>
      <c r="G81" s="38">
        <f t="dataTable" ref="G81:M138" dt2D="1" dtr="1" r1="B39" r2="B40" ca="1"/>
        <v>144859.72842847556</v>
      </c>
      <c r="H81" s="38">
        <v>-579438.91371390224</v>
      </c>
      <c r="I81" s="38">
        <v>-1303737.5558562791</v>
      </c>
      <c r="J81" s="38">
        <v>-2028036.1979986569</v>
      </c>
      <c r="K81" s="38">
        <v>-2752334.8401410338</v>
      </c>
      <c r="L81" s="38">
        <v>-3476633.4822834115</v>
      </c>
      <c r="M81" s="38">
        <v>-4200932.1244257884</v>
      </c>
    </row>
    <row r="82" spans="5:13">
      <c r="E82" s="201"/>
      <c r="F82" s="66">
        <v>270</v>
      </c>
      <c r="G82" s="38">
        <v>269590.60184817808</v>
      </c>
      <c r="H82" s="38">
        <v>-404385.90277226688</v>
      </c>
      <c r="I82" s="38">
        <v>-1078362.4073927123</v>
      </c>
      <c r="J82" s="38">
        <v>-1752338.9120131573</v>
      </c>
      <c r="K82" s="38">
        <v>-2426315.4166336022</v>
      </c>
      <c r="L82" s="38">
        <v>-3100291.9212540481</v>
      </c>
      <c r="M82" s="38">
        <v>-3774268.4258744931</v>
      </c>
    </row>
    <row r="83" spans="5:13">
      <c r="E83" s="201"/>
      <c r="F83" s="66">
        <v>280</v>
      </c>
      <c r="G83" s="38">
        <v>377277.18719872413</v>
      </c>
      <c r="H83" s="38">
        <v>-251518.12479914958</v>
      </c>
      <c r="I83" s="38">
        <v>-880313.43679702282</v>
      </c>
      <c r="J83" s="38">
        <v>-1509108.7487948965</v>
      </c>
      <c r="K83" s="38">
        <v>-2137904.0607927702</v>
      </c>
      <c r="L83" s="38">
        <v>-2766699.3727906439</v>
      </c>
      <c r="M83" s="38">
        <v>-3395494.6847885177</v>
      </c>
    </row>
    <row r="84" spans="5:13">
      <c r="E84" s="201"/>
      <c r="F84" s="66">
        <v>290</v>
      </c>
      <c r="G84" s="38">
        <v>470458.61526328744</v>
      </c>
      <c r="H84" s="38">
        <v>-117614.65381582174</v>
      </c>
      <c r="I84" s="38">
        <v>-705687.9228949314</v>
      </c>
      <c r="J84" s="38">
        <v>-1293761.1919740411</v>
      </c>
      <c r="K84" s="38">
        <v>-1881834.4610531498</v>
      </c>
      <c r="L84" s="38">
        <v>-2469907.7301322594</v>
      </c>
      <c r="M84" s="38">
        <v>-3057980.9992113691</v>
      </c>
    </row>
    <row r="85" spans="5:13">
      <c r="E85" s="201"/>
      <c r="F85" s="66">
        <v>300</v>
      </c>
      <c r="G85" s="38">
        <v>551238.40185229108</v>
      </c>
      <c r="H85" s="38">
        <v>0</v>
      </c>
      <c r="I85" s="38">
        <v>-551238.40185229108</v>
      </c>
      <c r="J85" s="38">
        <v>-1102476.8037045817</v>
      </c>
      <c r="K85" s="38">
        <v>-1653715.2055568728</v>
      </c>
      <c r="L85" s="38">
        <v>-2204953.6074091638</v>
      </c>
      <c r="M85" s="38">
        <v>-2756192.0092614549</v>
      </c>
    </row>
    <row r="86" spans="5:13">
      <c r="E86" s="201"/>
      <c r="F86" s="66">
        <v>310</v>
      </c>
      <c r="G86" s="38">
        <v>621369.53021456813</v>
      </c>
      <c r="H86" s="38">
        <v>103561.58836909477</v>
      </c>
      <c r="I86" s="38">
        <v>-414246.3534763786</v>
      </c>
      <c r="J86" s="38">
        <v>-932054.2953218515</v>
      </c>
      <c r="K86" s="38">
        <v>-1449862.2371673249</v>
      </c>
      <c r="L86" s="38">
        <v>-1967670.1790127978</v>
      </c>
      <c r="M86" s="38">
        <v>-2485478.1208582716</v>
      </c>
    </row>
    <row r="87" spans="5:13">
      <c r="E87" s="201"/>
      <c r="F87" s="66">
        <v>320</v>
      </c>
      <c r="G87" s="38">
        <v>682320.93416212313</v>
      </c>
      <c r="H87" s="38">
        <v>194948.83833203511</v>
      </c>
      <c r="I87" s="38">
        <v>-292423.2574980529</v>
      </c>
      <c r="J87" s="38">
        <v>-779795.35332814092</v>
      </c>
      <c r="K87" s="38">
        <v>-1267167.4491582289</v>
      </c>
      <c r="L87" s="38">
        <v>-1754539.5449883174</v>
      </c>
      <c r="M87" s="38">
        <v>-2241911.640818405</v>
      </c>
    </row>
    <row r="88" spans="5:13">
      <c r="E88" s="201"/>
      <c r="F88" s="66">
        <v>330</v>
      </c>
      <c r="G88" s="38">
        <v>735329.86392835062</v>
      </c>
      <c r="H88" s="38">
        <v>275748.69897313137</v>
      </c>
      <c r="I88" s="38">
        <v>-183832.46598208742</v>
      </c>
      <c r="J88" s="38">
        <v>-643413.63093730668</v>
      </c>
      <c r="K88" s="38">
        <v>-1102994.7958925259</v>
      </c>
      <c r="L88" s="38">
        <v>-1562575.9608477447</v>
      </c>
      <c r="M88" s="38">
        <v>-2022157.125802964</v>
      </c>
    </row>
    <row r="89" spans="5:13">
      <c r="E89" s="201"/>
      <c r="F89" s="66">
        <v>340</v>
      </c>
      <c r="G89" s="38">
        <v>781443.44106265297</v>
      </c>
      <c r="H89" s="38">
        <v>347308.19602784561</v>
      </c>
      <c r="I89" s="38">
        <v>-86827.049006961286</v>
      </c>
      <c r="J89" s="38">
        <v>-520962.29404176865</v>
      </c>
      <c r="K89" s="38">
        <v>-955097.53907657554</v>
      </c>
      <c r="L89" s="38">
        <v>-1389232.7841113824</v>
      </c>
      <c r="M89" s="38">
        <v>-1823368.0291461898</v>
      </c>
    </row>
    <row r="90" spans="5:13">
      <c r="E90" s="201"/>
      <c r="F90" s="66">
        <v>350</v>
      </c>
      <c r="G90" s="38">
        <v>821551.86522268457</v>
      </c>
      <c r="H90" s="38">
        <v>410775.93261134205</v>
      </c>
      <c r="I90" s="38">
        <v>0</v>
      </c>
      <c r="J90" s="38">
        <v>-410775.93261134205</v>
      </c>
      <c r="K90" s="38">
        <v>-821551.86522268457</v>
      </c>
      <c r="L90" s="38">
        <v>-1232327.7978340266</v>
      </c>
      <c r="M90" s="38">
        <v>-1643103.7304453691</v>
      </c>
    </row>
    <row r="91" spans="5:13">
      <c r="E91" s="201"/>
      <c r="F91" s="66">
        <v>360</v>
      </c>
      <c r="G91" s="38">
        <v>856415.12424477958</v>
      </c>
      <c r="H91" s="38">
        <v>467135.52231533453</v>
      </c>
      <c r="I91" s="38">
        <v>77855.920385889243</v>
      </c>
      <c r="J91" s="38">
        <v>-311423.68154355604</v>
      </c>
      <c r="K91" s="38">
        <v>-700703.28347300133</v>
      </c>
      <c r="L91" s="38">
        <v>-1089982.8854024466</v>
      </c>
      <c r="M91" s="38">
        <v>-1479262.4873318919</v>
      </c>
    </row>
    <row r="92" spans="5:13">
      <c r="E92" s="201"/>
      <c r="F92" s="66">
        <v>370</v>
      </c>
      <c r="G92" s="38">
        <v>886684.61116254725</v>
      </c>
      <c r="H92" s="38">
        <v>517232.68984481925</v>
      </c>
      <c r="I92" s="38">
        <v>147780.76852709148</v>
      </c>
      <c r="J92" s="38">
        <v>-221671.15279063676</v>
      </c>
      <c r="K92" s="38">
        <v>-591123.07410836453</v>
      </c>
      <c r="L92" s="38">
        <v>-960574.9954260923</v>
      </c>
      <c r="M92" s="38">
        <v>-1330026.9167438205</v>
      </c>
    </row>
    <row r="93" spans="5:13">
      <c r="E93" s="201"/>
      <c r="F93" s="66">
        <v>380</v>
      </c>
      <c r="G93" s="38">
        <v>912920.72098907013</v>
      </c>
      <c r="H93" s="38">
        <v>561797.36676250491</v>
      </c>
      <c r="I93" s="38">
        <v>210674.01253593946</v>
      </c>
      <c r="J93" s="38">
        <v>-140449.341690626</v>
      </c>
      <c r="K93" s="38">
        <v>-491572.69591719145</v>
      </c>
      <c r="L93" s="38">
        <v>-842696.05014375644</v>
      </c>
      <c r="M93" s="38">
        <v>-1193819.4043703219</v>
      </c>
    </row>
    <row r="94" spans="5:13">
      <c r="E94" s="201"/>
      <c r="F94" s="66">
        <v>390</v>
      </c>
      <c r="G94" s="38">
        <v>935607.253438466</v>
      </c>
      <c r="H94" s="38">
        <v>601461.80578187108</v>
      </c>
      <c r="I94" s="38">
        <v>267316.35812527593</v>
      </c>
      <c r="J94" s="38">
        <v>-66829.08953131875</v>
      </c>
      <c r="K94" s="38">
        <v>-400974.5371879139</v>
      </c>
      <c r="L94" s="38">
        <v>-735119.98484450858</v>
      </c>
      <c r="M94" s="38">
        <v>-1069265.4325011037</v>
      </c>
    </row>
    <row r="95" spans="5:13">
      <c r="E95" s="201"/>
      <c r="F95" s="66">
        <v>400</v>
      </c>
      <c r="G95" s="38">
        <v>955163.26238462282</v>
      </c>
      <c r="H95" s="38">
        <v>636775.50825641514</v>
      </c>
      <c r="I95" s="38">
        <v>318387.75412820745</v>
      </c>
      <c r="J95" s="38">
        <v>0</v>
      </c>
      <c r="K95" s="38">
        <v>-318387.75412820745</v>
      </c>
      <c r="L95" s="38">
        <v>-636775.50825641491</v>
      </c>
      <c r="M95" s="38">
        <v>-955163.26238462236</v>
      </c>
    </row>
    <row r="96" spans="5:13">
      <c r="E96" s="201"/>
      <c r="F96" s="66">
        <v>410</v>
      </c>
      <c r="G96" s="38">
        <v>971952.85243747453</v>
      </c>
      <c r="H96" s="38">
        <v>668217.58605076349</v>
      </c>
      <c r="I96" s="38">
        <v>364482.31966405269</v>
      </c>
      <c r="J96" s="38">
        <v>60747.053277342115</v>
      </c>
      <c r="K96" s="38">
        <v>-242988.21310936892</v>
      </c>
      <c r="L96" s="38">
        <v>-546723.4794960795</v>
      </c>
      <c r="M96" s="38">
        <v>-850458.74588279054</v>
      </c>
    </row>
    <row r="97" spans="5:13">
      <c r="E97" s="201"/>
      <c r="F97" s="66">
        <v>420</v>
      </c>
      <c r="G97" s="38">
        <v>986293.31587235699</v>
      </c>
      <c r="H97" s="38">
        <v>696207.04649813427</v>
      </c>
      <c r="I97" s="38">
        <v>406120.77712391177</v>
      </c>
      <c r="J97" s="38">
        <v>116034.50774968928</v>
      </c>
      <c r="K97" s="38">
        <v>-174051.76162453368</v>
      </c>
      <c r="L97" s="38">
        <v>-464138.03099875618</v>
      </c>
      <c r="M97" s="38">
        <v>-754224.30037297867</v>
      </c>
    </row>
    <row r="98" spans="5:13">
      <c r="E98" s="201"/>
      <c r="F98" s="66">
        <v>430</v>
      </c>
      <c r="G98" s="38">
        <v>998461.92082203622</v>
      </c>
      <c r="H98" s="38">
        <v>721111.38726035948</v>
      </c>
      <c r="I98" s="38">
        <v>443760.85369868297</v>
      </c>
      <c r="J98" s="38">
        <v>166410.32013700623</v>
      </c>
      <c r="K98" s="38">
        <v>-110940.21342467051</v>
      </c>
      <c r="L98" s="38">
        <v>-388290.74698634725</v>
      </c>
      <c r="M98" s="38">
        <v>-665641.28054802399</v>
      </c>
    </row>
    <row r="99" spans="5:13">
      <c r="E99" s="201"/>
      <c r="F99" s="66">
        <v>440</v>
      </c>
      <c r="G99" s="38">
        <v>1008701.5979665397</v>
      </c>
      <c r="H99" s="38">
        <v>743253.80902797659</v>
      </c>
      <c r="I99" s="38">
        <v>477806.02008941351</v>
      </c>
      <c r="J99" s="38">
        <v>212358.23115085065</v>
      </c>
      <c r="K99" s="38">
        <v>-53089.557787712663</v>
      </c>
      <c r="L99" s="38">
        <v>-318537.34672627551</v>
      </c>
      <c r="M99" s="38">
        <v>-583985.13566483883</v>
      </c>
    </row>
    <row r="100" spans="5:13">
      <c r="E100" s="201"/>
      <c r="F100" s="66">
        <v>450</v>
      </c>
      <c r="G100" s="38">
        <v>1017225.7233983984</v>
      </c>
      <c r="H100" s="38">
        <v>762919.29254879872</v>
      </c>
      <c r="I100" s="38">
        <v>508612.86169919907</v>
      </c>
      <c r="J100" s="38">
        <v>254306.43084959942</v>
      </c>
      <c r="K100" s="38">
        <v>0</v>
      </c>
      <c r="L100" s="38">
        <v>-254306.43084959965</v>
      </c>
      <c r="M100" s="38">
        <v>-508612.8616991993</v>
      </c>
    </row>
    <row r="101" spans="5:13">
      <c r="E101" s="201"/>
      <c r="F101" s="66">
        <v>460</v>
      </c>
      <c r="G101" s="38">
        <v>1024222.1565401531</v>
      </c>
      <c r="H101" s="38">
        <v>780359.73831630708</v>
      </c>
      <c r="I101" s="38">
        <v>536497.3200924613</v>
      </c>
      <c r="J101" s="38">
        <v>292634.9018686153</v>
      </c>
      <c r="K101" s="38">
        <v>48772.483644769527</v>
      </c>
      <c r="L101" s="38">
        <v>-195089.93457907671</v>
      </c>
      <c r="M101" s="38">
        <v>-438952.35280292248</v>
      </c>
    </row>
    <row r="102" spans="5:13">
      <c r="E102" s="201"/>
      <c r="F102" s="66">
        <v>470</v>
      </c>
      <c r="G102" s="38">
        <v>1029856.6614397548</v>
      </c>
      <c r="H102" s="38">
        <v>795798.32929435605</v>
      </c>
      <c r="I102" s="38">
        <v>561739.9971489571</v>
      </c>
      <c r="J102" s="38">
        <v>327681.66500355839</v>
      </c>
      <c r="K102" s="38">
        <v>93623.332858159672</v>
      </c>
      <c r="L102" s="38">
        <v>-140434.99928723928</v>
      </c>
      <c r="M102" s="38">
        <v>-374493.33143263776</v>
      </c>
    </row>
    <row r="103" spans="5:13">
      <c r="E103" s="201"/>
      <c r="F103" s="66">
        <v>480</v>
      </c>
      <c r="G103" s="38">
        <v>1034275.8155834542</v>
      </c>
      <c r="H103" s="38">
        <v>809433.24697835557</v>
      </c>
      <c r="I103" s="38">
        <v>584590.67837325693</v>
      </c>
      <c r="J103" s="38">
        <v>359748.10976815806</v>
      </c>
      <c r="K103" s="38">
        <v>134905.54116305942</v>
      </c>
      <c r="L103" s="38">
        <v>-89937.027442039456</v>
      </c>
      <c r="M103" s="38">
        <v>-314779.59604713786</v>
      </c>
    </row>
    <row r="104" spans="5:13">
      <c r="E104" s="201"/>
      <c r="F104" s="66">
        <v>490</v>
      </c>
      <c r="G104" s="38">
        <v>1037609.4911199291</v>
      </c>
      <c r="H104" s="38">
        <v>821440.84713661065</v>
      </c>
      <c r="I104" s="38">
        <v>605272.20315329218</v>
      </c>
      <c r="J104" s="38">
        <v>389103.55916997371</v>
      </c>
      <c r="K104" s="38">
        <v>172934.91518665501</v>
      </c>
      <c r="L104" s="38">
        <v>-43233.728796663694</v>
      </c>
      <c r="M104" s="38">
        <v>-259402.37277998216</v>
      </c>
    </row>
    <row r="105" spans="5:13">
      <c r="E105" s="201"/>
      <c r="F105" s="66">
        <v>500</v>
      </c>
      <c r="G105" s="38">
        <v>1039972.9779989794</v>
      </c>
      <c r="H105" s="38">
        <v>831978.3823991837</v>
      </c>
      <c r="I105" s="38">
        <v>623983.78679938777</v>
      </c>
      <c r="J105" s="38">
        <v>415989.19119959185</v>
      </c>
      <c r="K105" s="38">
        <v>207994.59559979592</v>
      </c>
      <c r="L105" s="38">
        <v>0</v>
      </c>
      <c r="M105" s="38">
        <v>-207994.59559979569</v>
      </c>
    </row>
    <row r="106" spans="5:13">
      <c r="E106" s="201"/>
      <c r="F106" s="66">
        <v>510</v>
      </c>
      <c r="G106" s="38">
        <v>1041468.8061629091</v>
      </c>
      <c r="H106" s="38">
        <v>841186.34343927284</v>
      </c>
      <c r="I106" s="38">
        <v>640903.8807156363</v>
      </c>
      <c r="J106" s="38">
        <v>440621.417992</v>
      </c>
      <c r="K106" s="38">
        <v>240338.9552683637</v>
      </c>
      <c r="L106" s="38">
        <v>40056.4925447274</v>
      </c>
      <c r="M106" s="38">
        <v>-160225.97017890913</v>
      </c>
    </row>
    <row r="107" spans="5:13">
      <c r="E107" s="201"/>
      <c r="F107" s="66">
        <v>520</v>
      </c>
      <c r="G107" s="38">
        <v>1042188.3139489595</v>
      </c>
      <c r="H107" s="38">
        <v>849190.47803248558</v>
      </c>
      <c r="I107" s="38">
        <v>656192.64211601159</v>
      </c>
      <c r="J107" s="38">
        <v>463194.80619953759</v>
      </c>
      <c r="K107" s="38">
        <v>270196.97028306359</v>
      </c>
      <c r="L107" s="38">
        <v>77199.134366589598</v>
      </c>
      <c r="M107" s="38">
        <v>-115798.70154988416</v>
      </c>
    </row>
    <row r="108" spans="5:13">
      <c r="E108" s="201"/>
      <c r="F108" s="66">
        <v>530</v>
      </c>
      <c r="G108" s="38">
        <v>1042213.0017719698</v>
      </c>
      <c r="H108" s="38">
        <v>856103.53716983227</v>
      </c>
      <c r="I108" s="38">
        <v>669994.07256769482</v>
      </c>
      <c r="J108" s="38">
        <v>483884.60796555737</v>
      </c>
      <c r="K108" s="38">
        <v>297775.14336341992</v>
      </c>
      <c r="L108" s="38">
        <v>111665.67876128247</v>
      </c>
      <c r="M108" s="38">
        <v>-74443.78584085498</v>
      </c>
    </row>
    <row r="109" spans="5:13">
      <c r="E109" s="201"/>
      <c r="F109" s="66">
        <v>540</v>
      </c>
      <c r="G109" s="38">
        <v>1041615.7035724644</v>
      </c>
      <c r="H109" s="38">
        <v>862026.78916341881</v>
      </c>
      <c r="I109" s="38">
        <v>682437.87475437322</v>
      </c>
      <c r="J109" s="38">
        <v>502848.96034532762</v>
      </c>
      <c r="K109" s="38">
        <v>323260.04593628203</v>
      </c>
      <c r="L109" s="38">
        <v>143671.13152723666</v>
      </c>
      <c r="M109" s="38">
        <v>-35917.782881808933</v>
      </c>
    </row>
    <row r="110" spans="5:13">
      <c r="E110" s="201"/>
      <c r="F110" s="66">
        <v>550</v>
      </c>
      <c r="G110" s="38">
        <v>1040461.6031350964</v>
      </c>
      <c r="H110" s="38">
        <v>867051.33594591368</v>
      </c>
      <c r="I110" s="38">
        <v>693641.06875673099</v>
      </c>
      <c r="J110" s="38">
        <v>520230.80156754819</v>
      </c>
      <c r="K110" s="38">
        <v>346820.53437836538</v>
      </c>
      <c r="L110" s="38">
        <v>173410.26718918281</v>
      </c>
      <c r="M110" s="38">
        <v>0</v>
      </c>
    </row>
    <row r="111" spans="5:13">
      <c r="E111" s="201"/>
      <c r="F111" s="66">
        <v>560</v>
      </c>
      <c r="G111" s="38">
        <v>1038809.1179690239</v>
      </c>
      <c r="H111" s="38">
        <v>871259.26023208455</v>
      </c>
      <c r="I111" s="38">
        <v>703709.4024951451</v>
      </c>
      <c r="J111" s="38">
        <v>536159.544758206</v>
      </c>
      <c r="K111" s="38">
        <v>368609.68702126667</v>
      </c>
      <c r="L111" s="38">
        <v>201059.82928432734</v>
      </c>
      <c r="M111" s="38">
        <v>33509.971547388006</v>
      </c>
    </row>
    <row r="112" spans="5:13">
      <c r="E112" s="201"/>
      <c r="F112" s="66">
        <v>570</v>
      </c>
      <c r="G112" s="38">
        <v>1036710.669808225</v>
      </c>
      <c r="H112" s="38">
        <v>874724.6276506898</v>
      </c>
      <c r="I112" s="38">
        <v>712738.58549315459</v>
      </c>
      <c r="J112" s="38">
        <v>550752.54333561938</v>
      </c>
      <c r="K112" s="38">
        <v>388766.50117808441</v>
      </c>
      <c r="L112" s="38">
        <v>226780.4590205492</v>
      </c>
      <c r="M112" s="38">
        <v>64794.41686301399</v>
      </c>
    </row>
    <row r="113" spans="5:13">
      <c r="E113" s="201"/>
      <c r="F113" s="66">
        <v>580</v>
      </c>
      <c r="G113" s="38">
        <v>1034213.3577876764</v>
      </c>
      <c r="H113" s="38">
        <v>877514.36418348295</v>
      </c>
      <c r="I113" s="38">
        <v>720815.37057928951</v>
      </c>
      <c r="J113" s="38">
        <v>564116.37697509606</v>
      </c>
      <c r="K113" s="38">
        <v>407417.38337090285</v>
      </c>
      <c r="L113" s="38">
        <v>250718.38976670941</v>
      </c>
      <c r="M113" s="38">
        <v>94019.396162515972</v>
      </c>
    </row>
    <row r="114" spans="5:13">
      <c r="E114" s="201"/>
      <c r="F114" s="66">
        <v>590</v>
      </c>
      <c r="G114" s="38">
        <v>1031359.5478624469</v>
      </c>
      <c r="H114" s="38">
        <v>879689.02611796942</v>
      </c>
      <c r="I114" s="38">
        <v>728018.50437349197</v>
      </c>
      <c r="J114" s="38">
        <v>576347.98262901441</v>
      </c>
      <c r="K114" s="38">
        <v>424677.46088453708</v>
      </c>
      <c r="L114" s="38">
        <v>273006.93914005952</v>
      </c>
      <c r="M114" s="38">
        <v>121336.41739558196</v>
      </c>
    </row>
    <row r="115" spans="5:13">
      <c r="E115" s="201"/>
      <c r="F115" s="66">
        <v>600</v>
      </c>
      <c r="G115" s="38">
        <v>1028187.3899667513</v>
      </c>
      <c r="H115" s="38">
        <v>881303.47711435833</v>
      </c>
      <c r="I115" s="38">
        <v>734419.56426196522</v>
      </c>
      <c r="J115" s="38">
        <v>587535.65140957222</v>
      </c>
      <c r="K115" s="38">
        <v>440651.73855717899</v>
      </c>
      <c r="L115" s="38">
        <v>293767.825704786</v>
      </c>
      <c r="M115" s="38">
        <v>146883.912852393</v>
      </c>
    </row>
    <row r="116" spans="5:13">
      <c r="E116" s="201"/>
      <c r="F116" s="66">
        <v>610</v>
      </c>
      <c r="G116" s="38">
        <v>1024731.2726827315</v>
      </c>
      <c r="H116" s="38">
        <v>882407.48481012986</v>
      </c>
      <c r="I116" s="38">
        <v>740083.69693752832</v>
      </c>
      <c r="J116" s="38">
        <v>597759.90906492667</v>
      </c>
      <c r="K116" s="38">
        <v>455436.12119232514</v>
      </c>
      <c r="L116" s="38">
        <v>313112.33331972361</v>
      </c>
      <c r="M116" s="38">
        <v>170788.54544712184</v>
      </c>
    </row>
    <row r="117" spans="5:13">
      <c r="E117" s="201"/>
      <c r="F117" s="66">
        <v>620</v>
      </c>
      <c r="G117" s="38">
        <v>1021022.2237432048</v>
      </c>
      <c r="H117" s="38">
        <v>883046.24756169063</v>
      </c>
      <c r="I117" s="38">
        <v>745070.27138017653</v>
      </c>
      <c r="J117" s="38">
        <v>607094.29519866221</v>
      </c>
      <c r="K117" s="38">
        <v>469118.31901714811</v>
      </c>
      <c r="L117" s="38">
        <v>331142.34283563402</v>
      </c>
      <c r="M117" s="38">
        <v>193166.36665411969</v>
      </c>
    </row>
    <row r="118" spans="5:13">
      <c r="E118" s="201"/>
      <c r="F118" s="66">
        <v>630</v>
      </c>
      <c r="G118" s="38">
        <v>1017088.2634793159</v>
      </c>
      <c r="H118" s="38">
        <v>883260.86038993229</v>
      </c>
      <c r="I118" s="38">
        <v>749433.45730054856</v>
      </c>
      <c r="J118" s="38">
        <v>615606.05421116482</v>
      </c>
      <c r="K118" s="38">
        <v>481778.65112178121</v>
      </c>
      <c r="L118" s="38">
        <v>347951.24803239759</v>
      </c>
      <c r="M118" s="38">
        <v>214123.84494301397</v>
      </c>
    </row>
    <row r="119" spans="5:13">
      <c r="E119" s="201"/>
      <c r="F119" s="66">
        <v>640</v>
      </c>
      <c r="G119" s="38">
        <v>1012954.7173026291</v>
      </c>
      <c r="H119" s="38">
        <v>883088.7279048562</v>
      </c>
      <c r="I119" s="38">
        <v>753222.73850708327</v>
      </c>
      <c r="J119" s="38">
        <v>623356.74910931021</v>
      </c>
      <c r="K119" s="38">
        <v>493490.75971153728</v>
      </c>
      <c r="L119" s="38">
        <v>363624.77031376422</v>
      </c>
      <c r="M119" s="38">
        <v>233758.7809159914</v>
      </c>
    </row>
    <row r="120" spans="5:13">
      <c r="E120" s="201"/>
      <c r="F120" s="66">
        <v>650</v>
      </c>
      <c r="G120" s="38">
        <v>1008644.4924491229</v>
      </c>
      <c r="H120" s="38">
        <v>882563.93089298252</v>
      </c>
      <c r="I120" s="38">
        <v>756483.36933684221</v>
      </c>
      <c r="J120" s="38">
        <v>630402.80778070178</v>
      </c>
      <c r="K120" s="38">
        <v>504322.24622456147</v>
      </c>
      <c r="L120" s="38">
        <v>378241.68466842105</v>
      </c>
      <c r="M120" s="38">
        <v>252161.12311228062</v>
      </c>
    </row>
    <row r="121" spans="5:13">
      <c r="E121" s="201"/>
      <c r="F121" s="66">
        <v>660</v>
      </c>
      <c r="G121" s="38">
        <v>1004178.3234829371</v>
      </c>
      <c r="H121" s="38">
        <v>881717.55232648132</v>
      </c>
      <c r="I121" s="38">
        <v>759256.78117002558</v>
      </c>
      <c r="J121" s="38">
        <v>636796.01001356984</v>
      </c>
      <c r="K121" s="38">
        <v>514335.23885711422</v>
      </c>
      <c r="L121" s="38">
        <v>391874.46770065837</v>
      </c>
      <c r="M121" s="38">
        <v>269413.69654420274</v>
      </c>
    </row>
    <row r="122" spans="5:13">
      <c r="E122" s="201"/>
      <c r="F122" s="66">
        <v>670</v>
      </c>
      <c r="G122" s="38">
        <v>999574.99043870345</v>
      </c>
      <c r="H122" s="38">
        <v>880577.96776742931</v>
      </c>
      <c r="I122" s="38">
        <v>761580.94509615505</v>
      </c>
      <c r="J122" s="38">
        <v>642583.92242488079</v>
      </c>
      <c r="K122" s="38">
        <v>523586.89975360665</v>
      </c>
      <c r="L122" s="38">
        <v>404589.87708233227</v>
      </c>
      <c r="M122" s="38">
        <v>285592.85441105813</v>
      </c>
    </row>
    <row r="123" spans="5:13">
      <c r="E123" s="201"/>
      <c r="F123" s="66">
        <v>680</v>
      </c>
      <c r="G123" s="38">
        <v>994851.51295467373</v>
      </c>
      <c r="H123" s="38">
        <v>879171.10447157209</v>
      </c>
      <c r="I123" s="38">
        <v>763490.69598847057</v>
      </c>
      <c r="J123" s="38">
        <v>647810.28750536893</v>
      </c>
      <c r="K123" s="38">
        <v>532129.8790222673</v>
      </c>
      <c r="L123" s="38">
        <v>416449.47053916566</v>
      </c>
      <c r="M123" s="38">
        <v>300769.06205606414</v>
      </c>
    </row>
    <row r="124" spans="5:13">
      <c r="E124" s="201"/>
      <c r="F124" s="66">
        <v>690</v>
      </c>
      <c r="G124" s="38">
        <v>990023.32329994719</v>
      </c>
      <c r="H124" s="38">
        <v>877520.67292495316</v>
      </c>
      <c r="I124" s="38">
        <v>765018.02254995925</v>
      </c>
      <c r="J124" s="38">
        <v>652515.37217496522</v>
      </c>
      <c r="K124" s="38">
        <v>540012.72179997119</v>
      </c>
      <c r="L124" s="38">
        <v>427510.07142497716</v>
      </c>
      <c r="M124" s="38">
        <v>315007.42104998324</v>
      </c>
    </row>
    <row r="125" spans="5:13">
      <c r="E125" s="201"/>
      <c r="F125" s="66">
        <v>700</v>
      </c>
      <c r="G125" s="38">
        <v>985104.42081539321</v>
      </c>
      <c r="H125" s="38">
        <v>875648.37405812729</v>
      </c>
      <c r="I125" s="38">
        <v>766192.32730086136</v>
      </c>
      <c r="J125" s="38">
        <v>656736.28054359555</v>
      </c>
      <c r="K125" s="38">
        <v>547280.23378632963</v>
      </c>
      <c r="L125" s="38">
        <v>437824.1870290637</v>
      </c>
      <c r="M125" s="38">
        <v>328368.14027179778</v>
      </c>
    </row>
    <row r="126" spans="5:13">
      <c r="E126" s="201"/>
      <c r="F126" s="66">
        <v>710</v>
      </c>
      <c r="G126" s="38">
        <v>980107.50995916908</v>
      </c>
      <c r="H126" s="38">
        <v>873574.08496360714</v>
      </c>
      <c r="I126" s="38">
        <v>767040.65996804531</v>
      </c>
      <c r="J126" s="38">
        <v>660507.23497248348</v>
      </c>
      <c r="K126" s="38">
        <v>553973.80997692165</v>
      </c>
      <c r="L126" s="38">
        <v>447440.38498135982</v>
      </c>
      <c r="M126" s="38">
        <v>340906.95998579799</v>
      </c>
    </row>
    <row r="127" spans="5:13">
      <c r="E127" s="201"/>
      <c r="F127" s="66">
        <v>720</v>
      </c>
      <c r="G127" s="38">
        <v>975044.1238656675</v>
      </c>
      <c r="H127" s="38">
        <v>871316.02558208595</v>
      </c>
      <c r="I127" s="38">
        <v>767587.92729850428</v>
      </c>
      <c r="J127" s="38">
        <v>663859.82901492261</v>
      </c>
      <c r="K127" s="38">
        <v>560131.73073134094</v>
      </c>
      <c r="L127" s="38">
        <v>456403.63244775927</v>
      </c>
      <c r="M127" s="38">
        <v>352675.53416417772</v>
      </c>
    </row>
    <row r="128" spans="5:13">
      <c r="E128" s="201"/>
      <c r="F128" s="66">
        <v>730</v>
      </c>
      <c r="G128" s="38">
        <v>969924.73508398188</v>
      </c>
      <c r="H128" s="38">
        <v>868890.90851273388</v>
      </c>
      <c r="I128" s="38">
        <v>767857.08194148575</v>
      </c>
      <c r="J128" s="38">
        <v>666823.25537023752</v>
      </c>
      <c r="K128" s="38">
        <v>565789.42879898939</v>
      </c>
      <c r="L128" s="38">
        <v>464755.60222774127</v>
      </c>
      <c r="M128" s="38">
        <v>363721.77565649315</v>
      </c>
    </row>
    <row r="129" spans="5:13">
      <c r="E129" s="201"/>
      <c r="F129" s="66">
        <v>740</v>
      </c>
      <c r="G129" s="38">
        <v>964758.8549528002</v>
      </c>
      <c r="H129" s="38">
        <v>866314.07383516757</v>
      </c>
      <c r="I129" s="38">
        <v>767869.29271753482</v>
      </c>
      <c r="J129" s="38">
        <v>669424.51159990218</v>
      </c>
      <c r="K129" s="38">
        <v>570979.73048226954</v>
      </c>
      <c r="L129" s="38">
        <v>472534.94936463679</v>
      </c>
      <c r="M129" s="38">
        <v>374090.16824700404</v>
      </c>
    </row>
    <row r="130" spans="5:13">
      <c r="E130" s="201"/>
      <c r="F130" s="66">
        <v>750</v>
      </c>
      <c r="G130" s="38">
        <v>959555.12288789009</v>
      </c>
      <c r="H130" s="38">
        <v>863599.61059910117</v>
      </c>
      <c r="I130" s="38">
        <v>767644.09831031214</v>
      </c>
      <c r="J130" s="38">
        <v>671688.58602152311</v>
      </c>
      <c r="K130" s="38">
        <v>575733.07373273408</v>
      </c>
      <c r="L130" s="38">
        <v>479777.56144394504</v>
      </c>
      <c r="M130" s="38">
        <v>383822.04915515613</v>
      </c>
    </row>
    <row r="131" spans="5:13">
      <c r="E131" s="201"/>
      <c r="F131" s="66">
        <v>760</v>
      </c>
      <c r="G131" s="38">
        <v>954321.38670201262</v>
      </c>
      <c r="H131" s="38">
        <v>860760.4664371094</v>
      </c>
      <c r="I131" s="38">
        <v>767199.54617220617</v>
      </c>
      <c r="J131" s="38">
        <v>673638.62590730307</v>
      </c>
      <c r="K131" s="38">
        <v>580077.70564239984</v>
      </c>
      <c r="L131" s="38">
        <v>486516.78537749662</v>
      </c>
      <c r="M131" s="38">
        <v>392955.8651125934</v>
      </c>
    </row>
    <row r="132" spans="5:13">
      <c r="E132" s="201"/>
      <c r="F132" s="66">
        <v>770</v>
      </c>
      <c r="G132" s="38">
        <v>949064.7749414182</v>
      </c>
      <c r="H132" s="38">
        <v>857808.54658166645</v>
      </c>
      <c r="I132" s="38">
        <v>766552.3182219147</v>
      </c>
      <c r="J132" s="38">
        <v>675296.08986216295</v>
      </c>
      <c r="K132" s="38">
        <v>584039.86150241119</v>
      </c>
      <c r="L132" s="38">
        <v>492783.63314265944</v>
      </c>
      <c r="M132" s="38">
        <v>401527.40478290769</v>
      </c>
    </row>
    <row r="133" spans="5:13">
      <c r="E133" s="201"/>
      <c r="F133" s="66">
        <v>780</v>
      </c>
      <c r="G133" s="38">
        <v>943791.76210536808</v>
      </c>
      <c r="H133" s="38">
        <v>854754.80341618229</v>
      </c>
      <c r="I133" s="38">
        <v>765717.84472699661</v>
      </c>
      <c r="J133" s="38">
        <v>676680.88603781094</v>
      </c>
      <c r="K133" s="38">
        <v>587643.92734862538</v>
      </c>
      <c r="L133" s="38">
        <v>498606.96865943971</v>
      </c>
      <c r="M133" s="38">
        <v>409570.00997025403</v>
      </c>
    </row>
    <row r="134" spans="5:13">
      <c r="E134" s="201"/>
      <c r="F134" s="66">
        <v>790</v>
      </c>
      <c r="G134" s="38">
        <v>938508.22751260083</v>
      </c>
      <c r="H134" s="38">
        <v>851609.31755773036</v>
      </c>
      <c r="I134" s="38">
        <v>764710.40760285989</v>
      </c>
      <c r="J134" s="38">
        <v>677811.49764798942</v>
      </c>
      <c r="K134" s="38">
        <v>590912.58769311896</v>
      </c>
      <c r="L134" s="38">
        <v>504013.67773824849</v>
      </c>
      <c r="M134" s="38">
        <v>417114.76778337813</v>
      </c>
    </row>
    <row r="135" spans="5:13">
      <c r="E135" s="201"/>
      <c r="F135" s="66">
        <v>800</v>
      </c>
      <c r="G135" s="38">
        <v>933219.50848926988</v>
      </c>
      <c r="H135" s="38">
        <v>848381.37135388167</v>
      </c>
      <c r="I135" s="38">
        <v>763543.23421849345</v>
      </c>
      <c r="J135" s="38">
        <v>678705.09708310536</v>
      </c>
      <c r="K135" s="38">
        <v>593866.95994771714</v>
      </c>
      <c r="L135" s="38">
        <v>509028.82281232905</v>
      </c>
      <c r="M135" s="38">
        <v>424190.68567694083</v>
      </c>
    </row>
    <row r="136" spans="5:13">
      <c r="E136" s="201"/>
      <c r="F136" s="66">
        <v>810</v>
      </c>
      <c r="G136" s="38">
        <v>927930.44847494666</v>
      </c>
      <c r="H136" s="38">
        <v>845079.51557539788</v>
      </c>
      <c r="I136" s="38">
        <v>762228.58267584909</v>
      </c>
      <c r="J136" s="38">
        <v>679377.6497763003</v>
      </c>
      <c r="K136" s="38">
        <v>596526.71687675139</v>
      </c>
      <c r="L136" s="38">
        <v>513675.78397720261</v>
      </c>
      <c r="M136" s="38">
        <v>430824.85107765382</v>
      </c>
    </row>
    <row r="137" spans="5:13">
      <c r="E137" s="201"/>
      <c r="F137" s="66">
        <v>820</v>
      </c>
      <c r="G137" s="38">
        <v>922645.44057495799</v>
      </c>
      <c r="H137" s="38">
        <v>841711.62999820733</v>
      </c>
      <c r="I137" s="38">
        <v>760777.81942145666</v>
      </c>
      <c r="J137" s="38">
        <v>679844.00884470588</v>
      </c>
      <c r="K137" s="38">
        <v>598910.19826795522</v>
      </c>
      <c r="L137" s="38">
        <v>517976.38769120455</v>
      </c>
      <c r="M137" s="38">
        <v>437042.57711445377</v>
      </c>
    </row>
    <row r="138" spans="5:13">
      <c r="E138" s="201"/>
      <c r="F138" s="66">
        <v>830</v>
      </c>
      <c r="G138" s="38">
        <v>917368.46702761366</v>
      </c>
      <c r="H138" s="38">
        <v>838284.97849075054</v>
      </c>
      <c r="I138" s="38">
        <v>759201.48995388718</v>
      </c>
      <c r="J138" s="38">
        <v>680118.00141702394</v>
      </c>
      <c r="K138" s="38">
        <v>601034.51288016071</v>
      </c>
      <c r="L138" s="38">
        <v>521951.02434329747</v>
      </c>
      <c r="M138" s="38">
        <v>442867.53580643423</v>
      </c>
    </row>
  </sheetData>
  <mergeCells count="8">
    <mergeCell ref="E18:F18"/>
    <mergeCell ref="G79:M79"/>
    <mergeCell ref="E81:E138"/>
    <mergeCell ref="A1:B1"/>
    <mergeCell ref="A18:B18"/>
    <mergeCell ref="C18:D18"/>
    <mergeCell ref="A23:D23"/>
    <mergeCell ref="F23:G23"/>
  </mergeCells>
  <conditionalFormatting sqref="G43:G77">
    <cfRule type="top10" dxfId="11" priority="3" rank="1"/>
    <cfRule type="cellIs" dxfId="10" priority="4" operator="equal">
      <formula>"max"</formula>
    </cfRule>
  </conditionalFormatting>
  <conditionalFormatting sqref="G81:G138">
    <cfRule type="top10" dxfId="9" priority="2" rank="1"/>
  </conditionalFormatting>
  <conditionalFormatting sqref="H81:H138">
    <cfRule type="top10" dxfId="8" priority="1" rank="1"/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1418-B027-B647-B94A-F955C3193B2A}">
  <dimension ref="A1:I13"/>
  <sheetViews>
    <sheetView workbookViewId="0">
      <selection activeCell="G58" sqref="G58"/>
    </sheetView>
  </sheetViews>
  <sheetFormatPr baseColWidth="10" defaultColWidth="11" defaultRowHeight="16"/>
  <cols>
    <col min="1" max="1" width="11.83203125" bestFit="1" customWidth="1"/>
    <col min="3" max="3" width="14.6640625" customWidth="1"/>
    <col min="5" max="5" width="12.1640625" bestFit="1" customWidth="1"/>
  </cols>
  <sheetData>
    <row r="1" spans="1:9" ht="21" thickBot="1">
      <c r="A1" s="187" t="s">
        <v>171</v>
      </c>
      <c r="B1" s="187"/>
      <c r="C1" s="187"/>
    </row>
    <row r="2" spans="1:9" ht="17" thickTop="1"/>
    <row r="4" spans="1:9">
      <c r="A4" s="202" t="s">
        <v>172</v>
      </c>
      <c r="B4" s="202"/>
      <c r="C4" s="202" t="s">
        <v>173</v>
      </c>
      <c r="D4" s="202"/>
      <c r="E4" s="202" t="s">
        <v>155</v>
      </c>
      <c r="F4" s="202"/>
      <c r="H4" s="200" t="s">
        <v>174</v>
      </c>
      <c r="I4" s="200"/>
    </row>
    <row r="5" spans="1:9">
      <c r="A5" s="35" t="s">
        <v>175</v>
      </c>
      <c r="B5" s="106" t="s">
        <v>80</v>
      </c>
      <c r="C5" s="106" t="s">
        <v>176</v>
      </c>
      <c r="D5" s="106" t="s">
        <v>177</v>
      </c>
      <c r="E5" s="106" t="s">
        <v>176</v>
      </c>
      <c r="F5" s="106" t="s">
        <v>177</v>
      </c>
      <c r="H5" s="138" t="s">
        <v>178</v>
      </c>
    </row>
    <row r="6" spans="1:9">
      <c r="A6" s="104">
        <v>1</v>
      </c>
      <c r="B6" s="104">
        <v>218.6</v>
      </c>
      <c r="C6" s="70">
        <f>$I$6*EXP($I$7*A6)</f>
        <v>214.07807824032759</v>
      </c>
      <c r="D6" s="70">
        <f>$I$11*A6^$I$12</f>
        <v>170.97</v>
      </c>
      <c r="E6" s="71">
        <f>ABS(C6-B6)/B6</f>
        <v>2.0685826896946063E-2</v>
      </c>
      <c r="F6" s="72">
        <f>ABS(D6-B6)/B6</f>
        <v>0.2178865507776761</v>
      </c>
      <c r="H6" t="s">
        <v>179</v>
      </c>
      <c r="I6">
        <v>103.59</v>
      </c>
    </row>
    <row r="7" spans="1:9">
      <c r="A7" s="104">
        <v>2</v>
      </c>
      <c r="B7" s="104">
        <v>435</v>
      </c>
      <c r="C7" s="70">
        <f t="shared" ref="C7:C12" si="0">$I$6*EXP($I$7*A7)</f>
        <v>442.41165733248204</v>
      </c>
      <c r="D7" s="70">
        <f t="shared" ref="D7:D12" si="1">$I$11*A7^$I$12</f>
        <v>575.51087833709835</v>
      </c>
      <c r="E7" s="71">
        <f t="shared" ref="E7:E11" si="2">ABS(C7-B7)/B7</f>
        <v>1.7038292718349508E-2</v>
      </c>
      <c r="F7" s="72">
        <f t="shared" ref="F7:F11" si="3">ABS(D7-B7)/B7</f>
        <v>0.32301351341861689</v>
      </c>
      <c r="H7" t="s">
        <v>180</v>
      </c>
      <c r="I7">
        <v>0.72589999999999999</v>
      </c>
    </row>
    <row r="8" spans="1:9">
      <c r="A8" s="104">
        <v>3</v>
      </c>
      <c r="B8" s="104">
        <v>915</v>
      </c>
      <c r="C8" s="70">
        <f t="shared" si="0"/>
        <v>914.28359294194479</v>
      </c>
      <c r="D8" s="70">
        <f t="shared" si="1"/>
        <v>1170.5957441095538</v>
      </c>
      <c r="E8" s="71">
        <f t="shared" si="2"/>
        <v>7.8295853339367281E-4</v>
      </c>
      <c r="F8" s="72">
        <f t="shared" si="3"/>
        <v>0.2793396110486927</v>
      </c>
    </row>
    <row r="9" spans="1:9">
      <c r="A9" s="104">
        <v>4</v>
      </c>
      <c r="B9" s="104">
        <v>1825.9</v>
      </c>
      <c r="C9" s="70">
        <f t="shared" si="0"/>
        <v>1889.449508096086</v>
      </c>
      <c r="D9" s="70">
        <f t="shared" si="1"/>
        <v>1937.2566595562869</v>
      </c>
      <c r="E9" s="71">
        <f t="shared" si="2"/>
        <v>3.4804484416499207E-2</v>
      </c>
      <c r="F9" s="72">
        <f t="shared" si="3"/>
        <v>6.0987271787220979E-2</v>
      </c>
      <c r="H9" s="200" t="s">
        <v>181</v>
      </c>
      <c r="I9" s="200"/>
    </row>
    <row r="10" spans="1:9">
      <c r="A10" s="104">
        <v>5</v>
      </c>
      <c r="B10" s="104">
        <v>4021.8</v>
      </c>
      <c r="C10" s="70">
        <f t="shared" si="0"/>
        <v>3904.7178262896268</v>
      </c>
      <c r="D10" s="70">
        <f t="shared" si="1"/>
        <v>2863.4281246022297</v>
      </c>
      <c r="E10" s="71">
        <f t="shared" si="2"/>
        <v>2.9111883661637413E-2</v>
      </c>
      <c r="F10" s="72">
        <f t="shared" si="3"/>
        <v>0.28802324217956399</v>
      </c>
      <c r="H10" s="1" t="s">
        <v>182</v>
      </c>
    </row>
    <row r="11" spans="1:9">
      <c r="A11" s="78">
        <v>6</v>
      </c>
      <c r="B11" s="78">
        <v>3582.1</v>
      </c>
      <c r="C11" s="79">
        <f t="shared" si="0"/>
        <v>8069.4515718006751</v>
      </c>
      <c r="D11" s="70">
        <f t="shared" si="1"/>
        <v>3940.4023212853626</v>
      </c>
      <c r="E11" s="47">
        <f t="shared" si="2"/>
        <v>1.2527153267079856</v>
      </c>
      <c r="F11" s="47">
        <f t="shared" si="3"/>
        <v>0.100025772950326</v>
      </c>
      <c r="H11" t="s">
        <v>179</v>
      </c>
      <c r="I11">
        <v>170.97</v>
      </c>
    </row>
    <row r="12" spans="1:9">
      <c r="A12" s="78">
        <v>7</v>
      </c>
      <c r="C12" s="79">
        <f t="shared" si="0"/>
        <v>16676.24949265836</v>
      </c>
      <c r="D12" s="70">
        <f t="shared" si="1"/>
        <v>5161.4424527966221</v>
      </c>
      <c r="E12" s="80">
        <f>AVERAGE(E6:E11)</f>
        <v>0.22585646215580191</v>
      </c>
      <c r="F12" s="80">
        <f>AVERAGE(F6:F11)</f>
        <v>0.21154599369368277</v>
      </c>
      <c r="H12" t="s">
        <v>180</v>
      </c>
      <c r="I12">
        <v>1.7511000000000001</v>
      </c>
    </row>
    <row r="13" spans="1:9">
      <c r="E13" t="s">
        <v>183</v>
      </c>
    </row>
  </sheetData>
  <mergeCells count="6">
    <mergeCell ref="H9:I9"/>
    <mergeCell ref="A1:C1"/>
    <mergeCell ref="A4:B4"/>
    <mergeCell ref="C4:D4"/>
    <mergeCell ref="E4:F4"/>
    <mergeCell ref="H4:I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89BF-E613-E646-BDC9-C0EA01B694A9}">
  <dimension ref="A1:G25"/>
  <sheetViews>
    <sheetView workbookViewId="0">
      <selection activeCell="K55" sqref="K55"/>
    </sheetView>
  </sheetViews>
  <sheetFormatPr baseColWidth="10" defaultColWidth="11" defaultRowHeight="16"/>
  <cols>
    <col min="1" max="1" width="22.5" customWidth="1"/>
    <col min="2" max="2" width="14.33203125" bestFit="1" customWidth="1"/>
    <col min="3" max="3" width="16" bestFit="1" customWidth="1"/>
    <col min="5" max="5" width="16.1640625" customWidth="1"/>
    <col min="6" max="6" width="20.1640625" bestFit="1" customWidth="1"/>
    <col min="7" max="7" width="39" bestFit="1" customWidth="1"/>
  </cols>
  <sheetData>
    <row r="1" spans="1:7" ht="21" thickBot="1">
      <c r="A1" s="187" t="s">
        <v>184</v>
      </c>
      <c r="B1" s="187"/>
    </row>
    <row r="2" spans="1:7" ht="17" thickTop="1"/>
    <row r="4" spans="1:7">
      <c r="A4" s="36" t="s">
        <v>185</v>
      </c>
      <c r="B4" s="66">
        <v>9300000</v>
      </c>
      <c r="E4" s="200" t="s">
        <v>186</v>
      </c>
      <c r="F4" s="200"/>
    </row>
    <row r="5" spans="1:7">
      <c r="A5" s="68" t="s">
        <v>187</v>
      </c>
      <c r="B5" s="36">
        <v>20</v>
      </c>
      <c r="C5" t="s">
        <v>188</v>
      </c>
      <c r="E5" s="35" t="s">
        <v>189</v>
      </c>
      <c r="F5" s="35" t="s">
        <v>190</v>
      </c>
    </row>
    <row r="6" spans="1:7">
      <c r="A6" s="68" t="s">
        <v>191</v>
      </c>
      <c r="B6" s="66">
        <v>1200000</v>
      </c>
      <c r="E6" s="36">
        <v>1</v>
      </c>
      <c r="F6" s="82">
        <f>B6</f>
        <v>1200000</v>
      </c>
      <c r="G6" t="str">
        <f ca="1">_xlfn.FORMULATEXT(F6)</f>
        <v>=B6</v>
      </c>
    </row>
    <row r="7" spans="1:7">
      <c r="A7" s="68" t="s">
        <v>192</v>
      </c>
      <c r="B7" s="84">
        <v>8</v>
      </c>
      <c r="E7" s="36">
        <v>2</v>
      </c>
      <c r="F7" s="83">
        <f>IF(E6&lt;$B$7,F6+F6*$B$8,F6-F6*$B$9)</f>
        <v>1320000</v>
      </c>
      <c r="G7" t="str">
        <f ca="1">_xlfn.FORMULATEXT(F7)</f>
        <v>=IF(E6&lt;$B$7,F6+F6*$B$8,F6-F6*$B$9)</v>
      </c>
    </row>
    <row r="8" spans="1:7">
      <c r="A8" s="68" t="s">
        <v>193</v>
      </c>
      <c r="B8" s="71">
        <v>0.1</v>
      </c>
      <c r="E8" s="36">
        <v>3</v>
      </c>
      <c r="F8" s="83">
        <f t="shared" ref="F8:F25" si="0">IF(E7&lt;$B$7,F7+F7*$B$8,F7-F7*$B$9)</f>
        <v>1452000</v>
      </c>
      <c r="G8" t="str">
        <f t="shared" ref="G8:G25" ca="1" si="1">_xlfn.FORMULATEXT(F8)</f>
        <v>=IF(E7&lt;$B$7,F7+F7*$B$8,F7-F7*$B$9)</v>
      </c>
    </row>
    <row r="9" spans="1:7">
      <c r="A9" s="68" t="s">
        <v>194</v>
      </c>
      <c r="B9" s="72">
        <v>0.05</v>
      </c>
      <c r="E9" s="36">
        <v>4</v>
      </c>
      <c r="F9" s="83">
        <f t="shared" si="0"/>
        <v>1597200</v>
      </c>
      <c r="G9" t="str">
        <f t="shared" ca="1" si="1"/>
        <v>=IF(E8&lt;$B$7,F8+F8*$B$8,F8-F8*$B$9)</v>
      </c>
    </row>
    <row r="10" spans="1:7">
      <c r="A10" s="68" t="s">
        <v>195</v>
      </c>
      <c r="B10" s="72">
        <v>0.12</v>
      </c>
      <c r="E10" s="36">
        <v>5</v>
      </c>
      <c r="F10" s="83">
        <f t="shared" si="0"/>
        <v>1756920</v>
      </c>
      <c r="G10" t="str">
        <f t="shared" ca="1" si="1"/>
        <v>=IF(E9&lt;$B$7,F9+F9*$B$8,F9-F9*$B$9)</v>
      </c>
    </row>
    <row r="11" spans="1:7">
      <c r="E11" s="36">
        <v>6</v>
      </c>
      <c r="F11" s="83">
        <f t="shared" si="0"/>
        <v>1932612</v>
      </c>
      <c r="G11" t="str">
        <f t="shared" ca="1" si="1"/>
        <v>=IF(E10&lt;$B$7,F10+F10*$B$8,F10-F10*$B$9)</v>
      </c>
    </row>
    <row r="12" spans="1:7">
      <c r="A12" s="20" t="s">
        <v>196</v>
      </c>
      <c r="B12" s="85">
        <f>NPV(B10,F6:F25)</f>
        <v>12600290.735832384</v>
      </c>
      <c r="C12" t="str">
        <f ca="1">_xlfn.FORMULATEXT(B12)</f>
        <v>=NPV(B10,F6:F25)</v>
      </c>
      <c r="E12" s="36">
        <v>7</v>
      </c>
      <c r="F12" s="83">
        <f t="shared" si="0"/>
        <v>2125873.2000000002</v>
      </c>
      <c r="G12" t="str">
        <f t="shared" ca="1" si="1"/>
        <v>=IF(E11&lt;$B$7,F11+F11*$B$8,F11-F11*$B$9)</v>
      </c>
    </row>
    <row r="13" spans="1:7">
      <c r="A13" s="20" t="s">
        <v>185</v>
      </c>
      <c r="B13" s="40">
        <f>B4</f>
        <v>9300000</v>
      </c>
      <c r="C13" t="str">
        <f t="shared" ref="C13:C14" ca="1" si="2">_xlfn.FORMULATEXT(B13)</f>
        <v>=B4</v>
      </c>
      <c r="E13" s="36">
        <v>8</v>
      </c>
      <c r="F13" s="83">
        <f t="shared" si="0"/>
        <v>2338460.52</v>
      </c>
      <c r="G13" t="str">
        <f t="shared" ca="1" si="1"/>
        <v>=IF(E12&lt;$B$7,F12+F12*$B$8,F12-F12*$B$9)</v>
      </c>
    </row>
    <row r="14" spans="1:7">
      <c r="A14" s="10" t="s">
        <v>197</v>
      </c>
      <c r="B14" s="85">
        <f>B12-B13</f>
        <v>3300290.7358323839</v>
      </c>
      <c r="C14" t="str">
        <f t="shared" ca="1" si="2"/>
        <v>=B12-B13</v>
      </c>
      <c r="E14" s="36">
        <v>9</v>
      </c>
      <c r="F14" s="83">
        <f t="shared" si="0"/>
        <v>2221537.4939999999</v>
      </c>
      <c r="G14" t="str">
        <f t="shared" ca="1" si="1"/>
        <v>=IF(E13&lt;$B$7,F13+F13*$B$8,F13-F13*$B$9)</v>
      </c>
    </row>
    <row r="15" spans="1:7">
      <c r="E15" s="36">
        <v>10</v>
      </c>
      <c r="F15" s="83">
        <f t="shared" si="0"/>
        <v>2110460.6192999999</v>
      </c>
      <c r="G15" t="str">
        <f t="shared" ca="1" si="1"/>
        <v>=IF(E14&lt;$B$7,F14+F14*$B$8,F14-F14*$B$9)</v>
      </c>
    </row>
    <row r="16" spans="1:7">
      <c r="E16" s="36">
        <v>11</v>
      </c>
      <c r="F16" s="83">
        <f t="shared" si="0"/>
        <v>2004937.588335</v>
      </c>
      <c r="G16" t="str">
        <f t="shared" ca="1" si="1"/>
        <v>=IF(E15&lt;$B$7,F15+F15*$B$8,F15-F15*$B$9)</v>
      </c>
    </row>
    <row r="17" spans="5:7">
      <c r="E17" s="36">
        <v>12</v>
      </c>
      <c r="F17" s="83">
        <f t="shared" si="0"/>
        <v>1904690.7089182499</v>
      </c>
      <c r="G17" t="str">
        <f t="shared" ca="1" si="1"/>
        <v>=IF(E16&lt;$B$7,F16+F16*$B$8,F16-F16*$B$9)</v>
      </c>
    </row>
    <row r="18" spans="5:7">
      <c r="E18" s="36">
        <v>13</v>
      </c>
      <c r="F18" s="83">
        <f t="shared" si="0"/>
        <v>1809456.1734723374</v>
      </c>
      <c r="G18" t="str">
        <f t="shared" ca="1" si="1"/>
        <v>=IF(E17&lt;$B$7,F17+F17*$B$8,F17-F17*$B$9)</v>
      </c>
    </row>
    <row r="19" spans="5:7">
      <c r="E19" s="36">
        <v>14</v>
      </c>
      <c r="F19" s="83">
        <f t="shared" si="0"/>
        <v>1718983.3647987205</v>
      </c>
      <c r="G19" t="str">
        <f t="shared" ca="1" si="1"/>
        <v>=IF(E18&lt;$B$7,F18+F18*$B$8,F18-F18*$B$9)</v>
      </c>
    </row>
    <row r="20" spans="5:7">
      <c r="E20" s="36">
        <v>15</v>
      </c>
      <c r="F20" s="83">
        <f t="shared" si="0"/>
        <v>1633034.1965587845</v>
      </c>
      <c r="G20" t="str">
        <f t="shared" ca="1" si="1"/>
        <v>=IF(E19&lt;$B$7,F19+F19*$B$8,F19-F19*$B$9)</v>
      </c>
    </row>
    <row r="21" spans="5:7">
      <c r="E21" s="36">
        <v>16</v>
      </c>
      <c r="F21" s="83">
        <f t="shared" si="0"/>
        <v>1551382.4867308452</v>
      </c>
      <c r="G21" t="str">
        <f t="shared" ca="1" si="1"/>
        <v>=IF(E20&lt;$B$7,F20+F20*$B$8,F20-F20*$B$9)</v>
      </c>
    </row>
    <row r="22" spans="5:7">
      <c r="E22" s="36">
        <v>17</v>
      </c>
      <c r="F22" s="83">
        <f t="shared" si="0"/>
        <v>1473813.3623943029</v>
      </c>
      <c r="G22" t="str">
        <f t="shared" ca="1" si="1"/>
        <v>=IF(E21&lt;$B$7,F21+F21*$B$8,F21-F21*$B$9)</v>
      </c>
    </row>
    <row r="23" spans="5:7">
      <c r="E23" s="36">
        <v>18</v>
      </c>
      <c r="F23" s="83">
        <f t="shared" si="0"/>
        <v>1400122.6942745878</v>
      </c>
      <c r="G23" t="str">
        <f t="shared" ca="1" si="1"/>
        <v>=IF(E22&lt;$B$7,F22+F22*$B$8,F22-F22*$B$9)</v>
      </c>
    </row>
    <row r="24" spans="5:7">
      <c r="E24" s="36">
        <v>19</v>
      </c>
      <c r="F24" s="83">
        <f t="shared" si="0"/>
        <v>1330116.5595608584</v>
      </c>
      <c r="G24" t="str">
        <f t="shared" ca="1" si="1"/>
        <v>=IF(E23&lt;$B$7,F23+F23*$B$8,F23-F23*$B$9)</v>
      </c>
    </row>
    <row r="25" spans="5:7">
      <c r="E25" s="36">
        <v>20</v>
      </c>
      <c r="F25" s="83">
        <f t="shared" si="0"/>
        <v>1263610.7315828155</v>
      </c>
      <c r="G25" t="str">
        <f t="shared" ca="1" si="1"/>
        <v>=IF(E24&lt;$B$7,F24+F24*$B$8,F24-F24*$B$9)</v>
      </c>
    </row>
  </sheetData>
  <mergeCells count="2">
    <mergeCell ref="A1:B1"/>
    <mergeCell ref="E4:F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3BC5-75D9-F748-91CF-EDC730951A5E}">
  <dimension ref="A1:G8"/>
  <sheetViews>
    <sheetView workbookViewId="0">
      <selection activeCell="F10" sqref="F10"/>
    </sheetView>
  </sheetViews>
  <sheetFormatPr baseColWidth="10" defaultColWidth="11" defaultRowHeight="16"/>
  <cols>
    <col min="1" max="1" width="17.83203125" bestFit="1" customWidth="1"/>
    <col min="2" max="3" width="21.6640625" bestFit="1" customWidth="1"/>
    <col min="6" max="6" width="17.1640625" bestFit="1" customWidth="1"/>
    <col min="7" max="7" width="12.5" bestFit="1" customWidth="1"/>
  </cols>
  <sheetData>
    <row r="1" spans="1:7">
      <c r="A1" s="35" t="s">
        <v>46</v>
      </c>
      <c r="B1" s="35" t="s">
        <v>198</v>
      </c>
      <c r="F1" t="s">
        <v>199</v>
      </c>
      <c r="G1" s="2">
        <v>150000</v>
      </c>
    </row>
    <row r="2" spans="1:7">
      <c r="A2" s="36">
        <v>1</v>
      </c>
      <c r="B2" s="66">
        <v>30000</v>
      </c>
      <c r="F2" t="s">
        <v>195</v>
      </c>
      <c r="G2" s="41">
        <v>0.15</v>
      </c>
    </row>
    <row r="3" spans="1:7">
      <c r="A3" s="36">
        <v>2</v>
      </c>
      <c r="B3" s="66">
        <v>65000</v>
      </c>
    </row>
    <row r="4" spans="1:7">
      <c r="A4" s="36">
        <v>3</v>
      </c>
      <c r="B4" s="66">
        <v>80000</v>
      </c>
    </row>
    <row r="5" spans="1:7">
      <c r="A5" s="36">
        <v>4</v>
      </c>
      <c r="B5" s="66">
        <v>75000</v>
      </c>
    </row>
    <row r="6" spans="1:7">
      <c r="A6" s="36">
        <v>5</v>
      </c>
      <c r="B6" s="66">
        <v>55000</v>
      </c>
    </row>
    <row r="8" spans="1:7">
      <c r="A8" t="s">
        <v>200</v>
      </c>
      <c r="B8" s="85">
        <f>NPV(G2,B2:B6)-G1</f>
        <v>48063.807351472788</v>
      </c>
      <c r="C8" t="str">
        <f ca="1">_xlfn.FORMULATEXT(B8)</f>
        <v>=NPV(G2,B2:B6)-G1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FDA7-2206-8549-AF64-D22D42AB86B2}">
  <dimension ref="A1:L60"/>
  <sheetViews>
    <sheetView topLeftCell="Z1" workbookViewId="0">
      <selection activeCell="G38" sqref="G38"/>
    </sheetView>
  </sheetViews>
  <sheetFormatPr baseColWidth="10" defaultColWidth="11" defaultRowHeight="16"/>
  <cols>
    <col min="2" max="2" width="37.5" bestFit="1" customWidth="1"/>
    <col min="3" max="3" width="16" bestFit="1" customWidth="1"/>
    <col min="4" max="4" width="28.1640625" bestFit="1" customWidth="1"/>
    <col min="5" max="5" width="14" bestFit="1" customWidth="1"/>
    <col min="6" max="6" width="19.6640625" bestFit="1" customWidth="1"/>
    <col min="7" max="7" width="16" bestFit="1" customWidth="1"/>
    <col min="8" max="8" width="17.83203125" customWidth="1"/>
    <col min="9" max="9" width="17.5" customWidth="1"/>
    <col min="10" max="11" width="14" bestFit="1" customWidth="1"/>
    <col min="12" max="12" width="13.6640625" bestFit="1" customWidth="1"/>
  </cols>
  <sheetData>
    <row r="1" spans="1:5">
      <c r="A1" s="86" t="s">
        <v>46</v>
      </c>
      <c r="B1" s="87" t="s">
        <v>201</v>
      </c>
      <c r="C1" s="1" t="s">
        <v>174</v>
      </c>
      <c r="D1" s="1" t="s">
        <v>202</v>
      </c>
      <c r="E1" s="35" t="s">
        <v>203</v>
      </c>
    </row>
    <row r="2" spans="1:5">
      <c r="A2" s="88">
        <v>1</v>
      </c>
      <c r="B2" s="89">
        <v>150781.16666666666</v>
      </c>
      <c r="C2" s="19">
        <f>$G$21*EXP($G$22*A2)</f>
        <v>165143.66740010298</v>
      </c>
      <c r="D2" s="48">
        <f>ABS((B2-C2)/B2)</f>
        <v>9.5253943519270107E-2</v>
      </c>
      <c r="E2" s="90"/>
    </row>
    <row r="3" spans="1:5">
      <c r="A3" s="104">
        <v>2</v>
      </c>
      <c r="B3" s="89">
        <v>161696.25</v>
      </c>
      <c r="C3" s="19">
        <f t="shared" ref="C3:C60" si="0">$G$21*EXP($G$22*A3)</f>
        <v>172399.73249357322</v>
      </c>
      <c r="D3" s="48">
        <f t="shared" ref="D3:D21" si="1">ABS((B3-C3)/B3)</f>
        <v>6.6194995205969331E-2</v>
      </c>
      <c r="E3" s="72">
        <f t="shared" ref="E3:E21" si="2">(B3-B2)/B2</f>
        <v>7.2390229991146179E-2</v>
      </c>
    </row>
    <row r="4" spans="1:5">
      <c r="A4" s="88">
        <v>3</v>
      </c>
      <c r="B4" s="89">
        <v>175688.83333333334</v>
      </c>
      <c r="C4" s="19">
        <f t="shared" si="0"/>
        <v>179974.61381214956</v>
      </c>
      <c r="D4" s="48">
        <f t="shared" si="1"/>
        <v>2.4394154127512661E-2</v>
      </c>
      <c r="E4" s="72">
        <f t="shared" si="2"/>
        <v>8.6536226618325052E-2</v>
      </c>
    </row>
    <row r="5" spans="1:5">
      <c r="A5" s="104">
        <v>4</v>
      </c>
      <c r="B5" s="89">
        <v>185437.25</v>
      </c>
      <c r="C5" s="19">
        <f t="shared" si="0"/>
        <v>187882.31946960744</v>
      </c>
      <c r="D5" s="48">
        <f t="shared" si="1"/>
        <v>1.3185427790842644E-2</v>
      </c>
      <c r="E5" s="72">
        <f t="shared" si="2"/>
        <v>5.5486831358092327E-2</v>
      </c>
    </row>
    <row r="6" spans="1:5">
      <c r="A6" s="88">
        <v>5</v>
      </c>
      <c r="B6" s="89">
        <v>196728.16666666666</v>
      </c>
      <c r="C6" s="19">
        <f t="shared" si="0"/>
        <v>196137.47306675219</v>
      </c>
      <c r="D6" s="48">
        <f t="shared" si="1"/>
        <v>3.0025878343863449E-3</v>
      </c>
      <c r="E6" s="72">
        <f t="shared" si="2"/>
        <v>6.0888072200524203E-2</v>
      </c>
    </row>
    <row r="7" spans="1:5">
      <c r="A7" s="104">
        <v>6</v>
      </c>
      <c r="B7" s="89">
        <v>206334.08333333334</v>
      </c>
      <c r="C7" s="19">
        <f t="shared" si="0"/>
        <v>204755.34073462404</v>
      </c>
      <c r="D7" s="48">
        <f t="shared" si="1"/>
        <v>7.6513902754439152E-3</v>
      </c>
      <c r="E7" s="72">
        <f t="shared" si="2"/>
        <v>4.8828374855659648E-2</v>
      </c>
    </row>
    <row r="8" spans="1:5">
      <c r="A8" s="88">
        <v>7</v>
      </c>
      <c r="B8" s="89">
        <v>215657.66666666666</v>
      </c>
      <c r="C8" s="19">
        <f t="shared" si="0"/>
        <v>213751.8593659233</v>
      </c>
      <c r="D8" s="48">
        <f t="shared" si="1"/>
        <v>8.8371877995373337E-3</v>
      </c>
      <c r="E8" s="72">
        <f t="shared" si="2"/>
        <v>4.5186830904087892E-2</v>
      </c>
    </row>
    <row r="9" spans="1:5">
      <c r="A9" s="104">
        <v>8</v>
      </c>
      <c r="B9" s="89">
        <v>233872</v>
      </c>
      <c r="C9" s="19">
        <f t="shared" si="0"/>
        <v>223143.66608686617</v>
      </c>
      <c r="D9" s="48">
        <f t="shared" si="1"/>
        <v>4.5872673569875101E-2</v>
      </c>
      <c r="E9" s="72">
        <f t="shared" si="2"/>
        <v>8.4459475124927977E-2</v>
      </c>
    </row>
    <row r="10" spans="1:5">
      <c r="A10" s="88">
        <v>9</v>
      </c>
      <c r="B10" s="89">
        <v>248748.25</v>
      </c>
      <c r="C10" s="19">
        <f t="shared" si="0"/>
        <v>232948.12902397109</v>
      </c>
      <c r="D10" s="48">
        <f t="shared" si="1"/>
        <v>6.3518521139460909E-2</v>
      </c>
      <c r="E10" s="72">
        <f t="shared" si="2"/>
        <v>6.3608512348635154E-2</v>
      </c>
    </row>
    <row r="11" spans="1:5">
      <c r="A11" s="104">
        <v>10</v>
      </c>
      <c r="B11" s="89">
        <v>255663.75</v>
      </c>
      <c r="C11" s="19">
        <f t="shared" si="0"/>
        <v>243183.37942267326</v>
      </c>
      <c r="D11" s="48">
        <f t="shared" si="1"/>
        <v>4.88155656690741E-2</v>
      </c>
      <c r="E11" s="72">
        <f t="shared" si="2"/>
        <v>2.7801200611461588E-2</v>
      </c>
    </row>
    <row r="12" spans="1:5">
      <c r="A12" s="88">
        <v>11</v>
      </c>
      <c r="B12" s="89">
        <v>261272.41666666666</v>
      </c>
      <c r="C12" s="19">
        <f t="shared" si="0"/>
        <v>253868.34517716331</v>
      </c>
      <c r="D12" s="48">
        <f t="shared" si="1"/>
        <v>2.833851190250028E-2</v>
      </c>
      <c r="E12" s="72">
        <f t="shared" si="2"/>
        <v>2.1937668780445632E-2</v>
      </c>
    </row>
    <row r="13" spans="1:5">
      <c r="A13" s="104">
        <v>12</v>
      </c>
      <c r="B13" s="89">
        <v>272232.5</v>
      </c>
      <c r="C13" s="19">
        <f t="shared" si="0"/>
        <v>265022.78583345655</v>
      </c>
      <c r="D13" s="48">
        <f t="shared" si="1"/>
        <v>2.6483664391810113E-2</v>
      </c>
      <c r="E13" s="72">
        <f t="shared" si="2"/>
        <v>4.1948872648567039E-2</v>
      </c>
    </row>
    <row r="14" spans="1:5">
      <c r="A14" s="88">
        <v>13</v>
      </c>
      <c r="B14" s="89">
        <v>288987.5</v>
      </c>
      <c r="C14" s="19">
        <f t="shared" si="0"/>
        <v>276667.32913042337</v>
      </c>
      <c r="D14" s="48">
        <f t="shared" si="1"/>
        <v>4.2632192982660591E-2</v>
      </c>
      <c r="E14" s="72">
        <f t="shared" si="2"/>
        <v>6.154665589156328E-2</v>
      </c>
    </row>
    <row r="15" spans="1:5">
      <c r="A15" s="104">
        <v>14</v>
      </c>
      <c r="B15" s="89">
        <v>307826.08333333331</v>
      </c>
      <c r="C15" s="19">
        <f t="shared" si="0"/>
        <v>288823.50914635573</v>
      </c>
      <c r="D15" s="48">
        <f t="shared" si="1"/>
        <v>6.1731527040222924E-2</v>
      </c>
      <c r="E15" s="72">
        <f t="shared" si="2"/>
        <v>6.5188229017979368E-2</v>
      </c>
    </row>
    <row r="16" spans="1:5">
      <c r="A16" s="88">
        <v>15</v>
      </c>
      <c r="B16" s="89">
        <v>323823.08333333331</v>
      </c>
      <c r="C16" s="19">
        <f t="shared" si="0"/>
        <v>301513.80612161325</v>
      </c>
      <c r="D16" s="48">
        <f t="shared" si="1"/>
        <v>6.8893412359845876E-2</v>
      </c>
      <c r="E16" s="72">
        <f t="shared" si="2"/>
        <v>5.1967655978903675E-2</v>
      </c>
    </row>
    <row r="17" spans="1:7">
      <c r="A17" s="104">
        <v>16</v>
      </c>
      <c r="B17" s="89">
        <v>334008</v>
      </c>
      <c r="C17" s="19">
        <f t="shared" si="0"/>
        <v>314761.68803099269</v>
      </c>
      <c r="D17" s="48">
        <f t="shared" si="1"/>
        <v>5.7622308354911583E-2</v>
      </c>
      <c r="E17" s="72">
        <f t="shared" si="2"/>
        <v>3.1452102060873323E-2</v>
      </c>
    </row>
    <row r="18" spans="1:7">
      <c r="A18" s="88">
        <v>17</v>
      </c>
      <c r="B18" s="89">
        <v>328780.33333333331</v>
      </c>
      <c r="C18" s="19">
        <f t="shared" si="0"/>
        <v>328591.65398269973</v>
      </c>
      <c r="D18" s="48">
        <f t="shared" si="1"/>
        <v>5.7387663282855005E-4</v>
      </c>
      <c r="E18" s="72">
        <f t="shared" si="2"/>
        <v>-1.5651321724829005E-2</v>
      </c>
    </row>
    <row r="19" spans="1:7">
      <c r="A19" s="104">
        <v>18</v>
      </c>
      <c r="B19" s="89">
        <v>303288.91666666669</v>
      </c>
      <c r="C19" s="19">
        <f t="shared" si="0"/>
        <v>343029.27952418046</v>
      </c>
      <c r="D19" s="48">
        <f t="shared" si="1"/>
        <v>0.13103137198116241</v>
      </c>
      <c r="E19" s="72">
        <f t="shared" si="2"/>
        <v>-7.7533277030965853E-2</v>
      </c>
    </row>
    <row r="20" spans="1:7">
      <c r="A20" s="88">
        <v>19</v>
      </c>
      <c r="B20" s="89">
        <v>323964.16666666669</v>
      </c>
      <c r="C20" s="19">
        <f t="shared" si="0"/>
        <v>358101.26393859531</v>
      </c>
      <c r="D20" s="48">
        <f t="shared" si="1"/>
        <v>0.10537306524722216</v>
      </c>
      <c r="E20" s="72">
        <f t="shared" si="2"/>
        <v>6.8170146892388359E-2</v>
      </c>
      <c r="F20" s="1" t="s">
        <v>204</v>
      </c>
      <c r="G20" s="138" t="s">
        <v>178</v>
      </c>
    </row>
    <row r="21" spans="1:7">
      <c r="A21" s="104">
        <v>20</v>
      </c>
      <c r="B21" s="89">
        <v>349717.75</v>
      </c>
      <c r="C21" s="19">
        <f t="shared" si="0"/>
        <v>373835.47961940081</v>
      </c>
      <c r="D21" s="48">
        <f t="shared" si="1"/>
        <v>6.8963412979183375E-2</v>
      </c>
      <c r="E21" s="72">
        <f t="shared" si="2"/>
        <v>7.949516021576454E-2</v>
      </c>
      <c r="F21" t="s">
        <v>179</v>
      </c>
      <c r="G21">
        <v>158193</v>
      </c>
    </row>
    <row r="22" spans="1:7">
      <c r="A22" s="88">
        <v>21</v>
      </c>
      <c r="C22" s="19">
        <f t="shared" si="0"/>
        <v>390261.02361434634</v>
      </c>
      <c r="D22" s="49">
        <f>AVERAGE(D2:D21)</f>
        <v>4.8418489540186016E-2</v>
      </c>
      <c r="E22" s="49">
        <f>AVERAGE(E3:E21)</f>
        <v>4.5984612986502658E-2</v>
      </c>
      <c r="F22" t="s">
        <v>180</v>
      </c>
      <c r="G22">
        <v>4.2999999999999997E-2</v>
      </c>
    </row>
    <row r="23" spans="1:7">
      <c r="A23" s="104">
        <v>22</v>
      </c>
      <c r="C23" s="19">
        <f t="shared" si="0"/>
        <v>407408.27143420593</v>
      </c>
    </row>
    <row r="24" spans="1:7">
      <c r="A24" s="88">
        <v>23</v>
      </c>
      <c r="C24" s="19">
        <f t="shared" si="0"/>
        <v>425308.93322575185</v>
      </c>
      <c r="F24">
        <f>$G$21*EXP($G$22^A2)</f>
        <v>165143.66740010298</v>
      </c>
    </row>
    <row r="25" spans="1:7">
      <c r="A25" s="104">
        <v>24</v>
      </c>
      <c r="C25" s="19">
        <f t="shared" si="0"/>
        <v>443996.1124128513</v>
      </c>
    </row>
    <row r="26" spans="1:7">
      <c r="A26" s="88">
        <v>25</v>
      </c>
      <c r="C26" s="19">
        <f t="shared" si="0"/>
        <v>463504.36691412784</v>
      </c>
    </row>
    <row r="27" spans="1:7">
      <c r="A27" s="104">
        <v>26</v>
      </c>
      <c r="C27" s="19">
        <f t="shared" si="0"/>
        <v>483869.77305040054</v>
      </c>
    </row>
    <row r="28" spans="1:7">
      <c r="A28" s="88">
        <v>27</v>
      </c>
      <c r="C28" s="19">
        <f t="shared" si="0"/>
        <v>505129.99226007872</v>
      </c>
    </row>
    <row r="29" spans="1:7">
      <c r="A29" s="104">
        <v>28</v>
      </c>
      <c r="C29" s="19">
        <f t="shared" si="0"/>
        <v>527324.34074589284</v>
      </c>
    </row>
    <row r="30" spans="1:7">
      <c r="A30" s="88">
        <v>29</v>
      </c>
      <c r="C30" s="19">
        <f t="shared" si="0"/>
        <v>550493.86218175455</v>
      </c>
    </row>
    <row r="31" spans="1:7">
      <c r="A31" s="104">
        <v>30</v>
      </c>
      <c r="C31" s="19">
        <f t="shared" si="0"/>
        <v>574681.40361420403</v>
      </c>
    </row>
    <row r="32" spans="1:7">
      <c r="A32" s="88">
        <v>31</v>
      </c>
      <c r="C32" s="19">
        <f t="shared" si="0"/>
        <v>599931.69469880743</v>
      </c>
    </row>
    <row r="33" spans="1:12">
      <c r="A33" s="104">
        <v>32</v>
      </c>
      <c r="C33" s="19">
        <f t="shared" si="0"/>
        <v>626291.43041803339</v>
      </c>
    </row>
    <row r="34" spans="1:12">
      <c r="A34" s="88">
        <v>33</v>
      </c>
      <c r="C34" s="19">
        <f t="shared" si="0"/>
        <v>653809.35743358068</v>
      </c>
    </row>
    <row r="35" spans="1:12">
      <c r="A35" s="104">
        <v>34</v>
      </c>
      <c r="C35" s="19">
        <f t="shared" si="0"/>
        <v>682536.36423284397</v>
      </c>
      <c r="F35" t="s">
        <v>205</v>
      </c>
      <c r="I35" t="s">
        <v>32</v>
      </c>
    </row>
    <row r="36" spans="1:12">
      <c r="A36" s="88">
        <v>35</v>
      </c>
      <c r="C36" s="19">
        <f t="shared" si="0"/>
        <v>712525.57523622608</v>
      </c>
      <c r="F36" t="s">
        <v>199</v>
      </c>
      <c r="G36" s="2">
        <v>4000000</v>
      </c>
    </row>
    <row r="37" spans="1:12">
      <c r="A37" s="104">
        <v>36</v>
      </c>
      <c r="C37" s="19">
        <f t="shared" si="0"/>
        <v>743832.44903932756</v>
      </c>
      <c r="F37" t="s">
        <v>206</v>
      </c>
      <c r="G37" s="19">
        <v>25</v>
      </c>
      <c r="I37" t="s">
        <v>195</v>
      </c>
      <c r="J37" s="41">
        <v>0.05</v>
      </c>
    </row>
    <row r="38" spans="1:12">
      <c r="A38" s="88">
        <v>37</v>
      </c>
      <c r="C38" s="19">
        <f t="shared" si="0"/>
        <v>776514.88097169134</v>
      </c>
      <c r="F38" t="s">
        <v>207</v>
      </c>
      <c r="G38" s="91">
        <f>0.5*(G40)</f>
        <v>1000000</v>
      </c>
    </row>
    <row r="39" spans="1:12">
      <c r="A39" s="104">
        <v>38</v>
      </c>
      <c r="C39" s="19">
        <f t="shared" si="0"/>
        <v>810633.31016176147</v>
      </c>
      <c r="F39" t="s">
        <v>29</v>
      </c>
      <c r="G39">
        <v>80000</v>
      </c>
      <c r="H39" t="s">
        <v>208</v>
      </c>
      <c r="I39" s="85">
        <f>NPV(J37,L46:L50)-G36</f>
        <v>2.8070667758584023E-4</v>
      </c>
    </row>
    <row r="40" spans="1:12">
      <c r="A40" s="88">
        <v>39</v>
      </c>
      <c r="C40" s="19">
        <f t="shared" si="0"/>
        <v>846250.83130605274</v>
      </c>
      <c r="F40" t="s">
        <v>25</v>
      </c>
      <c r="G40" s="40">
        <f>G39*G37</f>
        <v>2000000</v>
      </c>
    </row>
    <row r="41" spans="1:12">
      <c r="A41" s="104">
        <v>40</v>
      </c>
      <c r="C41" s="19">
        <f t="shared" si="0"/>
        <v>883433.31134922162</v>
      </c>
      <c r="F41" t="s">
        <v>209</v>
      </c>
      <c r="G41" s="46">
        <v>0.5887873888663413</v>
      </c>
    </row>
    <row r="42" spans="1:12">
      <c r="A42" s="88">
        <v>41</v>
      </c>
      <c r="C42" s="19">
        <f t="shared" si="0"/>
        <v>922249.5112908124</v>
      </c>
    </row>
    <row r="43" spans="1:12">
      <c r="A43" s="104">
        <v>42</v>
      </c>
      <c r="C43" s="19">
        <f t="shared" si="0"/>
        <v>962771.21334393672</v>
      </c>
    </row>
    <row r="44" spans="1:12">
      <c r="A44" s="88">
        <v>43</v>
      </c>
      <c r="C44" s="19">
        <f t="shared" si="0"/>
        <v>1005073.3536810393</v>
      </c>
    </row>
    <row r="45" spans="1:12">
      <c r="A45" s="104">
        <v>44</v>
      </c>
      <c r="C45" s="19">
        <f t="shared" si="0"/>
        <v>1049234.1610122295</v>
      </c>
      <c r="F45" s="35" t="s">
        <v>46</v>
      </c>
      <c r="G45" s="35" t="s">
        <v>105</v>
      </c>
      <c r="H45" s="35" t="s">
        <v>80</v>
      </c>
      <c r="I45" s="35" t="s">
        <v>210</v>
      </c>
      <c r="J45" s="35" t="s">
        <v>211</v>
      </c>
      <c r="K45" s="35" t="s">
        <v>58</v>
      </c>
      <c r="L45" s="35" t="s">
        <v>34</v>
      </c>
    </row>
    <row r="46" spans="1:12">
      <c r="A46" s="88">
        <v>45</v>
      </c>
      <c r="C46" s="19">
        <f t="shared" si="0"/>
        <v>1095335.3012524555</v>
      </c>
      <c r="F46" s="36">
        <v>1</v>
      </c>
      <c r="G46" s="36">
        <v>80000</v>
      </c>
      <c r="H46" s="81">
        <f>G46*$G$37</f>
        <v>2000000</v>
      </c>
      <c r="I46" s="81">
        <f>H46*0.5</f>
        <v>1000000</v>
      </c>
      <c r="J46" s="83">
        <f>0.4*H46</f>
        <v>800000</v>
      </c>
      <c r="K46" s="83">
        <f>I46+J46</f>
        <v>1800000</v>
      </c>
      <c r="L46" s="83">
        <f>H46-K46</f>
        <v>200000</v>
      </c>
    </row>
    <row r="47" spans="1:12">
      <c r="A47" s="104">
        <v>46</v>
      </c>
      <c r="C47" s="19">
        <f t="shared" si="0"/>
        <v>1143462.02854505</v>
      </c>
      <c r="F47" s="36">
        <v>2</v>
      </c>
      <c r="G47" s="36">
        <f>(G46*$G$41)+G46</f>
        <v>127102.9911093073</v>
      </c>
      <c r="H47" s="81">
        <f t="shared" ref="H47:H50" si="3">G47*$G$37</f>
        <v>3177574.7777326824</v>
      </c>
      <c r="I47" s="81">
        <f t="shared" ref="I47:I50" si="4">H47*0.5</f>
        <v>1588787.3888663412</v>
      </c>
      <c r="J47" s="58">
        <f>0.38*H47</f>
        <v>1207478.4155384193</v>
      </c>
      <c r="K47" s="83">
        <f t="shared" ref="K47:K50" si="5">I47+J47</f>
        <v>2796265.8044047607</v>
      </c>
      <c r="L47" s="83">
        <f t="shared" ref="L47:L50" si="6">H47-K47</f>
        <v>381308.9733279217</v>
      </c>
    </row>
    <row r="48" spans="1:12">
      <c r="A48" s="88">
        <v>47</v>
      </c>
      <c r="C48" s="19">
        <f t="shared" si="0"/>
        <v>1193703.3429209306</v>
      </c>
      <c r="F48" s="36">
        <v>3</v>
      </c>
      <c r="G48" s="36">
        <f t="shared" ref="G48:G50" si="7">(G47*$G$41)+G47</f>
        <v>201939.62936165812</v>
      </c>
      <c r="H48" s="81">
        <f t="shared" si="3"/>
        <v>5048490.7340414533</v>
      </c>
      <c r="I48" s="81">
        <f t="shared" si="4"/>
        <v>2524245.3670207267</v>
      </c>
      <c r="J48" s="58">
        <f>0.36*H48</f>
        <v>1817456.6642549231</v>
      </c>
      <c r="K48" s="83">
        <f>I48+J48</f>
        <v>4341702.0312756496</v>
      </c>
      <c r="L48" s="83">
        <f>H48-K48</f>
        <v>706788.70276580378</v>
      </c>
    </row>
    <row r="49" spans="1:12">
      <c r="A49" s="104">
        <v>48</v>
      </c>
      <c r="C49" s="19">
        <f t="shared" si="0"/>
        <v>1246152.1548850155</v>
      </c>
      <c r="F49" s="36">
        <v>4</v>
      </c>
      <c r="G49" s="36">
        <f t="shared" si="7"/>
        <v>320839.13644214557</v>
      </c>
      <c r="H49" s="81">
        <f t="shared" si="3"/>
        <v>8020978.4110536389</v>
      </c>
      <c r="I49" s="81">
        <f t="shared" si="4"/>
        <v>4010489.2055268195</v>
      </c>
      <c r="J49" s="58">
        <f>0.34*H49</f>
        <v>2727132.6597582377</v>
      </c>
      <c r="K49" s="83">
        <f t="shared" si="5"/>
        <v>6737621.8652850576</v>
      </c>
      <c r="L49" s="83">
        <f>H49-K49</f>
        <v>1283356.5457685813</v>
      </c>
    </row>
    <row r="50" spans="1:12">
      <c r="A50" s="88">
        <v>49</v>
      </c>
      <c r="C50" s="19">
        <f t="shared" si="0"/>
        <v>1300905.4572342171</v>
      </c>
      <c r="F50" s="36">
        <v>5</v>
      </c>
      <c r="G50" s="36">
        <f t="shared" si="7"/>
        <v>509745.17383404827</v>
      </c>
      <c r="H50" s="81">
        <f t="shared" si="3"/>
        <v>12743629.345851207</v>
      </c>
      <c r="I50" s="81">
        <f t="shared" si="4"/>
        <v>6371814.6729256036</v>
      </c>
      <c r="J50" s="58">
        <f>0.32*H50</f>
        <v>4077961.3906723862</v>
      </c>
      <c r="K50" s="83">
        <f t="shared" si="5"/>
        <v>10449776.06359799</v>
      </c>
      <c r="L50" s="83">
        <f t="shared" si="6"/>
        <v>2293853.282253217</v>
      </c>
    </row>
    <row r="51" spans="1:12">
      <c r="A51" s="104">
        <v>50</v>
      </c>
      <c r="C51" s="19">
        <f t="shared" si="0"/>
        <v>1358064.5044247624</v>
      </c>
      <c r="K51" s="92">
        <f>SUM(K46:K50)</f>
        <v>26125365.764563456</v>
      </c>
      <c r="L51" s="92">
        <f>SUM(L46:L50)-G36</f>
        <v>865307.50411552377</v>
      </c>
    </row>
    <row r="52" spans="1:12">
      <c r="A52" s="88">
        <v>51</v>
      </c>
      <c r="C52" s="19">
        <f t="shared" si="0"/>
        <v>1417734.9998205265</v>
      </c>
    </row>
    <row r="53" spans="1:12">
      <c r="A53" s="104">
        <v>52</v>
      </c>
      <c r="C53" s="19">
        <f t="shared" si="0"/>
        <v>1480027.2911686744</v>
      </c>
    </row>
    <row r="54" spans="1:12">
      <c r="A54" s="88">
        <v>53</v>
      </c>
      <c r="C54" s="19">
        <f t="shared" si="0"/>
        <v>1545056.5746640807</v>
      </c>
    </row>
    <row r="55" spans="1:12">
      <c r="A55" s="104">
        <v>54</v>
      </c>
      <c r="C55" s="19">
        <f t="shared" si="0"/>
        <v>1612943.1079799184</v>
      </c>
    </row>
    <row r="56" spans="1:12">
      <c r="A56" s="88">
        <v>55</v>
      </c>
      <c r="C56" s="19">
        <f t="shared" si="0"/>
        <v>1683812.4326583603</v>
      </c>
    </row>
    <row r="57" spans="1:12">
      <c r="A57" s="104">
        <v>56</v>
      </c>
      <c r="C57" s="19">
        <f t="shared" si="0"/>
        <v>1757795.6062726579</v>
      </c>
    </row>
    <row r="58" spans="1:12">
      <c r="A58" s="88">
        <v>57</v>
      </c>
      <c r="C58" s="19">
        <f t="shared" si="0"/>
        <v>1835029.4447899342</v>
      </c>
    </row>
    <row r="59" spans="1:12">
      <c r="A59" s="104">
        <v>58</v>
      </c>
      <c r="C59" s="19">
        <f t="shared" si="0"/>
        <v>1915656.7755828928</v>
      </c>
    </row>
    <row r="60" spans="1:12">
      <c r="A60" s="88">
        <v>59</v>
      </c>
      <c r="C60" s="19">
        <f t="shared" si="0"/>
        <v>1999826.7015583178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76D8-F8E3-7A47-9D12-7D5F90E08E6C}">
  <dimension ref="A1:AD61"/>
  <sheetViews>
    <sheetView tabSelected="1" topLeftCell="N19" workbookViewId="0">
      <selection activeCell="P64" sqref="P64"/>
    </sheetView>
  </sheetViews>
  <sheetFormatPr baseColWidth="10" defaultColWidth="11" defaultRowHeight="16"/>
  <cols>
    <col min="1" max="1" width="11.83203125" bestFit="1" customWidth="1"/>
    <col min="2" max="2" width="16.5" bestFit="1" customWidth="1"/>
    <col min="3" max="3" width="23.5" bestFit="1" customWidth="1"/>
    <col min="4" max="6" width="11.1640625" bestFit="1" customWidth="1"/>
    <col min="10" max="10" width="33" bestFit="1" customWidth="1"/>
    <col min="11" max="12" width="14" bestFit="1" customWidth="1"/>
    <col min="15" max="15" width="17.1640625" bestFit="1" customWidth="1"/>
    <col min="16" max="21" width="14.6640625" bestFit="1" customWidth="1"/>
    <col min="22" max="22" width="19.5" customWidth="1"/>
    <col min="23" max="23" width="16.1640625" customWidth="1"/>
    <col min="24" max="24" width="14.6640625" bestFit="1" customWidth="1"/>
    <col min="25" max="25" width="10.6640625" customWidth="1"/>
    <col min="26" max="26" width="10.83203125" customWidth="1"/>
    <col min="27" max="27" width="8" customWidth="1"/>
  </cols>
  <sheetData>
    <row r="1" spans="1:30" ht="17" thickBot="1">
      <c r="A1" s="203" t="s">
        <v>212</v>
      </c>
      <c r="B1" s="204"/>
      <c r="C1" s="204"/>
      <c r="D1" s="204"/>
      <c r="E1" s="204"/>
      <c r="F1" s="204"/>
      <c r="G1" s="205"/>
      <c r="J1" s="206" t="s">
        <v>65</v>
      </c>
      <c r="K1" s="207"/>
    </row>
    <row r="2" spans="1:30" ht="17" thickBot="1">
      <c r="A2" s="107" t="s">
        <v>213</v>
      </c>
      <c r="B2" s="108" t="s">
        <v>214</v>
      </c>
      <c r="C2" s="108" t="s">
        <v>215</v>
      </c>
      <c r="D2" s="108" t="s">
        <v>216</v>
      </c>
      <c r="E2" s="108" t="s">
        <v>217</v>
      </c>
      <c r="F2" s="108" t="s">
        <v>218</v>
      </c>
      <c r="G2" s="109" t="s">
        <v>219</v>
      </c>
      <c r="J2" s="110" t="s">
        <v>220</v>
      </c>
      <c r="K2" s="144">
        <v>50000</v>
      </c>
    </row>
    <row r="3" spans="1:30" ht="17" thickTop="1">
      <c r="A3" s="111">
        <v>1</v>
      </c>
      <c r="B3" s="112" t="s">
        <v>221</v>
      </c>
      <c r="C3" s="113">
        <v>1</v>
      </c>
      <c r="D3" s="112">
        <v>250</v>
      </c>
      <c r="E3" s="112">
        <v>100</v>
      </c>
      <c r="F3" s="112">
        <v>100</v>
      </c>
      <c r="G3" s="114">
        <v>60</v>
      </c>
      <c r="J3" s="68" t="s">
        <v>222</v>
      </c>
      <c r="K3" s="144">
        <v>10000</v>
      </c>
      <c r="O3" t="s">
        <v>266</v>
      </c>
      <c r="P3" s="105" t="s">
        <v>390</v>
      </c>
      <c r="Q3" s="105" t="s">
        <v>391</v>
      </c>
      <c r="R3" s="105" t="s">
        <v>392</v>
      </c>
      <c r="S3" s="105" t="s">
        <v>393</v>
      </c>
      <c r="T3" s="105" t="s">
        <v>394</v>
      </c>
      <c r="U3" s="105" t="s">
        <v>395</v>
      </c>
      <c r="V3" s="105" t="s">
        <v>396</v>
      </c>
      <c r="W3" s="105" t="s">
        <v>397</v>
      </c>
      <c r="X3" s="105" t="s">
        <v>398</v>
      </c>
      <c r="Y3" s="105" t="s">
        <v>399</v>
      </c>
      <c r="Z3" s="105" t="s">
        <v>400</v>
      </c>
      <c r="AA3" s="105" t="s">
        <v>401</v>
      </c>
    </row>
    <row r="4" spans="1:30">
      <c r="A4" s="115">
        <v>2</v>
      </c>
      <c r="B4" s="116" t="s">
        <v>221</v>
      </c>
      <c r="C4" s="117">
        <v>0.33</v>
      </c>
      <c r="D4" s="116">
        <v>500</v>
      </c>
      <c r="E4" s="116">
        <v>300</v>
      </c>
      <c r="F4" s="116">
        <v>300</v>
      </c>
      <c r="G4" s="118">
        <v>180</v>
      </c>
      <c r="J4" s="68" t="s">
        <v>223</v>
      </c>
      <c r="K4" s="144">
        <v>4000</v>
      </c>
      <c r="P4" s="45">
        <v>0</v>
      </c>
      <c r="Q4" s="45">
        <v>1</v>
      </c>
      <c r="R4" s="45">
        <v>1</v>
      </c>
      <c r="S4" s="45">
        <v>1</v>
      </c>
      <c r="T4" s="45">
        <v>1</v>
      </c>
      <c r="U4" s="45">
        <v>1</v>
      </c>
      <c r="V4" s="45">
        <v>1</v>
      </c>
      <c r="W4" s="45">
        <v>1</v>
      </c>
      <c r="X4" s="45">
        <v>1</v>
      </c>
      <c r="Y4" s="45">
        <v>0</v>
      </c>
      <c r="Z4" s="45">
        <v>1</v>
      </c>
      <c r="AA4" s="45">
        <v>0</v>
      </c>
    </row>
    <row r="5" spans="1:30">
      <c r="A5" s="115">
        <v>3</v>
      </c>
      <c r="B5" s="116" t="s">
        <v>221</v>
      </c>
      <c r="C5" s="117">
        <v>0.5</v>
      </c>
      <c r="D5" s="116">
        <v>100</v>
      </c>
      <c r="E5" s="116">
        <v>200</v>
      </c>
      <c r="F5" s="116">
        <v>400</v>
      </c>
      <c r="G5" s="118">
        <v>80</v>
      </c>
      <c r="J5" s="36" t="s">
        <v>224</v>
      </c>
      <c r="K5" s="145">
        <v>0.12</v>
      </c>
      <c r="L5" t="s">
        <v>225</v>
      </c>
      <c r="P5">
        <v>53</v>
      </c>
      <c r="Q5">
        <v>158</v>
      </c>
      <c r="R5">
        <v>70</v>
      </c>
      <c r="S5">
        <v>273</v>
      </c>
      <c r="T5">
        <v>194</v>
      </c>
      <c r="U5">
        <v>158</v>
      </c>
      <c r="V5">
        <v>361</v>
      </c>
      <c r="W5">
        <v>246</v>
      </c>
      <c r="X5">
        <v>334</v>
      </c>
      <c r="Y5">
        <v>88</v>
      </c>
      <c r="Z5">
        <v>229</v>
      </c>
      <c r="AA5">
        <v>299</v>
      </c>
    </row>
    <row r="6" spans="1:30">
      <c r="A6" s="115">
        <v>4</v>
      </c>
      <c r="B6" s="116" t="s">
        <v>221</v>
      </c>
      <c r="C6" s="117">
        <v>1</v>
      </c>
      <c r="D6" s="116">
        <v>750</v>
      </c>
      <c r="E6" s="116">
        <v>500</v>
      </c>
      <c r="F6" s="116">
        <v>300</v>
      </c>
      <c r="G6" s="118">
        <v>310</v>
      </c>
    </row>
    <row r="7" spans="1:30">
      <c r="A7" s="115">
        <v>5</v>
      </c>
      <c r="B7" s="116" t="s">
        <v>221</v>
      </c>
      <c r="C7" s="117">
        <v>0.75</v>
      </c>
      <c r="D7" s="116">
        <v>200</v>
      </c>
      <c r="E7" s="116">
        <v>400</v>
      </c>
      <c r="F7" s="116">
        <v>800</v>
      </c>
      <c r="G7" s="118">
        <v>220</v>
      </c>
      <c r="J7" s="202" t="s">
        <v>226</v>
      </c>
      <c r="K7" s="202"/>
    </row>
    <row r="8" spans="1:30">
      <c r="A8" s="119">
        <v>6</v>
      </c>
      <c r="B8" s="120" t="s">
        <v>227</v>
      </c>
      <c r="C8" s="121">
        <v>0.5</v>
      </c>
      <c r="D8" s="120">
        <v>1000</v>
      </c>
      <c r="E8" s="120">
        <v>300</v>
      </c>
      <c r="F8" s="120">
        <v>300</v>
      </c>
      <c r="G8" s="122">
        <v>180</v>
      </c>
      <c r="J8" s="36" t="s">
        <v>228</v>
      </c>
      <c r="K8" s="36">
        <f>IF(D41&gt;K4,0,1)</f>
        <v>1</v>
      </c>
      <c r="O8" s="1" t="s">
        <v>285</v>
      </c>
    </row>
    <row r="9" spans="1:30">
      <c r="A9" s="119">
        <v>7</v>
      </c>
      <c r="B9" s="120" t="s">
        <v>227</v>
      </c>
      <c r="C9" s="121">
        <v>1</v>
      </c>
      <c r="D9" s="120">
        <v>750</v>
      </c>
      <c r="E9" s="120">
        <v>750</v>
      </c>
      <c r="F9" s="120">
        <v>300</v>
      </c>
      <c r="G9" s="122">
        <v>410</v>
      </c>
      <c r="J9" s="36" t="s">
        <v>229</v>
      </c>
      <c r="K9" s="36">
        <f>IF(D42&gt;K5,0,1)</f>
        <v>1</v>
      </c>
      <c r="O9" t="s">
        <v>402</v>
      </c>
      <c r="P9" s="161">
        <f>SUMPRODUCT(P4:AA4,P5:AA5)</f>
        <v>2023</v>
      </c>
      <c r="Q9" t="s">
        <v>408</v>
      </c>
    </row>
    <row r="10" spans="1:30" ht="16" customHeight="1">
      <c r="A10" s="119">
        <v>8</v>
      </c>
      <c r="B10" s="120" t="s">
        <v>227</v>
      </c>
      <c r="C10" s="121">
        <v>1</v>
      </c>
      <c r="D10" s="120">
        <v>800</v>
      </c>
      <c r="E10" s="120">
        <v>700</v>
      </c>
      <c r="F10" s="120">
        <v>600</v>
      </c>
      <c r="G10" s="122">
        <v>280</v>
      </c>
      <c r="J10" s="36" t="s">
        <v>230</v>
      </c>
      <c r="K10" s="36">
        <f>IF(D43&gt;K6,0,1)</f>
        <v>1</v>
      </c>
    </row>
    <row r="11" spans="1:30">
      <c r="A11" s="119">
        <v>9</v>
      </c>
      <c r="B11" s="120" t="s">
        <v>227</v>
      </c>
      <c r="C11" s="121">
        <v>0.67</v>
      </c>
      <c r="D11" s="120">
        <v>400</v>
      </c>
      <c r="E11" s="120">
        <v>600</v>
      </c>
      <c r="F11" s="120">
        <v>800</v>
      </c>
      <c r="G11" s="122">
        <v>380</v>
      </c>
      <c r="J11" s="36" t="s">
        <v>231</v>
      </c>
      <c r="K11" s="36">
        <f>IF(G41&lt;K3,1,0)</f>
        <v>1</v>
      </c>
      <c r="O11" s="104" t="s">
        <v>265</v>
      </c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 t="s">
        <v>267</v>
      </c>
      <c r="AC11" s="104" t="s">
        <v>268</v>
      </c>
      <c r="AD11" s="104" t="s">
        <v>269</v>
      </c>
    </row>
    <row r="12" spans="1:30">
      <c r="A12" s="123">
        <v>10</v>
      </c>
      <c r="B12" s="124" t="s">
        <v>232</v>
      </c>
      <c r="C12" s="125">
        <v>1</v>
      </c>
      <c r="D12" s="124">
        <v>100</v>
      </c>
      <c r="E12" s="124">
        <v>200</v>
      </c>
      <c r="F12" s="124">
        <v>400</v>
      </c>
      <c r="G12" s="126">
        <v>100</v>
      </c>
      <c r="J12" s="36" t="s">
        <v>233</v>
      </c>
      <c r="K12" s="36">
        <f>IF(AND(K13&gt;=1,K14&gt;=1,K15&gt;=1),1,0)</f>
        <v>1</v>
      </c>
      <c r="O12" s="104" t="s">
        <v>403</v>
      </c>
      <c r="P12" s="104">
        <v>450</v>
      </c>
      <c r="Q12" s="105">
        <v>363</v>
      </c>
      <c r="R12" s="104">
        <v>350</v>
      </c>
      <c r="S12" s="104">
        <v>1550</v>
      </c>
      <c r="T12" s="104">
        <v>1050</v>
      </c>
      <c r="U12" s="104">
        <v>800</v>
      </c>
      <c r="V12" s="104">
        <v>1800</v>
      </c>
      <c r="W12" s="104">
        <v>2100</v>
      </c>
      <c r="X12" s="104">
        <v>1206</v>
      </c>
      <c r="Y12" s="104">
        <v>700</v>
      </c>
      <c r="Z12" s="104">
        <v>750</v>
      </c>
      <c r="AA12" s="104">
        <v>2300</v>
      </c>
      <c r="AB12" s="104">
        <f>SUMPRODUCT($P$4:$AA$4,P12:AA12)</f>
        <v>9969</v>
      </c>
      <c r="AC12" s="104" t="s">
        <v>270</v>
      </c>
      <c r="AD12" s="104">
        <v>10000</v>
      </c>
    </row>
    <row r="13" spans="1:30">
      <c r="A13" s="123">
        <v>11</v>
      </c>
      <c r="B13" s="124" t="s">
        <v>232</v>
      </c>
      <c r="C13" s="125">
        <v>0.5</v>
      </c>
      <c r="D13" s="124">
        <v>700</v>
      </c>
      <c r="E13" s="124">
        <v>500</v>
      </c>
      <c r="F13" s="124">
        <v>300</v>
      </c>
      <c r="G13" s="126">
        <v>260</v>
      </c>
      <c r="J13" s="36" t="s">
        <v>234</v>
      </c>
      <c r="K13" s="36">
        <f>SUM(K19:K23)</f>
        <v>3</v>
      </c>
      <c r="O13" s="36" t="s">
        <v>405</v>
      </c>
      <c r="P13" s="104">
        <v>250</v>
      </c>
      <c r="Q13" s="104">
        <v>165</v>
      </c>
      <c r="R13" s="104">
        <v>50</v>
      </c>
      <c r="S13" s="104">
        <v>750</v>
      </c>
      <c r="T13" s="104">
        <v>150</v>
      </c>
      <c r="U13" s="104">
        <v>500</v>
      </c>
      <c r="V13" s="104">
        <v>750</v>
      </c>
      <c r="W13" s="104">
        <v>800</v>
      </c>
      <c r="X13" s="104">
        <v>268</v>
      </c>
      <c r="Y13" s="104">
        <v>100</v>
      </c>
      <c r="Z13" s="104">
        <v>350</v>
      </c>
      <c r="AA13" s="104">
        <v>1500</v>
      </c>
      <c r="AB13" s="104">
        <f t="shared" ref="AB13:AB18" si="0">SUMPRODUCT($P$4:$AA$4,P13:AA13)</f>
        <v>3783</v>
      </c>
      <c r="AC13" s="104" t="s">
        <v>270</v>
      </c>
      <c r="AD13" s="104">
        <v>4000</v>
      </c>
    </row>
    <row r="14" spans="1:30" ht="17" thickBot="1">
      <c r="A14" s="127">
        <v>12</v>
      </c>
      <c r="B14" s="128" t="s">
        <v>232</v>
      </c>
      <c r="C14" s="129">
        <v>1</v>
      </c>
      <c r="D14" s="128">
        <v>1500</v>
      </c>
      <c r="E14" s="128">
        <v>400</v>
      </c>
      <c r="F14" s="128">
        <v>400</v>
      </c>
      <c r="G14" s="130">
        <v>340</v>
      </c>
      <c r="J14" s="36" t="s">
        <v>235</v>
      </c>
      <c r="K14" s="36">
        <f>SUM(K28:K31)</f>
        <v>4</v>
      </c>
      <c r="O14" s="36" t="s">
        <v>406</v>
      </c>
      <c r="P14" s="104">
        <v>100</v>
      </c>
      <c r="Q14" s="104">
        <v>99</v>
      </c>
      <c r="R14" s="104">
        <v>100</v>
      </c>
      <c r="S14" s="104">
        <v>500</v>
      </c>
      <c r="T14" s="104">
        <v>300</v>
      </c>
      <c r="U14" s="104">
        <v>150</v>
      </c>
      <c r="V14" s="104">
        <v>750</v>
      </c>
      <c r="W14" s="104">
        <v>700</v>
      </c>
      <c r="X14" s="104">
        <v>402</v>
      </c>
      <c r="Y14" s="104">
        <v>200</v>
      </c>
      <c r="Z14" s="104">
        <v>250</v>
      </c>
      <c r="AA14" s="104">
        <v>400</v>
      </c>
      <c r="AB14" s="104">
        <f t="shared" si="0"/>
        <v>3251</v>
      </c>
      <c r="AC14" s="104" t="s">
        <v>270</v>
      </c>
      <c r="AD14" s="104">
        <v>4000</v>
      </c>
    </row>
    <row r="15" spans="1:30">
      <c r="J15" s="36" t="s">
        <v>236</v>
      </c>
      <c r="K15" s="36">
        <f>SUM(K35:K37)</f>
        <v>1</v>
      </c>
      <c r="O15" s="36" t="s">
        <v>407</v>
      </c>
      <c r="P15" s="104">
        <v>100</v>
      </c>
      <c r="Q15" s="104">
        <v>99</v>
      </c>
      <c r="R15" s="104">
        <v>200</v>
      </c>
      <c r="S15" s="104">
        <v>300</v>
      </c>
      <c r="T15" s="104">
        <v>600</v>
      </c>
      <c r="U15" s="104">
        <v>150</v>
      </c>
      <c r="V15" s="104">
        <v>300</v>
      </c>
      <c r="W15" s="104">
        <v>600</v>
      </c>
      <c r="X15" s="104">
        <v>536</v>
      </c>
      <c r="Y15" s="104">
        <v>400</v>
      </c>
      <c r="Z15" s="104">
        <v>150</v>
      </c>
      <c r="AA15" s="104">
        <v>400</v>
      </c>
      <c r="AB15" s="104">
        <f t="shared" si="0"/>
        <v>2935</v>
      </c>
      <c r="AC15" s="104" t="s">
        <v>270</v>
      </c>
      <c r="AD15" s="104">
        <v>4000</v>
      </c>
    </row>
    <row r="16" spans="1:30">
      <c r="J16" s="36" t="s">
        <v>237</v>
      </c>
      <c r="K16" s="36">
        <f>SUM(K13:K15)</f>
        <v>8</v>
      </c>
      <c r="O16" s="104" t="s">
        <v>258</v>
      </c>
      <c r="P16" s="104">
        <v>1</v>
      </c>
      <c r="Q16" s="104">
        <v>1</v>
      </c>
      <c r="R16" s="104">
        <v>1</v>
      </c>
      <c r="S16" s="104">
        <v>1</v>
      </c>
      <c r="T16" s="104">
        <v>1</v>
      </c>
      <c r="U16" s="104"/>
      <c r="V16" s="104"/>
      <c r="W16" s="104"/>
      <c r="X16" s="104"/>
      <c r="Y16" s="104"/>
      <c r="Z16" s="104"/>
      <c r="AA16" s="104"/>
      <c r="AB16" s="104">
        <f t="shared" si="0"/>
        <v>4</v>
      </c>
      <c r="AC16" s="104" t="s">
        <v>271</v>
      </c>
      <c r="AD16" s="104">
        <v>1</v>
      </c>
    </row>
    <row r="17" spans="1:30">
      <c r="O17" s="104" t="s">
        <v>259</v>
      </c>
      <c r="P17" s="104"/>
      <c r="Q17" s="104"/>
      <c r="R17" s="104"/>
      <c r="S17" s="104"/>
      <c r="T17" s="104"/>
      <c r="U17" s="104">
        <v>1</v>
      </c>
      <c r="V17" s="104">
        <v>1</v>
      </c>
      <c r="W17" s="104">
        <v>1</v>
      </c>
      <c r="X17" s="104">
        <v>1</v>
      </c>
      <c r="Y17" s="104"/>
      <c r="Z17" s="104"/>
      <c r="AA17" s="104"/>
      <c r="AB17" s="104">
        <f t="shared" si="0"/>
        <v>4</v>
      </c>
      <c r="AC17" s="104" t="s">
        <v>271</v>
      </c>
      <c r="AD17" s="104">
        <v>1</v>
      </c>
    </row>
    <row r="18" spans="1:30">
      <c r="A18" s="35" t="s">
        <v>213</v>
      </c>
      <c r="B18" s="106" t="s">
        <v>238</v>
      </c>
      <c r="C18" s="35" t="s">
        <v>239</v>
      </c>
      <c r="D18" s="35" t="s">
        <v>240</v>
      </c>
      <c r="E18" s="35" t="s">
        <v>241</v>
      </c>
      <c r="F18" s="35" t="s">
        <v>242</v>
      </c>
      <c r="G18" s="35" t="s">
        <v>58</v>
      </c>
      <c r="H18" s="35" t="s">
        <v>219</v>
      </c>
      <c r="I18" s="35" t="s">
        <v>243</v>
      </c>
      <c r="J18" s="35" t="s">
        <v>244</v>
      </c>
      <c r="K18" s="35" t="s">
        <v>245</v>
      </c>
      <c r="O18" s="104" t="s">
        <v>404</v>
      </c>
      <c r="P18" s="104"/>
      <c r="Q18" s="104"/>
      <c r="R18" s="104"/>
      <c r="S18" s="104"/>
      <c r="T18" s="104"/>
      <c r="U18" s="104"/>
      <c r="V18" s="104"/>
      <c r="W18" s="104"/>
      <c r="X18" s="104"/>
      <c r="Y18" s="104">
        <v>1</v>
      </c>
      <c r="Z18" s="104">
        <v>1</v>
      </c>
      <c r="AA18" s="104">
        <v>1</v>
      </c>
      <c r="AB18" s="104">
        <f t="shared" si="0"/>
        <v>1</v>
      </c>
      <c r="AC18" s="104" t="s">
        <v>271</v>
      </c>
      <c r="AD18" s="104">
        <v>1</v>
      </c>
    </row>
    <row r="19" spans="1:30">
      <c r="A19" s="36">
        <v>1</v>
      </c>
      <c r="B19" s="116" t="s">
        <v>221</v>
      </c>
      <c r="C19" s="65">
        <v>1</v>
      </c>
      <c r="D19" s="66">
        <f>D3*C19</f>
        <v>250</v>
      </c>
      <c r="E19" s="66">
        <f>E3*C19</f>
        <v>100</v>
      </c>
      <c r="F19" s="66">
        <f>F3*C19</f>
        <v>100</v>
      </c>
      <c r="G19" s="66">
        <f>SUM(D19:F19)</f>
        <v>450</v>
      </c>
      <c r="H19" s="66">
        <f>G3</f>
        <v>60</v>
      </c>
      <c r="I19" s="66">
        <f>H19*(1-$K$5)</f>
        <v>52.8</v>
      </c>
      <c r="J19" s="65" t="str">
        <f>IF(K19=0,"",I19/SUM(D3:F3))</f>
        <v/>
      </c>
      <c r="K19" s="132">
        <v>0</v>
      </c>
      <c r="L19" s="212" t="s">
        <v>246</v>
      </c>
      <c r="M19" s="200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</row>
    <row r="20" spans="1:30">
      <c r="A20" s="36">
        <v>2</v>
      </c>
      <c r="B20" s="116" t="s">
        <v>221</v>
      </c>
      <c r="C20" s="72">
        <v>0.33</v>
      </c>
      <c r="D20" s="66">
        <f>D4*C20</f>
        <v>165</v>
      </c>
      <c r="E20" s="66">
        <f t="shared" ref="E20:E23" si="1">E4*C20</f>
        <v>99</v>
      </c>
      <c r="F20" s="66">
        <f t="shared" ref="F20:F23" si="2">F4*C20</f>
        <v>99</v>
      </c>
      <c r="G20" s="66">
        <f t="shared" ref="G20:G23" si="3">SUM(D20:F20)</f>
        <v>363</v>
      </c>
      <c r="H20" s="66">
        <f t="shared" ref="H20:H23" si="4">G4</f>
        <v>180</v>
      </c>
      <c r="I20" s="66">
        <f t="shared" ref="I20:I23" si="5">H20*(1-$K$5)</f>
        <v>158.4</v>
      </c>
      <c r="J20" s="65">
        <f t="shared" ref="J20:J23" si="6">IF(K20=0,"",I20/SUM(D4:F4))</f>
        <v>0.14400000000000002</v>
      </c>
      <c r="K20" s="132">
        <v>1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</row>
    <row r="21" spans="1:30">
      <c r="A21" s="36">
        <v>3</v>
      </c>
      <c r="B21" s="116" t="s">
        <v>221</v>
      </c>
      <c r="C21" s="72">
        <v>0.5</v>
      </c>
      <c r="D21" s="66">
        <f>D5*C21</f>
        <v>50</v>
      </c>
      <c r="E21" s="66">
        <f t="shared" si="1"/>
        <v>100</v>
      </c>
      <c r="F21" s="66">
        <f t="shared" si="2"/>
        <v>200</v>
      </c>
      <c r="G21" s="66">
        <f t="shared" si="3"/>
        <v>350</v>
      </c>
      <c r="H21" s="66">
        <f t="shared" si="4"/>
        <v>80</v>
      </c>
      <c r="I21" s="66">
        <f t="shared" si="5"/>
        <v>70.400000000000006</v>
      </c>
      <c r="J21" s="65" t="str">
        <f t="shared" si="6"/>
        <v/>
      </c>
      <c r="K21" s="132">
        <v>0</v>
      </c>
      <c r="O21" s="105"/>
      <c r="AA21" s="105"/>
      <c r="AB21" s="105"/>
      <c r="AC21" s="105"/>
      <c r="AD21" s="105"/>
    </row>
    <row r="22" spans="1:30" ht="16" customHeight="1">
      <c r="A22" s="36">
        <v>4</v>
      </c>
      <c r="B22" s="116" t="s">
        <v>221</v>
      </c>
      <c r="C22" s="131">
        <v>1</v>
      </c>
      <c r="D22" s="66">
        <f>D6*C22</f>
        <v>750</v>
      </c>
      <c r="E22" s="66">
        <f t="shared" si="1"/>
        <v>500</v>
      </c>
      <c r="F22" s="66">
        <f t="shared" si="2"/>
        <v>300</v>
      </c>
      <c r="G22" s="66">
        <f t="shared" si="3"/>
        <v>1550</v>
      </c>
      <c r="H22" s="66">
        <f t="shared" si="4"/>
        <v>310</v>
      </c>
      <c r="I22" s="66">
        <f t="shared" si="5"/>
        <v>272.8</v>
      </c>
      <c r="J22" s="65">
        <f t="shared" si="6"/>
        <v>0.17600000000000002</v>
      </c>
      <c r="K22" s="132">
        <v>1</v>
      </c>
      <c r="Q22" s="176"/>
      <c r="R22" s="176"/>
      <c r="S22" s="176"/>
      <c r="T22" s="176"/>
      <c r="U22" s="176"/>
      <c r="V22" s="176"/>
      <c r="W22" s="176"/>
      <c r="X22" s="176"/>
      <c r="Y22" s="105"/>
      <c r="Z22" s="105"/>
      <c r="AA22" s="105"/>
      <c r="AB22" s="105"/>
      <c r="AC22" s="105"/>
      <c r="AD22" s="105"/>
    </row>
    <row r="23" spans="1:30" ht="16" customHeight="1">
      <c r="A23" s="36">
        <v>5</v>
      </c>
      <c r="B23" s="116" t="s">
        <v>221</v>
      </c>
      <c r="C23" s="131">
        <v>0.75</v>
      </c>
      <c r="D23" s="66">
        <f>D7*C23</f>
        <v>150</v>
      </c>
      <c r="E23" s="66">
        <f t="shared" si="1"/>
        <v>300</v>
      </c>
      <c r="F23" s="66">
        <f t="shared" si="2"/>
        <v>600</v>
      </c>
      <c r="G23" s="66">
        <f t="shared" si="3"/>
        <v>1050</v>
      </c>
      <c r="H23" s="66">
        <f t="shared" si="4"/>
        <v>220</v>
      </c>
      <c r="I23" s="66">
        <f t="shared" si="5"/>
        <v>193.6</v>
      </c>
      <c r="J23" s="65">
        <f t="shared" si="6"/>
        <v>0.13828571428571429</v>
      </c>
      <c r="K23" s="132">
        <v>1</v>
      </c>
      <c r="X23" s="177"/>
      <c r="Y23" s="105"/>
      <c r="Z23" s="105"/>
      <c r="AA23" s="105"/>
      <c r="AB23" s="105"/>
      <c r="AC23" s="105"/>
      <c r="AD23" s="105"/>
    </row>
    <row r="24" spans="1:30">
      <c r="C24" s="10" t="s">
        <v>247</v>
      </c>
      <c r="D24" s="133">
        <f>SUMPRODUCT(D19:D23,$K$19:$K$23)</f>
        <v>1065</v>
      </c>
      <c r="E24" s="133">
        <f t="shared" ref="E24:F24" si="7">SUMPRODUCT(E19:E23,$K$19:$K$23)</f>
        <v>899</v>
      </c>
      <c r="F24" s="133">
        <f t="shared" si="7"/>
        <v>999</v>
      </c>
      <c r="G24" s="133">
        <f>SUMPRODUCT(G19:G23,$K$19:$K$23)</f>
        <v>2963</v>
      </c>
      <c r="N24" s="105"/>
      <c r="O24" s="179"/>
      <c r="P24" s="180" t="s">
        <v>409</v>
      </c>
      <c r="Q24" s="180" t="s">
        <v>410</v>
      </c>
      <c r="R24" s="180" t="s">
        <v>411</v>
      </c>
      <c r="S24" s="180" t="s">
        <v>412</v>
      </c>
      <c r="T24" s="180" t="s">
        <v>413</v>
      </c>
      <c r="U24" s="180" t="s">
        <v>414</v>
      </c>
      <c r="V24" s="180" t="s">
        <v>415</v>
      </c>
      <c r="W24" s="180" t="s">
        <v>416</v>
      </c>
      <c r="X24" s="177"/>
      <c r="Y24" s="105"/>
      <c r="Z24" s="105"/>
      <c r="AA24" s="105"/>
      <c r="AB24" s="105"/>
      <c r="AC24" s="105"/>
      <c r="AD24" s="105"/>
    </row>
    <row r="25" spans="1:30">
      <c r="O25" s="181" t="s">
        <v>417</v>
      </c>
      <c r="P25" s="181">
        <v>1</v>
      </c>
      <c r="Q25" s="181">
        <v>1</v>
      </c>
      <c r="R25" s="181">
        <v>1</v>
      </c>
      <c r="S25" s="181">
        <v>1</v>
      </c>
      <c r="T25" s="181">
        <v>1</v>
      </c>
      <c r="U25" s="181">
        <v>0</v>
      </c>
      <c r="V25" s="181">
        <v>0</v>
      </c>
      <c r="W25" s="181">
        <v>0</v>
      </c>
      <c r="X25" s="177"/>
      <c r="Y25" s="105"/>
      <c r="AA25" s="105"/>
      <c r="AB25" s="105"/>
      <c r="AC25" s="105"/>
      <c r="AD25" s="105"/>
    </row>
    <row r="26" spans="1:30">
      <c r="O26" s="181" t="s">
        <v>418</v>
      </c>
      <c r="P26" s="181">
        <v>1</v>
      </c>
      <c r="Q26" s="181">
        <v>1</v>
      </c>
      <c r="R26" s="181">
        <v>1</v>
      </c>
      <c r="S26" s="181">
        <v>1</v>
      </c>
      <c r="T26" s="181">
        <v>0</v>
      </c>
      <c r="U26" s="181">
        <v>1</v>
      </c>
      <c r="V26" s="181">
        <v>0</v>
      </c>
      <c r="W26" s="181">
        <v>1</v>
      </c>
      <c r="X26" s="177"/>
      <c r="Y26" s="105"/>
      <c r="Z26" s="105"/>
      <c r="AA26" s="105"/>
      <c r="AB26" s="105"/>
      <c r="AC26" s="105"/>
      <c r="AD26" s="105"/>
    </row>
    <row r="27" spans="1:30">
      <c r="A27" s="35" t="s">
        <v>213</v>
      </c>
      <c r="B27" s="106" t="s">
        <v>238</v>
      </c>
      <c r="C27" s="35" t="s">
        <v>239</v>
      </c>
      <c r="D27" s="35" t="s">
        <v>240</v>
      </c>
      <c r="E27" s="35" t="s">
        <v>241</v>
      </c>
      <c r="F27" s="35" t="s">
        <v>242</v>
      </c>
      <c r="G27" s="35" t="s">
        <v>58</v>
      </c>
      <c r="H27" s="35" t="s">
        <v>219</v>
      </c>
      <c r="I27" s="35" t="s">
        <v>243</v>
      </c>
      <c r="J27" s="35" t="s">
        <v>244</v>
      </c>
      <c r="K27" s="35" t="s">
        <v>245</v>
      </c>
      <c r="O27" s="181" t="s">
        <v>419</v>
      </c>
      <c r="P27" s="181">
        <v>1</v>
      </c>
      <c r="Q27" s="181">
        <v>0</v>
      </c>
      <c r="R27" s="181">
        <v>0</v>
      </c>
      <c r="S27" s="181">
        <v>1</v>
      </c>
      <c r="T27" s="181">
        <v>1</v>
      </c>
      <c r="U27" s="181">
        <v>1</v>
      </c>
      <c r="V27" s="181">
        <v>0</v>
      </c>
      <c r="W27" s="181">
        <v>1</v>
      </c>
      <c r="X27" s="177"/>
      <c r="Y27" s="105"/>
      <c r="Z27" s="105"/>
      <c r="AA27" s="105"/>
      <c r="AB27" s="105"/>
      <c r="AC27" s="105"/>
      <c r="AD27" s="105"/>
    </row>
    <row r="28" spans="1:30">
      <c r="A28" s="36">
        <v>1</v>
      </c>
      <c r="B28" s="120" t="s">
        <v>227</v>
      </c>
      <c r="C28" s="72">
        <v>0.5</v>
      </c>
      <c r="D28" s="66">
        <f>D8*$C28</f>
        <v>500</v>
      </c>
      <c r="E28" s="66">
        <f>E8*$C28</f>
        <v>150</v>
      </c>
      <c r="F28" s="66">
        <f>F8*$C28</f>
        <v>150</v>
      </c>
      <c r="G28" s="66">
        <f>SUM(D28:F28)</f>
        <v>800</v>
      </c>
      <c r="H28" s="66">
        <f>G8</f>
        <v>180</v>
      </c>
      <c r="I28" s="66">
        <f>H28*(1-$K$5)</f>
        <v>158.4</v>
      </c>
      <c r="J28" s="72">
        <f>IF(K28=0,"",I28/SUM(D8:F8))</f>
        <v>9.9000000000000005E-2</v>
      </c>
      <c r="K28" s="132">
        <v>1</v>
      </c>
      <c r="L28" s="212" t="s">
        <v>246</v>
      </c>
      <c r="M28" s="200"/>
      <c r="O28" s="181" t="s">
        <v>420</v>
      </c>
      <c r="P28" s="181">
        <v>0</v>
      </c>
      <c r="Q28" s="181">
        <v>1</v>
      </c>
      <c r="R28" s="181">
        <v>0</v>
      </c>
      <c r="S28" s="181">
        <v>0</v>
      </c>
      <c r="T28" s="181">
        <v>1</v>
      </c>
      <c r="U28" s="181">
        <v>1</v>
      </c>
      <c r="V28" s="181">
        <v>1</v>
      </c>
      <c r="W28" s="181">
        <v>1</v>
      </c>
      <c r="X28" s="177"/>
      <c r="AB28" s="105"/>
      <c r="AC28" s="105"/>
      <c r="AD28" s="105"/>
    </row>
    <row r="29" spans="1:30">
      <c r="A29" s="36">
        <v>2</v>
      </c>
      <c r="B29" s="120" t="s">
        <v>227</v>
      </c>
      <c r="C29" s="72">
        <v>1</v>
      </c>
      <c r="D29" s="66">
        <f t="shared" ref="D29:F31" si="8">D9*$C29</f>
        <v>750</v>
      </c>
      <c r="E29" s="66">
        <f t="shared" si="8"/>
        <v>750</v>
      </c>
      <c r="F29" s="66">
        <f t="shared" si="8"/>
        <v>300</v>
      </c>
      <c r="G29" s="66">
        <f t="shared" ref="G29:G31" si="9">SUM(D29:F29)</f>
        <v>1800</v>
      </c>
      <c r="H29" s="66">
        <f t="shared" ref="H29:H31" si="10">G9</f>
        <v>410</v>
      </c>
      <c r="I29" s="66">
        <f t="shared" ref="I29:I31" si="11">H29*(1-$K$5)</f>
        <v>360.8</v>
      </c>
      <c r="J29" s="72">
        <f>IF(K29=0,"",I29/SUM(D9:F9))</f>
        <v>0.20044444444444445</v>
      </c>
      <c r="K29" s="132">
        <v>1</v>
      </c>
      <c r="O29" s="181" t="s">
        <v>421</v>
      </c>
      <c r="P29" s="181">
        <v>1</v>
      </c>
      <c r="Q29" s="181">
        <v>1</v>
      </c>
      <c r="R29" s="181">
        <v>1</v>
      </c>
      <c r="S29" s="181">
        <v>1</v>
      </c>
      <c r="T29" s="181">
        <v>1</v>
      </c>
      <c r="U29" s="181">
        <v>1</v>
      </c>
      <c r="V29" s="181">
        <v>1</v>
      </c>
      <c r="W29" s="181">
        <v>0</v>
      </c>
      <c r="X29" s="177"/>
    </row>
    <row r="30" spans="1:30">
      <c r="A30" s="36">
        <v>3</v>
      </c>
      <c r="B30" s="120" t="s">
        <v>227</v>
      </c>
      <c r="C30" s="72">
        <v>1</v>
      </c>
      <c r="D30" s="66">
        <f t="shared" si="8"/>
        <v>800</v>
      </c>
      <c r="E30" s="66">
        <f t="shared" si="8"/>
        <v>700</v>
      </c>
      <c r="F30" s="66">
        <f t="shared" si="8"/>
        <v>600</v>
      </c>
      <c r="G30" s="66">
        <f t="shared" si="9"/>
        <v>2100</v>
      </c>
      <c r="H30" s="66">
        <f t="shared" si="10"/>
        <v>280</v>
      </c>
      <c r="I30" s="66">
        <f t="shared" si="11"/>
        <v>246.4</v>
      </c>
      <c r="J30" s="72">
        <f t="shared" ref="J30" si="12">IF(K30=0,"",I30/SUM(D30:F30))</f>
        <v>0.11733333333333333</v>
      </c>
      <c r="K30" s="132">
        <v>1</v>
      </c>
      <c r="O30" s="181" t="s">
        <v>422</v>
      </c>
      <c r="P30" s="181">
        <v>1</v>
      </c>
      <c r="Q30" s="181">
        <v>1</v>
      </c>
      <c r="R30" s="181">
        <v>1</v>
      </c>
      <c r="S30" s="181">
        <v>1</v>
      </c>
      <c r="T30" s="181">
        <v>1</v>
      </c>
      <c r="U30" s="181">
        <v>1</v>
      </c>
      <c r="V30" s="181">
        <v>1</v>
      </c>
      <c r="W30" s="181">
        <v>1</v>
      </c>
      <c r="X30" s="177"/>
    </row>
    <row r="31" spans="1:30">
      <c r="A31" s="36">
        <v>4</v>
      </c>
      <c r="B31" s="120" t="s">
        <v>227</v>
      </c>
      <c r="C31" s="72">
        <v>0.67</v>
      </c>
      <c r="D31" s="66">
        <f t="shared" si="8"/>
        <v>268</v>
      </c>
      <c r="E31" s="66">
        <f t="shared" si="8"/>
        <v>402</v>
      </c>
      <c r="F31" s="66">
        <f t="shared" si="8"/>
        <v>536</v>
      </c>
      <c r="G31" s="66">
        <f t="shared" si="9"/>
        <v>1206</v>
      </c>
      <c r="H31" s="66">
        <f t="shared" si="10"/>
        <v>380</v>
      </c>
      <c r="I31" s="66">
        <f t="shared" si="11"/>
        <v>334.4</v>
      </c>
      <c r="J31" s="72">
        <f>IF(K31=0,"",I31/SUM(D11:F11))</f>
        <v>0.18577777777777776</v>
      </c>
      <c r="K31" s="132">
        <v>1</v>
      </c>
      <c r="O31" s="181" t="s">
        <v>423</v>
      </c>
      <c r="P31" s="181">
        <v>1</v>
      </c>
      <c r="Q31" s="181">
        <v>1</v>
      </c>
      <c r="R31" s="181">
        <v>1</v>
      </c>
      <c r="S31" s="181">
        <v>1</v>
      </c>
      <c r="T31" s="181">
        <v>1</v>
      </c>
      <c r="U31" s="181">
        <v>1</v>
      </c>
      <c r="V31" s="181">
        <v>0</v>
      </c>
      <c r="W31" s="181">
        <v>1</v>
      </c>
      <c r="X31" s="177"/>
    </row>
    <row r="32" spans="1:30">
      <c r="C32" s="134" t="s">
        <v>248</v>
      </c>
      <c r="D32" s="135">
        <f>SUMPRODUCT(D28:D31,$K$28:$K$31)</f>
        <v>2318</v>
      </c>
      <c r="E32" s="135">
        <f>SUMPRODUCT(E28:E31,$K$28:$K$31)</f>
        <v>2002</v>
      </c>
      <c r="F32" s="135">
        <f>SUMPRODUCT(F28:F31,$K$28:$K$31)</f>
        <v>1586</v>
      </c>
      <c r="G32" s="135">
        <f>SUMPRODUCT(G28:G31,$K$28:$K$31)</f>
        <v>5906</v>
      </c>
      <c r="O32" s="181" t="s">
        <v>424</v>
      </c>
      <c r="P32" s="181">
        <v>1</v>
      </c>
      <c r="Q32" s="181">
        <v>1</v>
      </c>
      <c r="R32" s="181">
        <v>1</v>
      </c>
      <c r="S32" s="181">
        <v>1</v>
      </c>
      <c r="T32" s="181">
        <v>0</v>
      </c>
      <c r="U32" s="181">
        <v>1</v>
      </c>
      <c r="V32" s="181">
        <v>1</v>
      </c>
      <c r="W32" s="181">
        <v>0</v>
      </c>
      <c r="X32" s="177"/>
    </row>
    <row r="33" spans="1:26">
      <c r="O33" s="181" t="s">
        <v>425</v>
      </c>
      <c r="P33" s="181">
        <v>1</v>
      </c>
      <c r="Q33" s="181">
        <v>1</v>
      </c>
      <c r="R33" s="181">
        <v>1</v>
      </c>
      <c r="S33" s="181">
        <v>1</v>
      </c>
      <c r="T33" s="181">
        <v>0</v>
      </c>
      <c r="U33" s="181">
        <v>0</v>
      </c>
      <c r="V33" s="181">
        <v>0</v>
      </c>
      <c r="W33" s="181">
        <v>1</v>
      </c>
      <c r="X33" s="177"/>
    </row>
    <row r="34" spans="1:26">
      <c r="A34" s="35" t="s">
        <v>213</v>
      </c>
      <c r="B34" s="106" t="s">
        <v>238</v>
      </c>
      <c r="C34" s="35" t="s">
        <v>239</v>
      </c>
      <c r="D34" s="35" t="s">
        <v>240</v>
      </c>
      <c r="E34" s="35" t="s">
        <v>241</v>
      </c>
      <c r="F34" s="35" t="s">
        <v>242</v>
      </c>
      <c r="G34" s="35" t="s">
        <v>58</v>
      </c>
      <c r="H34" s="35" t="s">
        <v>219</v>
      </c>
      <c r="I34" s="35" t="s">
        <v>243</v>
      </c>
      <c r="J34" s="35" t="s">
        <v>244</v>
      </c>
      <c r="K34" s="35" t="s">
        <v>245</v>
      </c>
      <c r="O34" s="181" t="s">
        <v>426</v>
      </c>
      <c r="P34" s="181">
        <v>1</v>
      </c>
      <c r="Q34" s="181">
        <v>1</v>
      </c>
      <c r="R34" s="181">
        <v>1</v>
      </c>
      <c r="S34" s="181">
        <v>1</v>
      </c>
      <c r="T34" s="181">
        <v>0</v>
      </c>
      <c r="U34" s="181">
        <v>1</v>
      </c>
      <c r="V34" s="181">
        <v>1</v>
      </c>
      <c r="W34" s="181">
        <v>1</v>
      </c>
      <c r="X34" s="177"/>
    </row>
    <row r="35" spans="1:26">
      <c r="A35" s="36">
        <v>10</v>
      </c>
      <c r="B35" s="124" t="s">
        <v>232</v>
      </c>
      <c r="C35" s="65">
        <f>C12</f>
        <v>1</v>
      </c>
      <c r="D35" s="66">
        <f>D12*$C35</f>
        <v>100</v>
      </c>
      <c r="E35" s="66">
        <f>E12*$C35</f>
        <v>200</v>
      </c>
      <c r="F35" s="66">
        <f>F12*$C35</f>
        <v>400</v>
      </c>
      <c r="G35" s="66">
        <f>SUM(D35:F35)</f>
        <v>700</v>
      </c>
      <c r="H35" s="66">
        <f>G12</f>
        <v>100</v>
      </c>
      <c r="I35" s="66">
        <f>H35*(1-$K$5)</f>
        <v>88</v>
      </c>
      <c r="J35" s="72" t="str">
        <f>IF(K35=0,"",I35/SUM(D12:F12))</f>
        <v/>
      </c>
      <c r="K35" s="132">
        <v>0</v>
      </c>
      <c r="L35" s="212" t="s">
        <v>246</v>
      </c>
      <c r="M35" s="200"/>
      <c r="O35" s="181" t="s">
        <v>427</v>
      </c>
      <c r="P35" s="181">
        <v>1</v>
      </c>
      <c r="Q35" s="181">
        <v>1</v>
      </c>
      <c r="R35" s="181">
        <v>1</v>
      </c>
      <c r="S35" s="181">
        <v>1</v>
      </c>
      <c r="T35" s="181">
        <v>1</v>
      </c>
      <c r="U35" s="181">
        <v>1</v>
      </c>
      <c r="V35" s="181">
        <v>0</v>
      </c>
      <c r="W35" s="181">
        <v>1</v>
      </c>
    </row>
    <row r="36" spans="1:26">
      <c r="A36" s="36">
        <v>11</v>
      </c>
      <c r="B36" s="124" t="s">
        <v>232</v>
      </c>
      <c r="C36" s="65">
        <f t="shared" ref="C36:C37" si="13">C13</f>
        <v>0.5</v>
      </c>
      <c r="D36" s="66">
        <f t="shared" ref="D36:F37" si="14">D13*$C36</f>
        <v>350</v>
      </c>
      <c r="E36" s="66">
        <f t="shared" si="14"/>
        <v>250</v>
      </c>
      <c r="F36" s="66">
        <f t="shared" si="14"/>
        <v>150</v>
      </c>
      <c r="G36" s="66">
        <f t="shared" ref="G36:G37" si="15">SUM(D36:F36)</f>
        <v>750</v>
      </c>
      <c r="H36" s="66">
        <f t="shared" ref="H36:H37" si="16">G13</f>
        <v>260</v>
      </c>
      <c r="I36" s="66">
        <f t="shared" ref="I36:I37" si="17">H36*(1-$K$5)</f>
        <v>228.8</v>
      </c>
      <c r="J36" s="72">
        <f>IF(K36=0,"",I36/SUM(D13:F13))</f>
        <v>0.15253333333333335</v>
      </c>
      <c r="K36" s="132">
        <v>1</v>
      </c>
      <c r="O36" s="181" t="s">
        <v>428</v>
      </c>
      <c r="P36" s="181">
        <v>0</v>
      </c>
      <c r="Q36" s="181">
        <v>0</v>
      </c>
      <c r="R36" s="181">
        <v>0</v>
      </c>
      <c r="S36" s="181">
        <v>1</v>
      </c>
      <c r="T36" s="181">
        <v>1</v>
      </c>
      <c r="U36" s="181">
        <v>0</v>
      </c>
      <c r="V36" s="181">
        <v>1</v>
      </c>
      <c r="W36" s="181">
        <v>1</v>
      </c>
    </row>
    <row r="37" spans="1:26">
      <c r="A37" s="36">
        <v>12</v>
      </c>
      <c r="B37" s="124" t="s">
        <v>232</v>
      </c>
      <c r="C37" s="65">
        <f t="shared" si="13"/>
        <v>1</v>
      </c>
      <c r="D37" s="66">
        <f t="shared" si="14"/>
        <v>1500</v>
      </c>
      <c r="E37" s="66">
        <f t="shared" si="14"/>
        <v>400</v>
      </c>
      <c r="F37" s="66">
        <f t="shared" si="14"/>
        <v>400</v>
      </c>
      <c r="G37" s="66">
        <f t="shared" si="15"/>
        <v>2300</v>
      </c>
      <c r="H37" s="66">
        <f t="shared" si="16"/>
        <v>340</v>
      </c>
      <c r="I37" s="66">
        <f t="shared" si="17"/>
        <v>299.2</v>
      </c>
      <c r="J37" s="72" t="str">
        <f>IF(K37=0,"",I37/SUM(D14:F14))</f>
        <v/>
      </c>
      <c r="K37" s="132">
        <v>0</v>
      </c>
      <c r="O37" s="105"/>
      <c r="P37" s="105"/>
      <c r="Q37" s="105"/>
      <c r="R37" s="105"/>
      <c r="S37" s="105"/>
      <c r="T37" s="105"/>
      <c r="U37" s="105"/>
      <c r="V37" s="105"/>
      <c r="W37" s="105"/>
    </row>
    <row r="38" spans="1:26">
      <c r="C38" s="134" t="s">
        <v>249</v>
      </c>
      <c r="D38" s="136">
        <f>SUMPRODUCT(D35:D37,$K$35:$K$37)</f>
        <v>350</v>
      </c>
      <c r="E38" s="136">
        <f t="shared" ref="E38:F38" si="18">SUMPRODUCT(E35:E37,$K$35:$K$37)</f>
        <v>250</v>
      </c>
      <c r="F38" s="136">
        <f t="shared" si="18"/>
        <v>150</v>
      </c>
      <c r="G38" s="136">
        <f>SUM(D38:F38)</f>
        <v>750</v>
      </c>
      <c r="P38" s="3"/>
      <c r="Q38" s="3"/>
      <c r="R38" s="3"/>
      <c r="S38" s="3"/>
      <c r="T38" s="3"/>
      <c r="U38" s="3"/>
      <c r="V38" s="3"/>
      <c r="W38" s="3"/>
    </row>
    <row r="39" spans="1:26">
      <c r="N39" s="178"/>
      <c r="O39" s="182"/>
      <c r="P39" s="180" t="s">
        <v>409</v>
      </c>
      <c r="Q39" s="180" t="s">
        <v>410</v>
      </c>
      <c r="R39" s="180" t="s">
        <v>411</v>
      </c>
      <c r="S39" s="180" t="s">
        <v>412</v>
      </c>
      <c r="T39" s="180" t="s">
        <v>413</v>
      </c>
      <c r="U39" s="180" t="s">
        <v>414</v>
      </c>
      <c r="V39" s="180" t="s">
        <v>415</v>
      </c>
      <c r="W39" s="180" t="s">
        <v>416</v>
      </c>
      <c r="X39" s="106" t="s">
        <v>267</v>
      </c>
      <c r="Y39" s="106" t="s">
        <v>268</v>
      </c>
      <c r="Z39" s="106" t="s">
        <v>269</v>
      </c>
    </row>
    <row r="40" spans="1:26">
      <c r="D40" s="106" t="s">
        <v>240</v>
      </c>
      <c r="E40" s="106" t="s">
        <v>241</v>
      </c>
      <c r="F40" s="106" t="s">
        <v>242</v>
      </c>
      <c r="G40" s="106" t="s">
        <v>58</v>
      </c>
      <c r="H40" s="209" t="s">
        <v>250</v>
      </c>
      <c r="I40" s="189"/>
      <c r="N40" s="178"/>
      <c r="O40" s="183" t="s">
        <v>417</v>
      </c>
      <c r="P40" s="184">
        <v>0</v>
      </c>
      <c r="Q40" s="184">
        <v>0</v>
      </c>
      <c r="R40" s="184">
        <v>0</v>
      </c>
      <c r="S40" s="184">
        <v>0</v>
      </c>
      <c r="T40" s="184">
        <v>0</v>
      </c>
      <c r="U40" s="184">
        <v>1</v>
      </c>
      <c r="V40" s="184">
        <v>1</v>
      </c>
      <c r="W40" s="184">
        <v>0</v>
      </c>
      <c r="X40" s="104">
        <f t="shared" ref="X40:X51" si="19">SUMPRODUCT(P40:W40,$P$25:$W$25)</f>
        <v>1</v>
      </c>
      <c r="Y40" s="104" t="s">
        <v>356</v>
      </c>
      <c r="Z40" s="104">
        <v>0</v>
      </c>
    </row>
    <row r="41" spans="1:26">
      <c r="B41" s="208" t="s">
        <v>251</v>
      </c>
      <c r="C41" s="208"/>
      <c r="D41" s="81">
        <f>SUMPRODUCT(D19:D23,$K$19:$K$23)+SUMPRODUCT(D28:D31,$K$28:$K$31)+SUMPRODUCT(D35:D37,$K$35:$K$37)</f>
        <v>3733</v>
      </c>
      <c r="E41" s="81">
        <f>SUMPRODUCT(E19:E23,$K$19:$K$23)+SUMPRODUCT(E28:E31,$K$28:$K$31)+SUMPRODUCT(E35:E37,$K$35:$K$37)</f>
        <v>3151</v>
      </c>
      <c r="F41" s="81">
        <f>SUMPRODUCT(F19:F23,$K$19:$K$23)+SUMPRODUCT(F28:F31,$K$28:$K$31)+SUMPRODUCT(F35:F37,$K$35:$K$37)</f>
        <v>2735</v>
      </c>
      <c r="G41" s="81">
        <f>SUMPRODUCT(G19:G23,$K$19:$K$23)+SUMPRODUCT(G28:G31,$K$28:$K$31)+SUMPRODUCT(G35:G37,$K$35:$K$37)</f>
        <v>9619</v>
      </c>
      <c r="I41" s="139">
        <f>SUMPRODUCT(I19:I23,K19:K23)+SUMPRODUCT(I28:I31,K28:K31)+SUMPRODUCT(I35:I37,K35:K37)</f>
        <v>1953.6000000000001</v>
      </c>
      <c r="N41" s="178"/>
      <c r="O41" s="183" t="s">
        <v>418</v>
      </c>
      <c r="P41" s="184">
        <v>0</v>
      </c>
      <c r="Q41" s="184">
        <v>0</v>
      </c>
      <c r="R41" s="184">
        <v>0</v>
      </c>
      <c r="S41" s="184">
        <v>0</v>
      </c>
      <c r="T41" s="184">
        <v>1</v>
      </c>
      <c r="U41" s="184">
        <v>0</v>
      </c>
      <c r="V41" s="184">
        <v>0</v>
      </c>
      <c r="W41" s="184">
        <v>0</v>
      </c>
      <c r="X41" s="104">
        <f t="shared" si="19"/>
        <v>1</v>
      </c>
      <c r="Y41" s="104" t="s">
        <v>356</v>
      </c>
      <c r="Z41" s="104">
        <v>1</v>
      </c>
    </row>
    <row r="42" spans="1:26">
      <c r="N42" s="178"/>
      <c r="O42" s="183" t="s">
        <v>419</v>
      </c>
      <c r="P42" s="184">
        <v>0</v>
      </c>
      <c r="Q42" s="184">
        <v>0</v>
      </c>
      <c r="R42" s="184">
        <v>0</v>
      </c>
      <c r="S42" s="184">
        <v>1</v>
      </c>
      <c r="T42" s="184">
        <v>0</v>
      </c>
      <c r="U42" s="184">
        <v>0</v>
      </c>
      <c r="V42" s="184">
        <v>0</v>
      </c>
      <c r="W42" s="184">
        <v>0</v>
      </c>
      <c r="X42" s="104">
        <f t="shared" si="19"/>
        <v>1</v>
      </c>
      <c r="Y42" s="104" t="s">
        <v>356</v>
      </c>
      <c r="Z42" s="104">
        <v>1</v>
      </c>
    </row>
    <row r="43" spans="1:26">
      <c r="N43" s="178"/>
      <c r="O43" s="183" t="s">
        <v>420</v>
      </c>
      <c r="P43" s="184">
        <v>1</v>
      </c>
      <c r="Q43" s="184">
        <v>0</v>
      </c>
      <c r="R43" s="184">
        <v>0</v>
      </c>
      <c r="S43" s="184">
        <v>0</v>
      </c>
      <c r="T43" s="184">
        <v>0</v>
      </c>
      <c r="U43" s="184">
        <v>0</v>
      </c>
      <c r="V43" s="184">
        <v>0</v>
      </c>
      <c r="W43" s="184">
        <v>0</v>
      </c>
      <c r="X43" s="104">
        <f t="shared" si="19"/>
        <v>1</v>
      </c>
      <c r="Y43" s="104" t="s">
        <v>356</v>
      </c>
      <c r="Z43" s="104">
        <v>1</v>
      </c>
    </row>
    <row r="44" spans="1:26">
      <c r="N44" s="178"/>
      <c r="O44" s="183" t="s">
        <v>421</v>
      </c>
      <c r="P44" s="184">
        <v>0</v>
      </c>
      <c r="Q44" s="184">
        <v>0</v>
      </c>
      <c r="R44" s="184">
        <v>1</v>
      </c>
      <c r="S44" s="184">
        <v>0</v>
      </c>
      <c r="T44" s="184">
        <v>0</v>
      </c>
      <c r="U44" s="184">
        <v>0</v>
      </c>
      <c r="V44" s="184">
        <v>0</v>
      </c>
      <c r="W44" s="184">
        <v>0</v>
      </c>
      <c r="X44" s="104">
        <f t="shared" si="19"/>
        <v>1</v>
      </c>
      <c r="Y44" s="104" t="s">
        <v>356</v>
      </c>
      <c r="Z44" s="104">
        <v>1</v>
      </c>
    </row>
    <row r="45" spans="1:26">
      <c r="N45" s="178"/>
      <c r="O45" s="183" t="s">
        <v>422</v>
      </c>
      <c r="P45" s="184">
        <v>0</v>
      </c>
      <c r="Q45" s="184">
        <v>1</v>
      </c>
      <c r="R45" s="184">
        <v>0</v>
      </c>
      <c r="S45" s="184">
        <v>0</v>
      </c>
      <c r="T45" s="184">
        <v>0</v>
      </c>
      <c r="U45" s="184">
        <v>0</v>
      </c>
      <c r="V45" s="184">
        <v>0</v>
      </c>
      <c r="W45" s="184">
        <v>0</v>
      </c>
      <c r="X45" s="104">
        <f t="shared" si="19"/>
        <v>1</v>
      </c>
      <c r="Y45" s="104" t="s">
        <v>356</v>
      </c>
      <c r="Z45" s="104">
        <v>1</v>
      </c>
    </row>
    <row r="46" spans="1:26">
      <c r="D46" s="199" t="s">
        <v>252</v>
      </c>
      <c r="E46" s="199"/>
      <c r="F46" s="199"/>
      <c r="N46" s="178"/>
      <c r="O46" s="183" t="s">
        <v>423</v>
      </c>
      <c r="P46" s="184">
        <v>1</v>
      </c>
      <c r="Q46" s="184">
        <v>0</v>
      </c>
      <c r="R46" s="184">
        <v>0</v>
      </c>
      <c r="S46" s="184">
        <v>0</v>
      </c>
      <c r="T46" s="184">
        <v>0</v>
      </c>
      <c r="U46" s="184">
        <v>0</v>
      </c>
      <c r="V46" s="184">
        <v>0</v>
      </c>
      <c r="W46" s="184">
        <v>0</v>
      </c>
      <c r="X46" s="104">
        <f t="shared" si="19"/>
        <v>1</v>
      </c>
      <c r="Y46" s="104" t="s">
        <v>356</v>
      </c>
      <c r="Z46" s="104">
        <v>1</v>
      </c>
    </row>
    <row r="47" spans="1:26">
      <c r="C47" s="36"/>
      <c r="D47" s="104" t="s">
        <v>253</v>
      </c>
      <c r="E47" s="104" t="s">
        <v>254</v>
      </c>
      <c r="F47" s="104" t="s">
        <v>255</v>
      </c>
      <c r="H47" s="202" t="s">
        <v>256</v>
      </c>
      <c r="I47" s="202"/>
      <c r="J47" s="36">
        <f>IF(SUM(K8:K12)=5,1,0)</f>
        <v>1</v>
      </c>
      <c r="N47" s="178"/>
      <c r="O47" s="183" t="s">
        <v>424</v>
      </c>
      <c r="P47" s="184">
        <v>0</v>
      </c>
      <c r="Q47" s="184">
        <v>0</v>
      </c>
      <c r="R47" s="184">
        <v>0</v>
      </c>
      <c r="S47" s="184">
        <v>0</v>
      </c>
      <c r="T47" s="184">
        <v>0</v>
      </c>
      <c r="U47" s="184">
        <v>0</v>
      </c>
      <c r="V47" s="184">
        <v>0</v>
      </c>
      <c r="W47" s="184">
        <v>0</v>
      </c>
      <c r="X47" s="104">
        <f t="shared" si="19"/>
        <v>0</v>
      </c>
      <c r="Y47" s="104" t="s">
        <v>356</v>
      </c>
      <c r="Z47" s="104">
        <v>1</v>
      </c>
    </row>
    <row r="48" spans="1:26">
      <c r="A48" s="210" t="s">
        <v>257</v>
      </c>
      <c r="B48" s="211"/>
      <c r="C48" s="104" t="s">
        <v>258</v>
      </c>
      <c r="D48" s="81">
        <f>D24</f>
        <v>1065</v>
      </c>
      <c r="E48" s="81">
        <f>E24</f>
        <v>899</v>
      </c>
      <c r="F48" s="81">
        <f>F24</f>
        <v>999</v>
      </c>
      <c r="N48" s="178"/>
      <c r="O48" s="183" t="s">
        <v>425</v>
      </c>
      <c r="P48" s="184">
        <v>0</v>
      </c>
      <c r="Q48" s="184">
        <v>0</v>
      </c>
      <c r="R48" s="184">
        <v>0</v>
      </c>
      <c r="S48" s="184">
        <v>0</v>
      </c>
      <c r="T48" s="184">
        <v>0</v>
      </c>
      <c r="U48" s="184">
        <v>0</v>
      </c>
      <c r="V48" s="184">
        <v>0</v>
      </c>
      <c r="W48" s="184">
        <v>0</v>
      </c>
      <c r="X48" s="104">
        <f t="shared" si="19"/>
        <v>0</v>
      </c>
      <c r="Y48" s="104" t="s">
        <v>356</v>
      </c>
      <c r="Z48" s="104">
        <v>1</v>
      </c>
    </row>
    <row r="49" spans="1:26">
      <c r="A49" s="210"/>
      <c r="B49" s="211"/>
      <c r="C49" s="104" t="s">
        <v>259</v>
      </c>
      <c r="D49" s="81">
        <f>D32</f>
        <v>2318</v>
      </c>
      <c r="E49" s="81">
        <f>E32</f>
        <v>2002</v>
      </c>
      <c r="F49" s="81">
        <f>F32</f>
        <v>1586</v>
      </c>
      <c r="N49" s="178"/>
      <c r="O49" s="183" t="s">
        <v>426</v>
      </c>
      <c r="P49" s="184">
        <v>0</v>
      </c>
      <c r="Q49" s="184">
        <v>0</v>
      </c>
      <c r="R49" s="184">
        <v>0</v>
      </c>
      <c r="S49" s="184">
        <v>0</v>
      </c>
      <c r="T49" s="184">
        <v>0</v>
      </c>
      <c r="U49" s="184">
        <v>0</v>
      </c>
      <c r="V49" s="184">
        <v>0</v>
      </c>
      <c r="W49" s="184">
        <v>0</v>
      </c>
      <c r="X49" s="104">
        <f t="shared" si="19"/>
        <v>0</v>
      </c>
      <c r="Y49" s="104" t="s">
        <v>356</v>
      </c>
      <c r="Z49" s="104">
        <v>0</v>
      </c>
    </row>
    <row r="50" spans="1:26">
      <c r="A50" s="210"/>
      <c r="B50" s="211"/>
      <c r="C50" s="104" t="s">
        <v>260</v>
      </c>
      <c r="D50" s="81">
        <f>D38</f>
        <v>350</v>
      </c>
      <c r="E50" s="81">
        <f>E38</f>
        <v>250</v>
      </c>
      <c r="F50" s="81">
        <f>F38</f>
        <v>150</v>
      </c>
      <c r="N50" s="178"/>
      <c r="O50" s="183" t="s">
        <v>427</v>
      </c>
      <c r="P50" s="184">
        <v>0</v>
      </c>
      <c r="Q50" s="184">
        <v>0</v>
      </c>
      <c r="R50" s="184">
        <v>0</v>
      </c>
      <c r="S50" s="184">
        <v>0</v>
      </c>
      <c r="T50" s="184">
        <v>0</v>
      </c>
      <c r="U50" s="184">
        <v>0</v>
      </c>
      <c r="V50" s="184">
        <v>0</v>
      </c>
      <c r="W50" s="184">
        <v>1</v>
      </c>
      <c r="X50" s="104">
        <f t="shared" si="19"/>
        <v>0</v>
      </c>
      <c r="Y50" s="104" t="s">
        <v>356</v>
      </c>
      <c r="Z50" s="104">
        <v>1</v>
      </c>
    </row>
    <row r="51" spans="1:26">
      <c r="N51" s="178"/>
      <c r="O51" s="183" t="s">
        <v>428</v>
      </c>
      <c r="P51" s="184">
        <v>0</v>
      </c>
      <c r="Q51" s="184">
        <v>0</v>
      </c>
      <c r="R51" s="184">
        <v>0</v>
      </c>
      <c r="S51" s="184">
        <v>0</v>
      </c>
      <c r="T51" s="184">
        <v>0</v>
      </c>
      <c r="U51" s="184">
        <v>0</v>
      </c>
      <c r="V51" s="184">
        <v>0</v>
      </c>
      <c r="W51" s="184">
        <v>0</v>
      </c>
      <c r="X51" s="104">
        <f t="shared" si="19"/>
        <v>0</v>
      </c>
      <c r="Y51" s="104" t="s">
        <v>356</v>
      </c>
      <c r="Z51" s="104">
        <v>0</v>
      </c>
    </row>
    <row r="52" spans="1:26">
      <c r="D52" s="200" t="s">
        <v>244</v>
      </c>
      <c r="E52" s="200"/>
      <c r="F52" s="200"/>
      <c r="O52" s="180" t="s">
        <v>267</v>
      </c>
      <c r="P52" s="56">
        <f>SUMPRODUCT($P$25:$P$36,P40:P51)</f>
        <v>1</v>
      </c>
      <c r="Q52" s="56">
        <f t="shared" ref="Q52:W52" si="20">SUMPRODUCT($P$25:$P$36,Q40:Q51)</f>
        <v>1</v>
      </c>
      <c r="R52" s="56">
        <f t="shared" si="20"/>
        <v>1</v>
      </c>
      <c r="S52" s="56">
        <f t="shared" si="20"/>
        <v>1</v>
      </c>
      <c r="T52" s="56">
        <f t="shared" si="20"/>
        <v>1</v>
      </c>
      <c r="U52" s="56">
        <f t="shared" si="20"/>
        <v>1</v>
      </c>
      <c r="V52" s="56">
        <f t="shared" si="20"/>
        <v>1</v>
      </c>
      <c r="W52" s="56">
        <f t="shared" si="20"/>
        <v>1</v>
      </c>
      <c r="X52" s="36"/>
      <c r="Y52" s="36"/>
      <c r="Z52" s="36"/>
    </row>
    <row r="53" spans="1:26">
      <c r="C53" s="106" t="s">
        <v>261</v>
      </c>
      <c r="D53" s="106" t="s">
        <v>262</v>
      </c>
      <c r="E53" s="106" t="s">
        <v>263</v>
      </c>
      <c r="F53" s="106" t="s">
        <v>264</v>
      </c>
      <c r="O53" s="180" t="s">
        <v>268</v>
      </c>
      <c r="P53" s="175" t="s">
        <v>356</v>
      </c>
      <c r="Q53" s="175" t="s">
        <v>356</v>
      </c>
      <c r="R53" s="175" t="s">
        <v>356</v>
      </c>
      <c r="S53" s="175" t="s">
        <v>356</v>
      </c>
      <c r="T53" s="175" t="s">
        <v>356</v>
      </c>
      <c r="U53" s="175" t="s">
        <v>356</v>
      </c>
      <c r="V53" s="175" t="s">
        <v>356</v>
      </c>
      <c r="W53" s="175" t="s">
        <v>356</v>
      </c>
      <c r="Y53" s="36"/>
      <c r="Z53" s="36"/>
    </row>
    <row r="54" spans="1:26">
      <c r="C54" s="72"/>
      <c r="D54" s="140">
        <f>AVERAGE(J19:J37)</f>
        <v>0.15167182539682542</v>
      </c>
      <c r="E54" s="141">
        <f>MIN(J19:J37)</f>
        <v>9.9000000000000005E-2</v>
      </c>
      <c r="F54" s="141">
        <f>MAX(J19:J37)</f>
        <v>0.20044444444444445</v>
      </c>
      <c r="O54" s="180" t="s">
        <v>269</v>
      </c>
      <c r="P54" s="104">
        <v>1</v>
      </c>
      <c r="Q54" s="104">
        <v>1</v>
      </c>
      <c r="R54" s="104">
        <v>1</v>
      </c>
      <c r="S54" s="104">
        <v>1</v>
      </c>
      <c r="T54" s="104">
        <v>1</v>
      </c>
      <c r="U54" s="104">
        <v>1</v>
      </c>
      <c r="V54" s="104">
        <v>1</v>
      </c>
      <c r="W54" s="104">
        <v>1</v>
      </c>
      <c r="X54" s="36"/>
      <c r="Y54" s="36"/>
      <c r="Z54" s="36"/>
    </row>
    <row r="55" spans="1:26">
      <c r="C55" s="72">
        <v>0</v>
      </c>
      <c r="D55" s="72">
        <f t="dataTable" ref="D55:F61" dt2D="0" dtr="0" r1="K5"/>
        <v>0.17235434704184704</v>
      </c>
      <c r="E55" s="72">
        <v>0.1125</v>
      </c>
      <c r="F55" s="72">
        <v>0.22777777777777777</v>
      </c>
    </row>
    <row r="56" spans="1:26">
      <c r="C56" s="72">
        <v>0.05</v>
      </c>
      <c r="D56" s="72">
        <v>0.16373662968975469</v>
      </c>
      <c r="E56" s="72">
        <v>0.106875</v>
      </c>
      <c r="F56" s="72">
        <v>0.21638888888888888</v>
      </c>
    </row>
    <row r="57" spans="1:26">
      <c r="C57" s="72">
        <v>0.1</v>
      </c>
      <c r="D57" s="72">
        <v>0.15511891233766231</v>
      </c>
      <c r="E57" s="72">
        <v>0.10125000000000001</v>
      </c>
      <c r="F57" s="72">
        <v>0.20499999999999999</v>
      </c>
      <c r="O57" s="185" t="s">
        <v>429</v>
      </c>
    </row>
    <row r="58" spans="1:26">
      <c r="C58" s="72">
        <v>0.15</v>
      </c>
      <c r="D58" s="72">
        <v>0.14650119498556999</v>
      </c>
      <c r="E58" s="72">
        <v>9.5625000000000002E-2</v>
      </c>
      <c r="F58" s="72">
        <v>0.19361111111111112</v>
      </c>
      <c r="O58" s="186" t="s">
        <v>430</v>
      </c>
      <c r="P58" s="161">
        <f>SUMPRODUCT(P25:W36,P40:W51)</f>
        <v>5</v>
      </c>
    </row>
    <row r="59" spans="1:26">
      <c r="C59" s="72">
        <v>0.2</v>
      </c>
      <c r="D59" s="72">
        <v>0.13788347763347764</v>
      </c>
      <c r="E59" s="72">
        <v>0.09</v>
      </c>
      <c r="F59" s="72">
        <v>0.18222222222222223</v>
      </c>
    </row>
    <row r="60" spans="1:26">
      <c r="C60" s="72">
        <v>0.25</v>
      </c>
      <c r="D60" s="72">
        <v>0.12926576028138526</v>
      </c>
      <c r="E60" s="72">
        <v>8.4375000000000006E-2</v>
      </c>
      <c r="F60" s="72">
        <v>0.17083333333333334</v>
      </c>
    </row>
    <row r="61" spans="1:26">
      <c r="C61" s="72">
        <v>0.3</v>
      </c>
      <c r="D61" s="72">
        <v>0.12064804292929292</v>
      </c>
      <c r="E61" s="72">
        <v>7.8749999999999987E-2</v>
      </c>
      <c r="F61" s="72">
        <v>0.15944444444444444</v>
      </c>
    </row>
  </sheetData>
  <mergeCells count="12">
    <mergeCell ref="D46:F46"/>
    <mergeCell ref="A48:B50"/>
    <mergeCell ref="D52:F52"/>
    <mergeCell ref="L19:M19"/>
    <mergeCell ref="L28:M28"/>
    <mergeCell ref="L35:M35"/>
    <mergeCell ref="H47:I47"/>
    <mergeCell ref="A1:G1"/>
    <mergeCell ref="J1:K1"/>
    <mergeCell ref="J7:K7"/>
    <mergeCell ref="B41:C41"/>
    <mergeCell ref="H40:I40"/>
  </mergeCells>
  <phoneticPr fontId="15" type="noConversion"/>
  <conditionalFormatting sqref="D41">
    <cfRule type="cellIs" dxfId="7" priority="9" operator="greaterThan">
      <formula>$K$4</formula>
    </cfRule>
    <cfRule type="colorScale" priority="10">
      <colorScale>
        <cfvo type="min"/>
        <cfvo type="max"/>
        <color rgb="FFFF7128"/>
        <color rgb="FFFFEF9C"/>
      </colorScale>
    </cfRule>
  </conditionalFormatting>
  <conditionalFormatting sqref="D41:G41">
    <cfRule type="cellIs" dxfId="6" priority="8" operator="between">
      <formula>$L$7</formula>
      <formula>$K$4</formula>
    </cfRule>
  </conditionalFormatting>
  <conditionalFormatting sqref="G41">
    <cfRule type="cellIs" dxfId="5" priority="7" operator="greaterThan">
      <formula>$K$3</formula>
    </cfRule>
  </conditionalFormatting>
  <conditionalFormatting sqref="J47">
    <cfRule type="cellIs" dxfId="4" priority="1" operator="equal">
      <formula>0</formula>
    </cfRule>
  </conditionalFormatting>
  <conditionalFormatting sqref="K8">
    <cfRule type="cellIs" dxfId="3" priority="4" operator="equal">
      <formula>0</formula>
    </cfRule>
  </conditionalFormatting>
  <conditionalFormatting sqref="K8:K10">
    <cfRule type="colorScale" priority="6">
      <colorScale>
        <cfvo type="num" val="0"/>
        <cfvo type="num" val="1"/>
        <color rgb="FFFF7128"/>
        <color theme="9" tint="0.39997558519241921"/>
      </colorScale>
    </cfRule>
  </conditionalFormatting>
  <conditionalFormatting sqref="K9:K10">
    <cfRule type="cellIs" dxfId="2" priority="2" operator="equal">
      <formula>1</formula>
    </cfRule>
  </conditionalFormatting>
  <conditionalFormatting sqref="K11">
    <cfRule type="containsText" dxfId="1" priority="5" operator="containsText" text="0">
      <formula>NOT(ISERROR(SEARCH("0",K11)))</formula>
    </cfRule>
  </conditionalFormatting>
  <conditionalFormatting sqref="K12">
    <cfRule type="cellIs" dxfId="0" priority="3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7089-456D-074F-BE0C-ED435628AC1D}">
  <dimension ref="A1:F12"/>
  <sheetViews>
    <sheetView topLeftCell="A15" workbookViewId="0">
      <selection activeCell="B5" sqref="B5"/>
    </sheetView>
  </sheetViews>
  <sheetFormatPr baseColWidth="10" defaultRowHeight="16"/>
  <cols>
    <col min="1" max="1" width="16.6640625" bestFit="1" customWidth="1"/>
    <col min="2" max="2" width="15" bestFit="1" customWidth="1"/>
  </cols>
  <sheetData>
    <row r="1" spans="1:6">
      <c r="A1" s="150"/>
      <c r="B1" s="105" t="s">
        <v>279</v>
      </c>
      <c r="C1" s="105" t="s">
        <v>277</v>
      </c>
    </row>
    <row r="2" spans="1:6">
      <c r="A2" t="s">
        <v>276</v>
      </c>
      <c r="B2" s="151">
        <v>29.999999999999996</v>
      </c>
      <c r="C2" s="151">
        <v>60</v>
      </c>
    </row>
    <row r="3" spans="1:6">
      <c r="A3" t="s">
        <v>280</v>
      </c>
      <c r="B3" s="105">
        <v>5</v>
      </c>
      <c r="C3" s="105">
        <v>6</v>
      </c>
    </row>
    <row r="4" spans="1:6">
      <c r="A4" t="s">
        <v>283</v>
      </c>
      <c r="B4" s="105"/>
      <c r="C4" s="105"/>
    </row>
    <row r="5" spans="1:6">
      <c r="A5" t="s">
        <v>69</v>
      </c>
      <c r="B5" s="45">
        <f>SUMPRODUCT(B3:C3,B2:C2)</f>
        <v>510</v>
      </c>
    </row>
    <row r="7" spans="1:6">
      <c r="A7" s="148"/>
      <c r="C7" s="105"/>
      <c r="F7" s="105"/>
    </row>
    <row r="8" spans="1:6">
      <c r="A8" s="36" t="s">
        <v>281</v>
      </c>
      <c r="B8" s="36">
        <v>2</v>
      </c>
      <c r="C8" s="153">
        <v>1</v>
      </c>
      <c r="D8" s="152">
        <f>SUMPRODUCT(B8:C8,$B$2:$C$2)</f>
        <v>120</v>
      </c>
      <c r="E8" s="142" t="s">
        <v>270</v>
      </c>
      <c r="F8" s="36">
        <v>120</v>
      </c>
    </row>
    <row r="9" spans="1:6">
      <c r="A9" s="149" t="s">
        <v>282</v>
      </c>
      <c r="B9" s="36">
        <v>2</v>
      </c>
      <c r="C9" s="153">
        <v>3</v>
      </c>
      <c r="D9" s="152">
        <f>SUMPRODUCT(B9:C9,$B$2:$C$2)</f>
        <v>240</v>
      </c>
      <c r="E9" s="142" t="s">
        <v>270</v>
      </c>
      <c r="F9" s="36">
        <v>240</v>
      </c>
    </row>
    <row r="12" spans="1:6">
      <c r="A12" s="14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1AA0-F906-9C4B-BDDE-F5CBEE836BB7}">
  <dimension ref="A1:I25"/>
  <sheetViews>
    <sheetView workbookViewId="0">
      <selection activeCell="L46" sqref="L46"/>
    </sheetView>
  </sheetViews>
  <sheetFormatPr baseColWidth="10" defaultRowHeight="16"/>
  <cols>
    <col min="1" max="1" width="16" bestFit="1" customWidth="1"/>
    <col min="6" max="6" width="18.33203125" bestFit="1" customWidth="1"/>
    <col min="7" max="7" width="32.5" bestFit="1" customWidth="1"/>
  </cols>
  <sheetData>
    <row r="1" spans="1:9" ht="20">
      <c r="A1" s="188" t="s">
        <v>284</v>
      </c>
      <c r="B1" s="188"/>
    </row>
    <row r="3" spans="1:9">
      <c r="B3" s="105" t="s">
        <v>299</v>
      </c>
      <c r="C3" s="105" t="s">
        <v>300</v>
      </c>
      <c r="G3" t="s">
        <v>286</v>
      </c>
    </row>
    <row r="4" spans="1:9">
      <c r="A4" t="s">
        <v>274</v>
      </c>
      <c r="B4" s="45">
        <v>560</v>
      </c>
      <c r="C4" s="45">
        <v>1200</v>
      </c>
      <c r="D4" t="s">
        <v>289</v>
      </c>
      <c r="G4" t="s">
        <v>287</v>
      </c>
    </row>
    <row r="5" spans="1:9">
      <c r="G5" t="s">
        <v>288</v>
      </c>
    </row>
    <row r="6" spans="1:9">
      <c r="A6" t="s">
        <v>285</v>
      </c>
      <c r="D6" t="s">
        <v>292</v>
      </c>
    </row>
    <row r="7" spans="1:9">
      <c r="A7" t="s">
        <v>25</v>
      </c>
      <c r="B7" s="5">
        <v>300</v>
      </c>
      <c r="C7" s="5">
        <v>450</v>
      </c>
      <c r="E7" s="2">
        <f>SUMPRODUCT(B4:C4,B7:C7)</f>
        <v>708000</v>
      </c>
    </row>
    <row r="8" spans="1:9">
      <c r="A8" t="s">
        <v>21</v>
      </c>
    </row>
    <row r="9" spans="1:9">
      <c r="A9" s="154" t="s">
        <v>293</v>
      </c>
      <c r="B9" s="5">
        <v>150</v>
      </c>
      <c r="C9" s="5">
        <v>225</v>
      </c>
      <c r="E9" s="2">
        <f>SUMPRODUCT(B9:C9,B4:C4)</f>
        <v>354000</v>
      </c>
      <c r="H9" s="2">
        <v>11</v>
      </c>
      <c r="I9" t="s">
        <v>298</v>
      </c>
    </row>
    <row r="10" spans="1:9">
      <c r="A10" s="154" t="s">
        <v>296</v>
      </c>
      <c r="B10" s="105">
        <v>5</v>
      </c>
      <c r="C10" s="105">
        <v>6</v>
      </c>
      <c r="D10">
        <f>SUMPRODUCT(B10:C10,B4:C4)</f>
        <v>10000</v>
      </c>
      <c r="E10" s="40">
        <f>SUMPRODUCT(B10:C10,B4:C4)*H9</f>
        <v>110000</v>
      </c>
      <c r="H10" s="2">
        <v>15</v>
      </c>
      <c r="I10" t="s">
        <v>301</v>
      </c>
    </row>
    <row r="11" spans="1:9" ht="17" customHeight="1">
      <c r="A11" s="154" t="s">
        <v>297</v>
      </c>
      <c r="B11" s="105">
        <v>1</v>
      </c>
      <c r="C11" s="105">
        <v>2</v>
      </c>
      <c r="D11">
        <f>SUMPRODUCT(B11:C11,B4:C4)</f>
        <v>2960</v>
      </c>
      <c r="E11" s="40">
        <f>SUMPRODUCT(B11:C11,B4:C4)*H10</f>
        <v>44400</v>
      </c>
    </row>
    <row r="12" spans="1:9">
      <c r="A12" t="s">
        <v>69</v>
      </c>
      <c r="B12" s="105"/>
      <c r="C12" s="105"/>
    </row>
    <row r="13" spans="1:9">
      <c r="E13" s="139">
        <f>$E$7-$E$9-E10-E11</f>
        <v>199600</v>
      </c>
      <c r="F13" t="str">
        <f ca="1">_xlfn.FORMULATEXT(E13)</f>
        <v>=$E$7-$E$9-E10-E11</v>
      </c>
    </row>
    <row r="15" spans="1:9">
      <c r="A15" s="36" t="s">
        <v>265</v>
      </c>
      <c r="B15" s="36" t="s">
        <v>272</v>
      </c>
      <c r="C15" s="36" t="s">
        <v>273</v>
      </c>
      <c r="D15" s="36" t="s">
        <v>267</v>
      </c>
      <c r="E15" s="36" t="s">
        <v>268</v>
      </c>
      <c r="F15" s="36" t="s">
        <v>269</v>
      </c>
    </row>
    <row r="16" spans="1:9">
      <c r="A16" s="104" t="s">
        <v>290</v>
      </c>
      <c r="B16" s="104">
        <v>1</v>
      </c>
      <c r="C16" s="104"/>
      <c r="D16" s="36">
        <f>SUMPRODUCT($B$4:$C$4,B16:C16)</f>
        <v>560</v>
      </c>
      <c r="E16" s="104" t="s">
        <v>270</v>
      </c>
      <c r="F16" s="104">
        <v>600</v>
      </c>
      <c r="G16" t="str">
        <f ca="1">_xlfn.FORMULATEXT(D16)</f>
        <v>=SUMPRODUCT($B$4:$C$4,B16:C16)</v>
      </c>
    </row>
    <row r="17" spans="1:7">
      <c r="A17" s="146" t="s">
        <v>291</v>
      </c>
      <c r="B17" s="104"/>
      <c r="C17" s="104">
        <v>1</v>
      </c>
      <c r="D17" s="36">
        <f>SUMPRODUCT($B$4:$C$4,B17:C17)</f>
        <v>1200</v>
      </c>
      <c r="E17" s="104" t="s">
        <v>270</v>
      </c>
      <c r="F17" s="104">
        <v>1200</v>
      </c>
      <c r="G17" t="str">
        <f ca="1">_xlfn.FORMULATEXT(D17)</f>
        <v>=SUMPRODUCT($B$4:$C$4,B17:C17)</v>
      </c>
    </row>
    <row r="18" spans="1:7">
      <c r="A18" s="36" t="s">
        <v>294</v>
      </c>
      <c r="B18" s="104">
        <v>5</v>
      </c>
      <c r="C18" s="104">
        <v>6</v>
      </c>
      <c r="D18" s="36">
        <f t="shared" ref="D18:D19" si="0">SUMPRODUCT($B$4:$C$4,B18:C18)</f>
        <v>10000</v>
      </c>
      <c r="E18" s="104" t="s">
        <v>270</v>
      </c>
      <c r="F18" s="104">
        <v>10000</v>
      </c>
      <c r="G18" t="str">
        <f t="shared" ref="G18:G19" ca="1" si="1">_xlfn.FORMULATEXT(D18)</f>
        <v>=SUMPRODUCT($B$4:$C$4,B18:C18)</v>
      </c>
    </row>
    <row r="19" spans="1:7">
      <c r="A19" s="36" t="s">
        <v>295</v>
      </c>
      <c r="B19" s="104">
        <v>1</v>
      </c>
      <c r="C19" s="104">
        <v>2</v>
      </c>
      <c r="D19" s="36">
        <f t="shared" si="0"/>
        <v>2960</v>
      </c>
      <c r="E19" s="104" t="s">
        <v>270</v>
      </c>
      <c r="F19" s="104">
        <v>3000</v>
      </c>
      <c r="G19" t="str">
        <f t="shared" ca="1" si="1"/>
        <v>=SUMPRODUCT($B$4:$C$4,B19:C19)</v>
      </c>
    </row>
    <row r="20" spans="1:7">
      <c r="B20" s="105"/>
      <c r="C20" s="105"/>
      <c r="E20" s="105"/>
      <c r="F20" s="105"/>
    </row>
    <row r="21" spans="1:7">
      <c r="B21" s="105"/>
      <c r="C21" s="105"/>
      <c r="E21" s="105"/>
      <c r="F21" s="105"/>
    </row>
    <row r="22" spans="1:7">
      <c r="B22" s="105"/>
      <c r="C22" s="105"/>
      <c r="E22" s="105"/>
      <c r="F22" s="105"/>
    </row>
    <row r="23" spans="1:7">
      <c r="B23" s="105"/>
      <c r="C23" s="105"/>
      <c r="E23" s="105"/>
      <c r="F23" s="105"/>
    </row>
    <row r="24" spans="1:7">
      <c r="B24" s="105"/>
      <c r="C24" s="105"/>
      <c r="E24" s="105"/>
      <c r="F24" s="105"/>
    </row>
    <row r="25" spans="1:7">
      <c r="B25" s="105"/>
      <c r="C25" s="105"/>
      <c r="E25" s="105"/>
      <c r="F25" s="105"/>
    </row>
  </sheetData>
  <mergeCells count="1">
    <mergeCell ref="A1:B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E9A1-628D-934C-92D3-6BCDA803C783}">
  <dimension ref="A1:F13"/>
  <sheetViews>
    <sheetView workbookViewId="0">
      <selection activeCell="E62" sqref="E62"/>
    </sheetView>
  </sheetViews>
  <sheetFormatPr baseColWidth="10" defaultRowHeight="16"/>
  <cols>
    <col min="1" max="1" width="31.83203125" bestFit="1" customWidth="1"/>
    <col min="4" max="4" width="14.5" bestFit="1" customWidth="1"/>
  </cols>
  <sheetData>
    <row r="1" spans="1:6" ht="21" thickBot="1">
      <c r="A1" s="187" t="s">
        <v>302</v>
      </c>
      <c r="B1" s="187"/>
    </row>
    <row r="2" spans="1:6" ht="17" thickTop="1">
      <c r="B2" s="105" t="s">
        <v>275</v>
      </c>
      <c r="C2" s="105" t="s">
        <v>303</v>
      </c>
    </row>
    <row r="3" spans="1:6">
      <c r="A3" t="s">
        <v>266</v>
      </c>
      <c r="B3" s="55">
        <v>260</v>
      </c>
      <c r="C3" s="55">
        <v>35</v>
      </c>
      <c r="D3" t="s">
        <v>304</v>
      </c>
    </row>
    <row r="4" spans="1:6">
      <c r="B4" s="5">
        <v>12</v>
      </c>
      <c r="C4" s="5">
        <v>20</v>
      </c>
    </row>
    <row r="5" spans="1:6">
      <c r="A5" t="s">
        <v>307</v>
      </c>
    </row>
    <row r="6" spans="1:6">
      <c r="A6" t="s">
        <v>69</v>
      </c>
      <c r="B6" s="156">
        <f>SUMPRODUCT(B4:C4,B3:C3)</f>
        <v>3820</v>
      </c>
    </row>
    <row r="8" spans="1:6">
      <c r="A8" s="36" t="s">
        <v>265</v>
      </c>
      <c r="B8" s="36"/>
      <c r="C8" s="36"/>
      <c r="D8" s="36" t="s">
        <v>267</v>
      </c>
      <c r="E8" s="36" t="s">
        <v>268</v>
      </c>
      <c r="F8" s="36" t="s">
        <v>269</v>
      </c>
    </row>
    <row r="9" spans="1:6">
      <c r="A9" s="36" t="s">
        <v>305</v>
      </c>
      <c r="B9" s="104">
        <v>4</v>
      </c>
      <c r="C9" s="104">
        <v>6</v>
      </c>
      <c r="D9" s="104">
        <f>SUMPRODUCT(B9:C9,$B$3:$C$3)</f>
        <v>1250</v>
      </c>
      <c r="E9" s="104" t="s">
        <v>270</v>
      </c>
      <c r="F9" s="104">
        <v>1250</v>
      </c>
    </row>
    <row r="10" spans="1:6">
      <c r="A10" s="36" t="s">
        <v>306</v>
      </c>
      <c r="B10" s="104">
        <v>9</v>
      </c>
      <c r="C10" s="104">
        <v>36</v>
      </c>
      <c r="D10" s="104">
        <f>SUMPRODUCT(B10:C10,$B$3:$C$3)</f>
        <v>3600</v>
      </c>
      <c r="E10" s="104" t="s">
        <v>270</v>
      </c>
      <c r="F10" s="104">
        <v>3600</v>
      </c>
    </row>
    <row r="11" spans="1:6">
      <c r="A11" s="36"/>
      <c r="B11" s="104"/>
      <c r="C11" s="104"/>
      <c r="D11" s="104"/>
      <c r="E11" s="36"/>
      <c r="F11" s="104"/>
    </row>
    <row r="12" spans="1:6">
      <c r="A12" s="36"/>
      <c r="B12" s="104"/>
      <c r="C12" s="104"/>
      <c r="D12" s="104"/>
      <c r="E12" s="36"/>
      <c r="F12" s="104"/>
    </row>
    <row r="13" spans="1:6">
      <c r="A13" s="36"/>
      <c r="B13" s="104"/>
      <c r="C13" s="104"/>
      <c r="D13" s="104"/>
      <c r="E13" s="36"/>
      <c r="F13" s="104"/>
    </row>
  </sheetData>
  <mergeCells count="1">
    <mergeCell ref="A1:B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D81D-4908-5645-91EC-ABA257236AC3}">
  <dimension ref="A1:I32"/>
  <sheetViews>
    <sheetView workbookViewId="0">
      <selection activeCell="Q40" sqref="Q40"/>
    </sheetView>
  </sheetViews>
  <sheetFormatPr baseColWidth="10" defaultRowHeight="16"/>
  <cols>
    <col min="1" max="1" width="41.83203125" bestFit="1" customWidth="1"/>
    <col min="2" max="2" width="11.5" bestFit="1" customWidth="1"/>
    <col min="3" max="3" width="25.5" bestFit="1" customWidth="1"/>
    <col min="4" max="4" width="6.83203125" customWidth="1"/>
    <col min="5" max="5" width="12.5" bestFit="1" customWidth="1"/>
    <col min="6" max="6" width="11.5" bestFit="1" customWidth="1"/>
    <col min="8" max="8" width="14" bestFit="1" customWidth="1"/>
    <col min="9" max="9" width="12.5" bestFit="1" customWidth="1"/>
  </cols>
  <sheetData>
    <row r="1" spans="1:9">
      <c r="B1" s="105" t="s">
        <v>279</v>
      </c>
      <c r="C1" s="105" t="s">
        <v>277</v>
      </c>
      <c r="D1" s="105" t="s">
        <v>278</v>
      </c>
      <c r="E1" s="105" t="s">
        <v>317</v>
      </c>
      <c r="F1" s="105" t="s">
        <v>318</v>
      </c>
      <c r="H1" t="s">
        <v>65</v>
      </c>
    </row>
    <row r="2" spans="1:9">
      <c r="A2" t="s">
        <v>266</v>
      </c>
      <c r="B2" s="160">
        <v>50000</v>
      </c>
      <c r="C2" s="160">
        <v>0</v>
      </c>
      <c r="D2" s="160">
        <v>0</v>
      </c>
      <c r="E2" s="160">
        <v>175000</v>
      </c>
      <c r="F2" s="160">
        <v>25000</v>
      </c>
      <c r="H2" t="s">
        <v>310</v>
      </c>
      <c r="I2" s="157">
        <v>250000</v>
      </c>
    </row>
    <row r="3" spans="1:9">
      <c r="B3" s="159">
        <v>5.2999999999999999E-2</v>
      </c>
      <c r="C3" s="159">
        <v>6.8000000000000005E-2</v>
      </c>
      <c r="D3" s="159">
        <v>4.9000000000000002E-2</v>
      </c>
      <c r="E3" s="159">
        <v>8.4000000000000005E-2</v>
      </c>
      <c r="F3" s="159">
        <v>0.11799999999999999</v>
      </c>
    </row>
    <row r="5" spans="1:9">
      <c r="A5" t="s">
        <v>285</v>
      </c>
    </row>
    <row r="6" spans="1:9">
      <c r="A6" s="43" t="s">
        <v>319</v>
      </c>
      <c r="B6" s="155">
        <f>SUMPRODUCT(B3:F3,B2:F2)</f>
        <v>20300</v>
      </c>
      <c r="C6" t="str">
        <f ca="1">_xlfn.FORMULATEXT(B6)</f>
        <v>=SUMPRODUCT(B3:F3,B2:F2)</v>
      </c>
    </row>
    <row r="12" spans="1:9">
      <c r="A12" s="36" t="s">
        <v>265</v>
      </c>
      <c r="B12" s="105" t="s">
        <v>279</v>
      </c>
      <c r="C12" s="105" t="s">
        <v>277</v>
      </c>
      <c r="D12" s="105" t="s">
        <v>278</v>
      </c>
      <c r="E12" s="105" t="s">
        <v>317</v>
      </c>
      <c r="F12" s="105" t="s">
        <v>318</v>
      </c>
      <c r="G12" s="36" t="s">
        <v>267</v>
      </c>
      <c r="H12" s="36" t="s">
        <v>268</v>
      </c>
      <c r="I12" s="36" t="s">
        <v>269</v>
      </c>
    </row>
    <row r="13" spans="1:9">
      <c r="A13" s="36" t="s">
        <v>316</v>
      </c>
      <c r="B13" s="36">
        <v>1</v>
      </c>
      <c r="C13" s="36"/>
      <c r="D13" s="36"/>
      <c r="E13" s="36"/>
      <c r="F13" s="36"/>
      <c r="G13" s="36">
        <f>SUMPRODUCT(B13:F13,$B$2:$F$2)</f>
        <v>50000</v>
      </c>
      <c r="H13" s="36" t="s">
        <v>271</v>
      </c>
      <c r="I13" s="158">
        <f>0.2*I2</f>
        <v>50000</v>
      </c>
    </row>
    <row r="14" spans="1:9">
      <c r="A14" s="36" t="s">
        <v>308</v>
      </c>
      <c r="B14" s="36"/>
      <c r="C14" s="36">
        <v>1</v>
      </c>
      <c r="D14" s="36">
        <v>1</v>
      </c>
      <c r="E14" s="36">
        <v>1</v>
      </c>
      <c r="F14" s="36"/>
      <c r="G14" s="36">
        <f>SUMPRODUCT(B14:F14,$B$2:$F$2)</f>
        <v>175000</v>
      </c>
      <c r="H14" s="36" t="s">
        <v>271</v>
      </c>
      <c r="I14" s="83">
        <f>0.4*I2</f>
        <v>100000</v>
      </c>
    </row>
    <row r="15" spans="1:9">
      <c r="A15" s="36" t="s">
        <v>309</v>
      </c>
      <c r="B15" s="36"/>
      <c r="C15" s="36"/>
      <c r="D15" s="36"/>
      <c r="E15" s="36"/>
      <c r="F15" s="36">
        <v>1</v>
      </c>
      <c r="G15" s="36">
        <f t="shared" ref="G15" si="0">SUMPRODUCT(B15:F15,$B$2:$F$2)</f>
        <v>25000</v>
      </c>
      <c r="H15" s="36" t="s">
        <v>270</v>
      </c>
      <c r="I15" s="158">
        <f>0.5*I13</f>
        <v>25000</v>
      </c>
    </row>
    <row r="16" spans="1:9">
      <c r="A16" s="36" t="s">
        <v>0</v>
      </c>
      <c r="B16" s="36">
        <v>1</v>
      </c>
      <c r="C16" s="36">
        <v>1</v>
      </c>
      <c r="D16" s="36">
        <v>1</v>
      </c>
      <c r="E16" s="36">
        <v>1</v>
      </c>
      <c r="F16" s="36">
        <v>1</v>
      </c>
      <c r="G16" s="36">
        <f>SUMPRODUCT(B16:F16,$B$2:$F$2)</f>
        <v>250000</v>
      </c>
      <c r="H16" s="36" t="s">
        <v>270</v>
      </c>
      <c r="I16" s="38">
        <v>250000</v>
      </c>
    </row>
    <row r="23" spans="1:2">
      <c r="A23" s="105"/>
    </row>
    <row r="24" spans="1:2">
      <c r="A24" s="105"/>
    </row>
    <row r="25" spans="1:2">
      <c r="A25" s="105"/>
    </row>
    <row r="28" spans="1:2">
      <c r="A28" s="104" t="s">
        <v>311</v>
      </c>
      <c r="B28" s="71">
        <v>5.2999999999999999E-2</v>
      </c>
    </row>
    <row r="29" spans="1:2">
      <c r="A29" s="104" t="s">
        <v>312</v>
      </c>
      <c r="B29" s="71">
        <v>6.8000000000000005E-2</v>
      </c>
    </row>
    <row r="30" spans="1:2">
      <c r="A30" s="104" t="s">
        <v>313</v>
      </c>
      <c r="B30" s="71">
        <v>4.9000000000000002E-2</v>
      </c>
    </row>
    <row r="31" spans="1:2">
      <c r="A31" s="104" t="s">
        <v>314</v>
      </c>
      <c r="B31" s="71">
        <v>8.4000000000000005E-2</v>
      </c>
    </row>
    <row r="32" spans="1:2">
      <c r="A32" s="104" t="s">
        <v>315</v>
      </c>
      <c r="B32" s="71">
        <v>0.11799999999999999</v>
      </c>
    </row>
  </sheetData>
  <phoneticPr fontId="15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CC5A-4580-7249-81C9-C01410C9CDC8}">
  <dimension ref="A1:G15"/>
  <sheetViews>
    <sheetView workbookViewId="0">
      <selection activeCell="B5" sqref="B5"/>
    </sheetView>
  </sheetViews>
  <sheetFormatPr baseColWidth="10" defaultRowHeight="16"/>
  <cols>
    <col min="1" max="1" width="32.33203125" bestFit="1" customWidth="1"/>
  </cols>
  <sheetData>
    <row r="1" spans="1:7">
      <c r="B1" s="105" t="s">
        <v>279</v>
      </c>
      <c r="C1" s="105" t="s">
        <v>277</v>
      </c>
      <c r="D1" s="105" t="s">
        <v>278</v>
      </c>
      <c r="E1" s="105"/>
      <c r="F1" s="105"/>
    </row>
    <row r="2" spans="1:7">
      <c r="A2" t="s">
        <v>274</v>
      </c>
      <c r="B2" s="163">
        <v>0.25</v>
      </c>
      <c r="C2" s="163">
        <v>4.5</v>
      </c>
      <c r="D2" s="163">
        <v>0</v>
      </c>
      <c r="E2" t="s">
        <v>304</v>
      </c>
    </row>
    <row r="3" spans="1:7">
      <c r="B3" s="19">
        <v>0.09</v>
      </c>
      <c r="C3" s="19">
        <v>0.12</v>
      </c>
      <c r="D3" s="19">
        <v>0.18</v>
      </c>
    </row>
    <row r="6" spans="1:7">
      <c r="A6" t="s">
        <v>320</v>
      </c>
    </row>
    <row r="7" spans="1:7">
      <c r="A7" s="43" t="s">
        <v>321</v>
      </c>
      <c r="B7" s="164">
        <f>SUMPRODUCT(B3:D3,B2:D2)</f>
        <v>0.5625</v>
      </c>
    </row>
    <row r="9" spans="1:7">
      <c r="A9" s="36" t="s">
        <v>265</v>
      </c>
      <c r="B9" s="104" t="s">
        <v>279</v>
      </c>
      <c r="C9" s="104" t="s">
        <v>277</v>
      </c>
      <c r="D9" s="104" t="s">
        <v>278</v>
      </c>
      <c r="E9" s="104" t="s">
        <v>267</v>
      </c>
      <c r="F9" s="104" t="s">
        <v>268</v>
      </c>
      <c r="G9" s="104" t="s">
        <v>269</v>
      </c>
    </row>
    <row r="10" spans="1:7">
      <c r="A10" s="36" t="s">
        <v>322</v>
      </c>
      <c r="B10" s="104">
        <v>3</v>
      </c>
      <c r="C10" s="104">
        <v>4</v>
      </c>
      <c r="D10" s="104">
        <v>2</v>
      </c>
      <c r="E10" s="162">
        <f>SUMPRODUCT($B$2:$D$2,B10:D10)</f>
        <v>18.75</v>
      </c>
      <c r="F10" s="104" t="s">
        <v>271</v>
      </c>
      <c r="G10" s="104">
        <v>5</v>
      </c>
    </row>
    <row r="11" spans="1:7">
      <c r="A11" s="36" t="s">
        <v>323</v>
      </c>
      <c r="B11" s="104">
        <v>0.5</v>
      </c>
      <c r="C11" s="104">
        <v>1</v>
      </c>
      <c r="D11" s="104">
        <v>1</v>
      </c>
      <c r="E11" s="162">
        <f t="shared" ref="E11:E15" si="0">SUMPRODUCT($B$2:$D$2,B11:D11)</f>
        <v>4.625</v>
      </c>
      <c r="F11" s="104" t="s">
        <v>271</v>
      </c>
      <c r="G11" s="104">
        <v>2</v>
      </c>
    </row>
    <row r="12" spans="1:7">
      <c r="A12" s="36" t="s">
        <v>324</v>
      </c>
      <c r="B12" s="104">
        <v>4</v>
      </c>
      <c r="C12" s="104">
        <v>2</v>
      </c>
      <c r="D12" s="104">
        <v>6</v>
      </c>
      <c r="E12" s="162">
        <f t="shared" si="0"/>
        <v>10</v>
      </c>
      <c r="F12" s="104" t="s">
        <v>271</v>
      </c>
      <c r="G12" s="104">
        <v>10</v>
      </c>
    </row>
    <row r="13" spans="1:7">
      <c r="A13" s="36" t="s">
        <v>325</v>
      </c>
      <c r="B13" s="104">
        <v>1</v>
      </c>
      <c r="C13" s="104">
        <v>1.5</v>
      </c>
      <c r="D13" s="104">
        <v>0.5</v>
      </c>
      <c r="E13" s="162">
        <f t="shared" si="0"/>
        <v>7</v>
      </c>
      <c r="F13" s="104" t="s">
        <v>271</v>
      </c>
      <c r="G13" s="104">
        <v>7</v>
      </c>
    </row>
    <row r="14" spans="1:7">
      <c r="A14" s="36" t="s">
        <v>326</v>
      </c>
      <c r="B14" s="104">
        <v>0.5</v>
      </c>
      <c r="C14" s="104">
        <v>1.5</v>
      </c>
      <c r="D14" s="104">
        <v>0.5</v>
      </c>
      <c r="E14" s="162">
        <f t="shared" si="0"/>
        <v>6.875</v>
      </c>
      <c r="F14" s="104" t="s">
        <v>271</v>
      </c>
      <c r="G14" s="104">
        <v>6</v>
      </c>
    </row>
    <row r="15" spans="1:7">
      <c r="A15" s="36" t="s">
        <v>327</v>
      </c>
      <c r="B15" s="104">
        <v>1</v>
      </c>
      <c r="C15" s="104">
        <v>1</v>
      </c>
      <c r="D15" s="104">
        <v>1</v>
      </c>
      <c r="E15" s="162">
        <f t="shared" si="0"/>
        <v>4.75</v>
      </c>
      <c r="F15" s="104" t="s">
        <v>270</v>
      </c>
      <c r="G15" s="104">
        <v>6</v>
      </c>
    </row>
  </sheetData>
  <phoneticPr fontId="15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97B6-BB40-D046-8A89-13274C240AC6}">
  <dimension ref="A1:S17"/>
  <sheetViews>
    <sheetView workbookViewId="0">
      <selection activeCell="A19" sqref="A19"/>
    </sheetView>
  </sheetViews>
  <sheetFormatPr baseColWidth="10" defaultRowHeight="16"/>
  <cols>
    <col min="1" max="1" width="16" bestFit="1" customWidth="1"/>
    <col min="2" max="2" width="12.5" customWidth="1"/>
    <col min="3" max="3" width="13.33203125" customWidth="1"/>
    <col min="4" max="4" width="13.83203125" customWidth="1"/>
    <col min="17" max="17" width="17.83203125" bestFit="1" customWidth="1"/>
  </cols>
  <sheetData>
    <row r="1" spans="1:19">
      <c r="B1" s="189" t="s">
        <v>332</v>
      </c>
      <c r="C1" s="189"/>
      <c r="D1" s="189"/>
    </row>
    <row r="2" spans="1:19">
      <c r="A2" t="s">
        <v>266</v>
      </c>
      <c r="B2" s="105" t="s">
        <v>329</v>
      </c>
      <c r="C2" s="105" t="s">
        <v>330</v>
      </c>
      <c r="D2" s="105" t="s">
        <v>331</v>
      </c>
      <c r="E2" s="105" t="s">
        <v>333</v>
      </c>
      <c r="F2" s="105" t="s">
        <v>334</v>
      </c>
      <c r="G2" s="105" t="s">
        <v>335</v>
      </c>
      <c r="H2" s="105" t="s">
        <v>336</v>
      </c>
      <c r="I2" s="105" t="s">
        <v>337</v>
      </c>
      <c r="J2" s="105" t="s">
        <v>338</v>
      </c>
      <c r="K2" s="105" t="s">
        <v>339</v>
      </c>
      <c r="L2" s="105" t="s">
        <v>340</v>
      </c>
      <c r="M2" s="105" t="s">
        <v>341</v>
      </c>
      <c r="N2" s="105" t="s">
        <v>342</v>
      </c>
      <c r="O2" s="105" t="s">
        <v>343</v>
      </c>
      <c r="P2" s="105" t="s">
        <v>344</v>
      </c>
    </row>
    <row r="3" spans="1:19">
      <c r="B3" s="55">
        <v>400</v>
      </c>
      <c r="C3" s="55">
        <v>0</v>
      </c>
      <c r="D3" s="55">
        <v>300</v>
      </c>
      <c r="E3" s="55">
        <v>500</v>
      </c>
      <c r="F3" s="55">
        <v>0</v>
      </c>
      <c r="G3" s="55">
        <v>0</v>
      </c>
      <c r="H3" s="55">
        <v>0</v>
      </c>
      <c r="I3" s="55">
        <v>100</v>
      </c>
      <c r="J3" s="55">
        <v>0</v>
      </c>
      <c r="K3" s="55">
        <v>0</v>
      </c>
      <c r="L3" s="55">
        <v>800</v>
      </c>
      <c r="M3" s="55">
        <v>0</v>
      </c>
      <c r="N3" s="55">
        <v>0</v>
      </c>
      <c r="O3" s="55">
        <v>0</v>
      </c>
      <c r="P3" s="55">
        <v>400</v>
      </c>
      <c r="Q3" t="s">
        <v>346</v>
      </c>
    </row>
    <row r="4" spans="1:19">
      <c r="B4" s="105">
        <v>5</v>
      </c>
      <c r="C4" s="105">
        <v>8</v>
      </c>
      <c r="D4" s="105">
        <v>6</v>
      </c>
      <c r="E4" s="105">
        <v>0</v>
      </c>
      <c r="F4" s="105">
        <v>4</v>
      </c>
      <c r="G4" s="105">
        <v>12</v>
      </c>
      <c r="H4" s="105">
        <v>4</v>
      </c>
      <c r="I4" s="105">
        <v>0</v>
      </c>
      <c r="J4" s="105">
        <v>7</v>
      </c>
      <c r="K4" s="105">
        <v>7</v>
      </c>
      <c r="L4" s="105">
        <v>2</v>
      </c>
      <c r="M4" s="105">
        <v>5</v>
      </c>
      <c r="N4" s="105">
        <v>12</v>
      </c>
      <c r="O4" s="105">
        <v>7</v>
      </c>
      <c r="P4" s="105">
        <v>0</v>
      </c>
      <c r="Q4" t="s">
        <v>347</v>
      </c>
    </row>
    <row r="5" spans="1:19">
      <c r="A5" t="s">
        <v>328</v>
      </c>
    </row>
    <row r="6" spans="1:19">
      <c r="A6" t="s">
        <v>345</v>
      </c>
      <c r="B6" s="161">
        <f>SUMPRODUCT(B3:P3,B4:P4)</f>
        <v>5400</v>
      </c>
      <c r="C6" t="str">
        <f ca="1">_xlfn.FORMULATEXT(B6)</f>
        <v>=SUMPRODUCT(B3:P3,B4:P4)</v>
      </c>
    </row>
    <row r="9" spans="1:19">
      <c r="A9" s="36" t="s">
        <v>265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 t="s">
        <v>267</v>
      </c>
      <c r="R9" s="36" t="s">
        <v>268</v>
      </c>
      <c r="S9" s="36" t="s">
        <v>269</v>
      </c>
    </row>
    <row r="10" spans="1:19">
      <c r="A10" s="36" t="s">
        <v>348</v>
      </c>
      <c r="B10" s="36">
        <v>1</v>
      </c>
      <c r="C10" s="36"/>
      <c r="D10" s="36"/>
      <c r="E10" s="36">
        <v>1</v>
      </c>
      <c r="F10" s="36"/>
      <c r="G10" s="36"/>
      <c r="H10" s="36">
        <v>1</v>
      </c>
      <c r="I10" s="36"/>
      <c r="J10" s="36"/>
      <c r="K10" s="36">
        <v>1</v>
      </c>
      <c r="L10" s="36"/>
      <c r="M10" s="36"/>
      <c r="N10" s="36">
        <v>1</v>
      </c>
      <c r="O10" s="36"/>
      <c r="P10" s="36"/>
      <c r="Q10" s="36">
        <f t="shared" ref="Q10:Q17" si="0">SUMPRODUCT(B10:P10,$B$3:$P$3)</f>
        <v>900</v>
      </c>
      <c r="R10" s="36" t="s">
        <v>270</v>
      </c>
      <c r="S10" s="36">
        <v>900</v>
      </c>
    </row>
    <row r="11" spans="1:19">
      <c r="A11" s="36" t="s">
        <v>349</v>
      </c>
      <c r="B11" s="36"/>
      <c r="C11" s="36">
        <v>1</v>
      </c>
      <c r="D11" s="36"/>
      <c r="E11" s="36"/>
      <c r="F11" s="36">
        <v>1</v>
      </c>
      <c r="G11" s="36"/>
      <c r="H11" s="36"/>
      <c r="I11" s="36">
        <v>1</v>
      </c>
      <c r="J11" s="36"/>
      <c r="K11" s="36"/>
      <c r="L11" s="36">
        <v>1</v>
      </c>
      <c r="M11" s="36"/>
      <c r="N11" s="36"/>
      <c r="O11" s="36">
        <v>1</v>
      </c>
      <c r="P11" s="36"/>
      <c r="Q11" s="36">
        <f t="shared" si="0"/>
        <v>900</v>
      </c>
      <c r="R11" s="36" t="s">
        <v>270</v>
      </c>
      <c r="S11" s="36">
        <v>900</v>
      </c>
    </row>
    <row r="12" spans="1:19">
      <c r="A12" s="36" t="s">
        <v>350</v>
      </c>
      <c r="B12" s="36"/>
      <c r="C12" s="36"/>
      <c r="D12" s="36">
        <v>1</v>
      </c>
      <c r="E12" s="36"/>
      <c r="F12" s="36"/>
      <c r="G12" s="36">
        <v>1</v>
      </c>
      <c r="H12" s="36"/>
      <c r="I12" s="36"/>
      <c r="J12" s="36">
        <v>1</v>
      </c>
      <c r="K12" s="36"/>
      <c r="L12" s="36"/>
      <c r="M12" s="36">
        <v>1</v>
      </c>
      <c r="N12" s="36"/>
      <c r="O12" s="36"/>
      <c r="P12" s="36">
        <v>1</v>
      </c>
      <c r="Q12" s="36">
        <f t="shared" si="0"/>
        <v>700</v>
      </c>
      <c r="R12" s="36" t="s">
        <v>270</v>
      </c>
      <c r="S12" s="36">
        <v>900</v>
      </c>
    </row>
    <row r="13" spans="1:19">
      <c r="A13" s="36" t="s">
        <v>351</v>
      </c>
      <c r="B13" s="36">
        <v>1</v>
      </c>
      <c r="C13" s="36">
        <v>1</v>
      </c>
      <c r="D13" s="36">
        <v>1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>
        <f t="shared" si="0"/>
        <v>700</v>
      </c>
      <c r="R13" s="36" t="s">
        <v>356</v>
      </c>
      <c r="S13" s="36">
        <v>700</v>
      </c>
    </row>
    <row r="14" spans="1:19">
      <c r="A14" s="36" t="s">
        <v>352</v>
      </c>
      <c r="B14" s="36"/>
      <c r="C14" s="36"/>
      <c r="D14" s="36"/>
      <c r="E14" s="36">
        <v>1</v>
      </c>
      <c r="F14" s="36">
        <v>1</v>
      </c>
      <c r="G14" s="36">
        <v>1</v>
      </c>
      <c r="H14" s="36"/>
      <c r="I14" s="36"/>
      <c r="J14" s="36"/>
      <c r="K14" s="36"/>
      <c r="L14" s="36"/>
      <c r="M14" s="36"/>
      <c r="N14" s="36"/>
      <c r="O14" s="36"/>
      <c r="P14" s="36"/>
      <c r="Q14" s="36">
        <f t="shared" si="0"/>
        <v>500</v>
      </c>
      <c r="R14" s="36" t="s">
        <v>356</v>
      </c>
      <c r="S14" s="36">
        <v>500</v>
      </c>
    </row>
    <row r="15" spans="1:19">
      <c r="A15" s="36" t="s">
        <v>353</v>
      </c>
      <c r="B15" s="36"/>
      <c r="C15" s="36"/>
      <c r="D15" s="36"/>
      <c r="E15" s="36"/>
      <c r="F15" s="36"/>
      <c r="G15" s="36"/>
      <c r="H15" s="36">
        <v>1</v>
      </c>
      <c r="I15" s="36">
        <v>1</v>
      </c>
      <c r="J15" s="36">
        <v>1</v>
      </c>
      <c r="K15" s="36"/>
      <c r="L15" s="36"/>
      <c r="M15" s="36"/>
      <c r="N15" s="36"/>
      <c r="O15" s="36"/>
      <c r="P15" s="36"/>
      <c r="Q15" s="36">
        <f t="shared" si="0"/>
        <v>100</v>
      </c>
      <c r="R15" s="36" t="s">
        <v>356</v>
      </c>
      <c r="S15" s="36">
        <v>100</v>
      </c>
    </row>
    <row r="16" spans="1:19">
      <c r="A16" s="36" t="s">
        <v>354</v>
      </c>
      <c r="B16" s="36"/>
      <c r="C16" s="36"/>
      <c r="D16" s="36"/>
      <c r="E16" s="36"/>
      <c r="F16" s="36"/>
      <c r="G16" s="36"/>
      <c r="H16" s="36"/>
      <c r="I16" s="36"/>
      <c r="J16" s="36"/>
      <c r="K16" s="36">
        <v>1</v>
      </c>
      <c r="L16" s="36">
        <v>1</v>
      </c>
      <c r="M16" s="36">
        <v>1</v>
      </c>
      <c r="N16" s="36"/>
      <c r="O16" s="36"/>
      <c r="P16" s="36"/>
      <c r="Q16" s="36">
        <f t="shared" si="0"/>
        <v>800</v>
      </c>
      <c r="R16" s="36" t="s">
        <v>356</v>
      </c>
      <c r="S16" s="36">
        <v>800</v>
      </c>
    </row>
    <row r="17" spans="1:19">
      <c r="A17" s="36" t="s">
        <v>355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>
        <v>1</v>
      </c>
      <c r="O17" s="36">
        <v>1</v>
      </c>
      <c r="P17" s="36">
        <v>1</v>
      </c>
      <c r="Q17" s="36">
        <f t="shared" si="0"/>
        <v>400</v>
      </c>
      <c r="R17" s="36" t="s">
        <v>356</v>
      </c>
      <c r="S17" s="36">
        <v>400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BA62-B7FA-6649-BAA8-D2456DBC028C}">
  <dimension ref="A1:F18"/>
  <sheetViews>
    <sheetView workbookViewId="0">
      <selection activeCell="K38" sqref="K37:K38"/>
    </sheetView>
  </sheetViews>
  <sheetFormatPr baseColWidth="10" defaultRowHeight="16"/>
  <cols>
    <col min="1" max="1" width="15" bestFit="1" customWidth="1"/>
  </cols>
  <sheetData>
    <row r="1" spans="1:6" ht="20">
      <c r="A1" s="188" t="s">
        <v>382</v>
      </c>
      <c r="B1" s="188"/>
    </row>
    <row r="2" spans="1:6">
      <c r="B2" s="105" t="s">
        <v>384</v>
      </c>
      <c r="C2" s="105" t="s">
        <v>275</v>
      </c>
    </row>
    <row r="3" spans="1:6">
      <c r="A3" t="s">
        <v>266</v>
      </c>
      <c r="B3" s="174">
        <v>4</v>
      </c>
      <c r="C3" s="174">
        <v>12</v>
      </c>
    </row>
    <row r="4" spans="1:6">
      <c r="B4" s="5">
        <v>20</v>
      </c>
      <c r="C4" s="5">
        <v>10</v>
      </c>
    </row>
    <row r="6" spans="1:6">
      <c r="A6" t="s">
        <v>383</v>
      </c>
    </row>
    <row r="7" spans="1:6">
      <c r="A7" t="s">
        <v>69</v>
      </c>
      <c r="B7" s="165">
        <f>SUMPRODUCT(B4:C4,B3:C3)</f>
        <v>200</v>
      </c>
    </row>
    <row r="13" spans="1:6">
      <c r="A13" s="104" t="s">
        <v>385</v>
      </c>
      <c r="B13" s="104"/>
      <c r="C13" s="104"/>
      <c r="D13" s="104" t="s">
        <v>267</v>
      </c>
      <c r="E13" s="104" t="s">
        <v>268</v>
      </c>
      <c r="F13" s="104" t="s">
        <v>269</v>
      </c>
    </row>
    <row r="14" spans="1:6">
      <c r="A14" s="104" t="s">
        <v>388</v>
      </c>
      <c r="B14" s="104">
        <v>1.5</v>
      </c>
      <c r="C14" s="104">
        <v>3</v>
      </c>
      <c r="D14" s="104">
        <f>SUMPRODUCT(B14:C14,$B$3:$C$3)</f>
        <v>42</v>
      </c>
      <c r="E14" s="104" t="s">
        <v>270</v>
      </c>
      <c r="F14" s="104">
        <v>42</v>
      </c>
    </row>
    <row r="15" spans="1:6">
      <c r="A15" s="104" t="s">
        <v>389</v>
      </c>
      <c r="B15" s="104">
        <v>3</v>
      </c>
      <c r="C15" s="104">
        <v>1</v>
      </c>
      <c r="D15" s="104">
        <f>SUMPRODUCT(B15:C15,B3:C3)</f>
        <v>24</v>
      </c>
      <c r="E15" s="104" t="s">
        <v>270</v>
      </c>
      <c r="F15" s="104">
        <v>24</v>
      </c>
    </row>
    <row r="16" spans="1:6">
      <c r="A16" s="104" t="s">
        <v>386</v>
      </c>
      <c r="B16" s="104">
        <v>1</v>
      </c>
      <c r="C16" s="104"/>
      <c r="D16" s="104">
        <f>SUMPRODUCT(B16:C16,B3:C3)</f>
        <v>4</v>
      </c>
      <c r="E16" s="104" t="s">
        <v>270</v>
      </c>
      <c r="F16" s="104">
        <v>42</v>
      </c>
    </row>
    <row r="17" spans="1:6">
      <c r="A17" s="104" t="s">
        <v>387</v>
      </c>
      <c r="B17" s="104"/>
      <c r="C17" s="104">
        <v>1</v>
      </c>
      <c r="D17" s="104">
        <f>SUMPRODUCT(B17:C17,B3:C3)</f>
        <v>12</v>
      </c>
      <c r="E17" s="104" t="s">
        <v>270</v>
      </c>
      <c r="F17" s="104">
        <v>24</v>
      </c>
    </row>
    <row r="18" spans="1:6">
      <c r="A18" s="104"/>
      <c r="B18" s="104"/>
      <c r="C18" s="104"/>
      <c r="D18" s="104"/>
      <c r="E18" s="104"/>
      <c r="F18" s="104"/>
    </row>
  </sheetData>
  <mergeCells count="1">
    <mergeCell ref="A1:B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E7DC-54EF-834F-8721-453F1BE6B29B}">
  <dimension ref="A1:O29"/>
  <sheetViews>
    <sheetView workbookViewId="0">
      <selection activeCell="K4" sqref="K4"/>
    </sheetView>
  </sheetViews>
  <sheetFormatPr baseColWidth="10" defaultRowHeight="16"/>
  <cols>
    <col min="1" max="1" width="14.5" customWidth="1"/>
    <col min="2" max="2" width="12.5" bestFit="1" customWidth="1"/>
    <col min="4" max="4" width="11.5" bestFit="1" customWidth="1"/>
    <col min="9" max="9" width="11.5" bestFit="1" customWidth="1"/>
    <col min="11" max="11" width="11.5" bestFit="1" customWidth="1"/>
  </cols>
  <sheetData>
    <row r="1" spans="1:15">
      <c r="B1" s="3" t="s">
        <v>357</v>
      </c>
      <c r="C1" s="3" t="s">
        <v>358</v>
      </c>
      <c r="D1" s="3" t="s">
        <v>359</v>
      </c>
      <c r="E1" s="3" t="s">
        <v>360</v>
      </c>
      <c r="F1" s="3" t="s">
        <v>361</v>
      </c>
      <c r="G1" s="3" t="s">
        <v>362</v>
      </c>
      <c r="H1" s="3" t="s">
        <v>363</v>
      </c>
      <c r="I1" s="3" t="s">
        <v>364</v>
      </c>
      <c r="J1" s="3" t="s">
        <v>365</v>
      </c>
      <c r="K1" s="3" t="s">
        <v>366</v>
      </c>
    </row>
    <row r="2" spans="1:15">
      <c r="A2" s="168" t="s">
        <v>367</v>
      </c>
      <c r="B2" s="45">
        <v>10</v>
      </c>
      <c r="C2" s="45">
        <v>0</v>
      </c>
      <c r="D2" s="45">
        <v>10</v>
      </c>
      <c r="E2" s="45">
        <v>0</v>
      </c>
      <c r="F2" s="45">
        <v>0</v>
      </c>
      <c r="G2" s="45">
        <v>20</v>
      </c>
      <c r="H2" s="45">
        <v>15</v>
      </c>
      <c r="I2" s="45">
        <v>0</v>
      </c>
      <c r="J2" s="45">
        <v>10</v>
      </c>
      <c r="K2" s="45">
        <v>0</v>
      </c>
    </row>
    <row r="3" spans="1:15">
      <c r="A3" s="1" t="s">
        <v>368</v>
      </c>
      <c r="B3" s="169">
        <v>4000</v>
      </c>
      <c r="C3" s="169">
        <v>2000</v>
      </c>
      <c r="D3" s="169">
        <v>4000</v>
      </c>
      <c r="E3" s="169">
        <v>2000</v>
      </c>
      <c r="F3" s="169">
        <v>4000</v>
      </c>
      <c r="G3" s="169">
        <v>2000</v>
      </c>
      <c r="H3" s="169">
        <v>4000</v>
      </c>
      <c r="I3" s="169">
        <v>2000</v>
      </c>
      <c r="J3" s="169">
        <v>4000</v>
      </c>
      <c r="K3" s="169">
        <v>2000</v>
      </c>
    </row>
    <row r="5" spans="1:15"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6" spans="1:15">
      <c r="A6" s="1" t="s">
        <v>369</v>
      </c>
      <c r="B6" s="167"/>
      <c r="C6" s="167"/>
      <c r="D6" s="167"/>
      <c r="E6" s="167"/>
      <c r="F6" s="167"/>
      <c r="G6" s="167"/>
      <c r="H6" s="170" t="s">
        <v>46</v>
      </c>
      <c r="I6" s="170" t="s">
        <v>373</v>
      </c>
      <c r="J6" s="170" t="s">
        <v>374</v>
      </c>
      <c r="K6" s="170" t="s">
        <v>375</v>
      </c>
    </row>
    <row r="7" spans="1:15">
      <c r="A7" s="1" t="s">
        <v>370</v>
      </c>
      <c r="B7" s="166">
        <f>SUMPRODUCT(B3:K3,B2:K2)</f>
        <v>220000</v>
      </c>
      <c r="C7" t="str">
        <f ca="1">_xlfn.FORMULATEXT(B7)</f>
        <v>=SUMPRODUCT(B3:K3,B2:K2)</v>
      </c>
      <c r="H7" s="104">
        <v>1</v>
      </c>
      <c r="I7" s="170">
        <v>10000</v>
      </c>
      <c r="J7" s="36">
        <v>60</v>
      </c>
      <c r="K7" s="81">
        <f>I7*J7</f>
        <v>600000</v>
      </c>
    </row>
    <row r="8" spans="1:15">
      <c r="A8" s="1" t="s">
        <v>371</v>
      </c>
      <c r="B8" s="173">
        <f>B7+K12</f>
        <v>3420000</v>
      </c>
      <c r="C8" t="str">
        <f ca="1">_xlfn.FORMULATEXT(B8)</f>
        <v>=B7+K12</v>
      </c>
      <c r="H8" s="104">
        <v>2</v>
      </c>
      <c r="I8" s="170">
        <v>10000</v>
      </c>
      <c r="J8" s="36">
        <v>70</v>
      </c>
      <c r="K8" s="81">
        <f t="shared" ref="K8:K11" si="0">I8*J8</f>
        <v>700000</v>
      </c>
    </row>
    <row r="9" spans="1:15">
      <c r="H9" s="104">
        <v>3</v>
      </c>
      <c r="I9" s="170">
        <v>10000</v>
      </c>
      <c r="J9" s="36">
        <v>50</v>
      </c>
      <c r="K9" s="81">
        <f t="shared" si="0"/>
        <v>500000</v>
      </c>
    </row>
    <row r="10" spans="1:15">
      <c r="A10" s="171" t="s">
        <v>372</v>
      </c>
      <c r="B10" s="172"/>
      <c r="C10" s="172">
        <v>50</v>
      </c>
      <c r="D10" s="105"/>
      <c r="E10" s="105"/>
      <c r="F10" s="105"/>
      <c r="H10" s="104">
        <v>4</v>
      </c>
      <c r="I10" s="170">
        <v>10000</v>
      </c>
      <c r="J10" s="36">
        <v>65</v>
      </c>
      <c r="K10" s="81">
        <f t="shared" si="0"/>
        <v>650000</v>
      </c>
    </row>
    <row r="11" spans="1:15">
      <c r="H11" s="104">
        <v>5</v>
      </c>
      <c r="I11" s="170">
        <v>10000</v>
      </c>
      <c r="J11" s="36">
        <v>75</v>
      </c>
      <c r="K11" s="81">
        <f t="shared" si="0"/>
        <v>750000</v>
      </c>
    </row>
    <row r="12" spans="1:15">
      <c r="B12" s="166"/>
      <c r="C12" s="166"/>
      <c r="D12" s="166"/>
      <c r="E12" s="166"/>
      <c r="F12" s="166"/>
      <c r="H12" s="202" t="s">
        <v>375</v>
      </c>
      <c r="I12" s="199"/>
      <c r="J12" s="199"/>
      <c r="K12" s="81">
        <f>SUM(K7:K11)</f>
        <v>3200000</v>
      </c>
    </row>
    <row r="15" spans="1:15">
      <c r="A15" s="194" t="s">
        <v>376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6"/>
      <c r="L15" s="106" t="s">
        <v>267</v>
      </c>
      <c r="M15" s="106" t="s">
        <v>268</v>
      </c>
      <c r="N15" s="106" t="s">
        <v>269</v>
      </c>
    </row>
    <row r="16" spans="1:15">
      <c r="A16" s="35" t="s">
        <v>377</v>
      </c>
      <c r="B16" s="104">
        <v>1</v>
      </c>
      <c r="C16" s="104">
        <v>-1</v>
      </c>
      <c r="D16" s="104"/>
      <c r="E16" s="104"/>
      <c r="F16" s="104"/>
      <c r="G16" s="104"/>
      <c r="H16" s="104"/>
      <c r="I16" s="104"/>
      <c r="J16" s="104"/>
      <c r="K16" s="104"/>
      <c r="L16" s="104">
        <f>SUMPRODUCT(B16:K16,B2:K2)+C10</f>
        <v>60</v>
      </c>
      <c r="M16" s="104" t="s">
        <v>356</v>
      </c>
      <c r="N16" s="104">
        <v>60</v>
      </c>
      <c r="O16" t="str">
        <f ca="1">_xlfn.FORMULATEXT(L16)</f>
        <v>=SUMPRODUCT(B16:K16,B2:K2)+C10</v>
      </c>
    </row>
    <row r="17" spans="1:15">
      <c r="A17" s="35" t="s">
        <v>378</v>
      </c>
      <c r="B17" s="104"/>
      <c r="C17" s="104"/>
      <c r="D17" s="104">
        <v>1</v>
      </c>
      <c r="E17" s="104">
        <v>-1</v>
      </c>
      <c r="F17" s="104"/>
      <c r="G17" s="104"/>
      <c r="H17" s="104"/>
      <c r="I17" s="104"/>
      <c r="J17" s="104"/>
      <c r="K17" s="104"/>
      <c r="L17" s="104">
        <f>SUMPRODUCT($B$2:$K$2,B17:K17)+N16</f>
        <v>70</v>
      </c>
      <c r="M17" s="104" t="s">
        <v>356</v>
      </c>
      <c r="N17" s="104">
        <v>70</v>
      </c>
      <c r="O17" t="str">
        <f t="shared" ref="O17:O20" ca="1" si="1">_xlfn.FORMULATEXT(L17)</f>
        <v>=SUMPRODUCT($B$2:$K$2,B17:K17)+N16</v>
      </c>
    </row>
    <row r="18" spans="1:15">
      <c r="A18" s="35" t="s">
        <v>379</v>
      </c>
      <c r="B18" s="104"/>
      <c r="C18" s="104"/>
      <c r="D18" s="104"/>
      <c r="E18" s="104"/>
      <c r="F18" s="104">
        <v>1</v>
      </c>
      <c r="G18" s="104">
        <v>-1</v>
      </c>
      <c r="H18" s="104"/>
      <c r="I18" s="104"/>
      <c r="J18" s="104"/>
      <c r="K18" s="104"/>
      <c r="L18" s="104">
        <f t="shared" ref="L18:L20" si="2">SUMPRODUCT($B$2:$K$2,B18:K18)+N17</f>
        <v>50</v>
      </c>
      <c r="M18" s="104" t="s">
        <v>356</v>
      </c>
      <c r="N18" s="104">
        <v>50</v>
      </c>
      <c r="O18" t="str">
        <f t="shared" ca="1" si="1"/>
        <v>=SUMPRODUCT($B$2:$K$2,B18:K18)+N17</v>
      </c>
    </row>
    <row r="19" spans="1:15">
      <c r="A19" s="35" t="s">
        <v>380</v>
      </c>
      <c r="B19" s="104"/>
      <c r="C19" s="104"/>
      <c r="D19" s="104"/>
      <c r="E19" s="104"/>
      <c r="F19" s="104"/>
      <c r="G19" s="104"/>
      <c r="H19" s="104">
        <v>1</v>
      </c>
      <c r="I19" s="104">
        <v>-1</v>
      </c>
      <c r="J19" s="104"/>
      <c r="K19" s="104"/>
      <c r="L19" s="104">
        <f t="shared" si="2"/>
        <v>65</v>
      </c>
      <c r="M19" s="104" t="s">
        <v>356</v>
      </c>
      <c r="N19" s="104">
        <v>65</v>
      </c>
      <c r="O19" t="str">
        <f t="shared" ca="1" si="1"/>
        <v>=SUMPRODUCT($B$2:$K$2,B19:K19)+N18</v>
      </c>
    </row>
    <row r="20" spans="1:15">
      <c r="A20" s="35" t="s">
        <v>381</v>
      </c>
      <c r="B20" s="104"/>
      <c r="C20" s="104"/>
      <c r="D20" s="104"/>
      <c r="E20" s="104"/>
      <c r="F20" s="104"/>
      <c r="G20" s="104"/>
      <c r="H20" s="104"/>
      <c r="I20" s="104"/>
      <c r="J20" s="104">
        <v>1</v>
      </c>
      <c r="K20" s="104">
        <v>-1</v>
      </c>
      <c r="L20" s="104">
        <f t="shared" si="2"/>
        <v>75</v>
      </c>
      <c r="M20" s="104" t="s">
        <v>356</v>
      </c>
      <c r="N20" s="104">
        <v>75</v>
      </c>
      <c r="O20" t="str">
        <f t="shared" ca="1" si="1"/>
        <v>=SUMPRODUCT($B$2:$K$2,B20:K20)+N19</v>
      </c>
    </row>
    <row r="24" spans="1:15"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5" spans="1:1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</row>
    <row r="26" spans="1:15">
      <c r="A26" s="143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</row>
    <row r="27" spans="1:1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</row>
    <row r="28" spans="1:1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</row>
    <row r="29" spans="1:1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</row>
  </sheetData>
  <mergeCells count="2">
    <mergeCell ref="A15:K15"/>
    <mergeCell ref="H12:J12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Budget Model</vt:lpstr>
      <vt:lpstr>NCAA Profits</vt:lpstr>
      <vt:lpstr>Woodworks Bookshelf Co.</vt:lpstr>
      <vt:lpstr>Petrol Assignment</vt:lpstr>
      <vt:lpstr>Quality Sweater Company</vt:lpstr>
      <vt:lpstr>Haute Dog Assigment</vt:lpstr>
      <vt:lpstr>B &amp; N Bookstore</vt:lpstr>
      <vt:lpstr>Copy Shop Assignment</vt:lpstr>
      <vt:lpstr>What if Analysis</vt:lpstr>
      <vt:lpstr>The 19th Hole</vt:lpstr>
      <vt:lpstr>Exercist Equiptment Co. Assignm</vt:lpstr>
      <vt:lpstr>Gopher Drugs</vt:lpstr>
      <vt:lpstr>Net Present Value Assignment</vt:lpstr>
      <vt:lpstr>Decision Thru Regression &amp; NPV</vt:lpstr>
      <vt:lpstr>Bluejay Natural Gas Assignment</vt:lpstr>
      <vt:lpstr>Linear Programming</vt:lpstr>
      <vt:lpstr>PC Tech Company</vt:lpstr>
      <vt:lpstr>Furniture Company</vt:lpstr>
      <vt:lpstr>Investment Allocation</vt:lpstr>
      <vt:lpstr>Practice Assignment</vt:lpstr>
      <vt:lpstr>Busing Problem</vt:lpstr>
      <vt:lpstr>Linear Programming Final</vt:lpstr>
      <vt:lpstr>Bus Company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Aidan Dean-Jones</dc:creator>
  <cp:keywords/>
  <dc:description/>
  <cp:lastModifiedBy>Aidan Dean-Jones</cp:lastModifiedBy>
  <cp:revision/>
  <dcterms:created xsi:type="dcterms:W3CDTF">2024-10-23T18:15:19Z</dcterms:created>
  <dcterms:modified xsi:type="dcterms:W3CDTF">2024-12-17T19:14:31Z</dcterms:modified>
  <cp:category/>
  <cp:contentStatus/>
</cp:coreProperties>
</file>