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OBLENG\Documents\R\EnergyFinancialMarkets\attachments\"/>
    </mc:Choice>
  </mc:AlternateContent>
  <xr:revisionPtr revIDLastSave="0" documentId="13_ncr:1_{57B5D92D-1E87-4EA8-8BC9-4C8079F46497}" xr6:coauthVersionLast="47" xr6:coauthVersionMax="47" xr10:uidLastSave="{00000000-0000-0000-0000-000000000000}"/>
  <bookViews>
    <workbookView xWindow="-120" yWindow="-120" windowWidth="29040" windowHeight="15840" activeTab="1" xr2:uid="{48374B34-B6E2-49DF-8B86-4DCCD7E8133D}"/>
  </bookViews>
  <sheets>
    <sheet name="2.prices_BQH2025" sheetId="2" r:id="rId1"/>
    <sheet name="PDF" sheetId="3" r:id="rId2"/>
    <sheet name="Spark Energy" sheetId="1" r:id="rId3"/>
  </sheets>
  <definedNames>
    <definedName name="Current_price">PDF!$H$24</definedName>
    <definedName name="Days_in_year">PDF!$H$8</definedName>
    <definedName name="Flat_Swaps_capacity">'Spark Energy'!$B$4</definedName>
    <definedName name="Generation_capacity">'Spark Energy'!$B$3</definedName>
    <definedName name="h">PDF!$H$7</definedName>
    <definedName name="Holding_period">'Spark Energy'!$B$8</definedName>
    <definedName name="Holding_period_hours">'Spark Energy'!$B$14</definedName>
    <definedName name="Hours_in_day">'Spark Energy'!$B$13</definedName>
    <definedName name="Hours_in_year">'Spark Energy'!$B$15</definedName>
    <definedName name="Increment">'2.prices_BQH2025'!$N$13</definedName>
    <definedName name="Maximum">'2.prices_BQH2025'!$N$9</definedName>
    <definedName name="Mean">'2.prices_BQH2025'!$N$5</definedName>
    <definedName name="Mean_price">'Spark Energy'!$B$10</definedName>
    <definedName name="Minimum">'2.prices_BQH2025'!$N$8</definedName>
    <definedName name="std_dev">'2.prices_BQH2025'!$N$6</definedName>
    <definedName name="Std_dev_price">'Spark Energy'!$B$11</definedName>
    <definedName name="Strike_price">PDF!$H$13</definedName>
    <definedName name="Swap_contract_hours">'Spark Energy'!$B$7</definedName>
    <definedName name="Swap_strike_price">'Spark Energy'!$B$5</definedName>
    <definedName name="z_score_cut_off">'Spark Energy'!$B$17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8" i="3" l="1"/>
  <c r="H12" i="3"/>
  <c r="H6" i="3"/>
  <c r="C3" i="3"/>
  <c r="C4" i="3"/>
  <c r="C5" i="3"/>
  <c r="C6" i="3"/>
  <c r="C7" i="3"/>
  <c r="C8" i="3"/>
  <c r="C9" i="3"/>
  <c r="C10" i="3"/>
  <c r="C11" i="3"/>
  <c r="C12" i="3"/>
  <c r="C13" i="3"/>
  <c r="C14" i="3"/>
  <c r="C15" i="3"/>
  <c r="C16" i="3"/>
  <c r="C17" i="3"/>
  <c r="C18" i="3"/>
  <c r="C19" i="3"/>
  <c r="C20" i="3"/>
  <c r="C21" i="3"/>
  <c r="C22" i="3"/>
  <c r="C23" i="3"/>
  <c r="C24" i="3"/>
  <c r="C2" i="3"/>
  <c r="B25" i="3"/>
  <c r="E24" i="3"/>
  <c r="E3" i="3"/>
  <c r="E4" i="3"/>
  <c r="E5" i="3"/>
  <c r="E6" i="3"/>
  <c r="E7" i="3"/>
  <c r="E8" i="3"/>
  <c r="E9" i="3"/>
  <c r="E10" i="3"/>
  <c r="E11" i="3"/>
  <c r="E12" i="3"/>
  <c r="E13" i="3"/>
  <c r="E14" i="3"/>
  <c r="E15" i="3"/>
  <c r="E16" i="3"/>
  <c r="E17" i="3"/>
  <c r="E18" i="3"/>
  <c r="E19" i="3"/>
  <c r="E20" i="3"/>
  <c r="E21" i="3"/>
  <c r="E22" i="3"/>
  <c r="E23" i="3"/>
  <c r="E2" i="3"/>
  <c r="H22" i="3"/>
  <c r="H27" i="3" s="1"/>
  <c r="H20" i="3"/>
  <c r="H4" i="3"/>
  <c r="H9" i="3" s="1"/>
  <c r="D24" i="3"/>
  <c r="D3" i="3"/>
  <c r="D4" i="3"/>
  <c r="D5" i="3"/>
  <c r="D6" i="3"/>
  <c r="D7" i="3"/>
  <c r="D8" i="3"/>
  <c r="D9" i="3"/>
  <c r="D10" i="3"/>
  <c r="D11" i="3"/>
  <c r="D12" i="3"/>
  <c r="D13" i="3"/>
  <c r="D14" i="3"/>
  <c r="D15" i="3"/>
  <c r="D16" i="3"/>
  <c r="D17" i="3"/>
  <c r="D18" i="3"/>
  <c r="D19" i="3"/>
  <c r="D20" i="3"/>
  <c r="D21" i="3"/>
  <c r="D22" i="3"/>
  <c r="D23" i="3"/>
  <c r="D2" i="3"/>
  <c r="H3" i="3"/>
  <c r="H2" i="3"/>
  <c r="H5" i="3" s="1"/>
  <c r="N6" i="2"/>
  <c r="N5" i="2"/>
  <c r="M18" i="2"/>
  <c r="M19" i="2" s="1"/>
  <c r="M20" i="2" s="1"/>
  <c r="M21" i="2" s="1"/>
  <c r="M22" i="2" s="1"/>
  <c r="M23" i="2" s="1"/>
  <c r="M24" i="2" s="1"/>
  <c r="M25" i="2" s="1"/>
  <c r="M26" i="2" s="1"/>
  <c r="M27" i="2" s="1"/>
  <c r="M28" i="2" s="1"/>
  <c r="M29" i="2" s="1"/>
  <c r="M30" i="2" s="1"/>
  <c r="M31" i="2" s="1"/>
  <c r="M32" i="2" s="1"/>
  <c r="M33" i="2" s="1"/>
  <c r="M34" i="2" s="1"/>
  <c r="M35" i="2" s="1"/>
  <c r="M36" i="2" s="1"/>
  <c r="M37" i="2" s="1"/>
  <c r="M17" i="2"/>
  <c r="N9" i="2"/>
  <c r="N8" i="2"/>
  <c r="H11" i="3" l="1"/>
  <c r="H25" i="3" s="1"/>
  <c r="N10" i="2"/>
  <c r="N11" i="2"/>
  <c r="N16" i="2"/>
  <c r="N13" i="2" l="1"/>
  <c r="N17" i="2" s="1"/>
  <c r="N18" i="2" s="1"/>
  <c r="N19" i="2" s="1"/>
  <c r="N20" i="2" s="1"/>
  <c r="N21" i="2" s="1"/>
  <c r="N22" i="2" s="1"/>
  <c r="N23" i="2" s="1"/>
  <c r="N24" i="2" s="1"/>
  <c r="N25" i="2" s="1"/>
  <c r="N26" i="2" s="1"/>
  <c r="N27" i="2" s="1"/>
  <c r="N28" i="2" s="1"/>
  <c r="N29" i="2" s="1"/>
  <c r="N30" i="2" s="1"/>
  <c r="N31" i="2" s="1"/>
  <c r="N32" i="2" s="1"/>
  <c r="N33" i="2" s="1"/>
  <c r="N34" i="2" s="1"/>
  <c r="N35" i="2" s="1"/>
  <c r="N36" i="2" s="1"/>
  <c r="N37" i="2" s="1"/>
  <c r="J2" i="2" l="1"/>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D18" i="1"/>
  <c r="D23" i="1" s="1"/>
  <c r="B18" i="1"/>
  <c r="B26" i="1" s="1"/>
  <c r="B20" i="1"/>
  <c r="B21" i="1" s="1"/>
  <c r="B14" i="1"/>
  <c r="B30" i="1" l="1"/>
  <c r="B29" i="1"/>
  <c r="B31" i="1" s="1"/>
  <c r="B25" i="1"/>
  <c r="B27" i="1" s="1"/>
  <c r="B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Coble-Neal</author>
  </authors>
  <commentList>
    <comment ref="H27" authorId="0" shapeId="0" xr:uid="{1DBC56FE-6957-40DA-A0B6-B810E41AA23E}">
      <text>
        <r>
          <rPr>
            <b/>
            <sz val="9"/>
            <color indexed="81"/>
            <rFont val="Tahoma"/>
            <family val="2"/>
          </rPr>
          <t>Grant Coble-Neal:</t>
        </r>
        <r>
          <rPr>
            <sz val="9"/>
            <color indexed="81"/>
            <rFont val="Tahoma"/>
            <family val="2"/>
          </rPr>
          <t xml:space="preserve">
Assumes price stays at cut-off the whole holding period</t>
        </r>
      </text>
    </comment>
  </commentList>
</comments>
</file>

<file path=xl/sharedStrings.xml><?xml version="1.0" encoding="utf-8"?>
<sst xmlns="http://schemas.openxmlformats.org/spreadsheetml/2006/main" count="331" uniqueCount="69">
  <si>
    <t>Generation capacity</t>
  </si>
  <si>
    <t>MW</t>
  </si>
  <si>
    <t>Flat Swaps capacity</t>
  </si>
  <si>
    <t>Swap strike price</t>
  </si>
  <si>
    <t>/MWh</t>
  </si>
  <si>
    <t>Contract</t>
  </si>
  <si>
    <t>Q1 2025</t>
  </si>
  <si>
    <t>Swap contract hours</t>
  </si>
  <si>
    <t>Holding period</t>
  </si>
  <si>
    <t>days</t>
  </si>
  <si>
    <t>Mean price</t>
  </si>
  <si>
    <t>Hours in day</t>
  </si>
  <si>
    <t>Std dev price</t>
  </si>
  <si>
    <t>Holding period hours</t>
  </si>
  <si>
    <t>Hours in year</t>
  </si>
  <si>
    <t>z score cut-off</t>
  </si>
  <si>
    <t>Unhedged capacity</t>
  </si>
  <si>
    <t>Unhedged volume over holding period</t>
  </si>
  <si>
    <t>MWh</t>
  </si>
  <si>
    <t>Value at Risk</t>
  </si>
  <si>
    <t>Price at cut-off (one hour)</t>
  </si>
  <si>
    <t>Swap revenue @ cut-off price</t>
  </si>
  <si>
    <t>Generation revenue @ 100% capacity and upper cut-off price</t>
  </si>
  <si>
    <t>Generation revenue @ 100% capacity and lower cut-off price</t>
  </si>
  <si>
    <t>Swap revenue @ upper cut-off price</t>
  </si>
  <si>
    <t>contract_code</t>
  </si>
  <si>
    <t>trading_date</t>
  </si>
  <si>
    <t>open</t>
  </si>
  <si>
    <t>high</t>
  </si>
  <si>
    <t>low</t>
  </si>
  <si>
    <t>settle</t>
  </si>
  <si>
    <t>net_change</t>
  </si>
  <si>
    <t>volume</t>
  </si>
  <si>
    <t>open_interest</t>
  </si>
  <si>
    <t>BQH2025</t>
  </si>
  <si>
    <t>returns</t>
  </si>
  <si>
    <t>Minimum</t>
  </si>
  <si>
    <t>Maximum</t>
  </si>
  <si>
    <t>Range</t>
  </si>
  <si>
    <t>Bin number</t>
  </si>
  <si>
    <t>Index</t>
  </si>
  <si>
    <t>Increment</t>
  </si>
  <si>
    <t>Return</t>
  </si>
  <si>
    <t>Bin</t>
  </si>
  <si>
    <t>More</t>
  </si>
  <si>
    <t>Frequency</t>
  </si>
  <si>
    <t>Mean</t>
  </si>
  <si>
    <t>std dev</t>
  </si>
  <si>
    <t>Std dev</t>
  </si>
  <si>
    <t>Normal distribution</t>
  </si>
  <si>
    <t>Z score</t>
  </si>
  <si>
    <t>Days in year</t>
  </si>
  <si>
    <t>Movement</t>
  </si>
  <si>
    <t>Current price</t>
  </si>
  <si>
    <t xml:space="preserve">Swap hours </t>
  </si>
  <si>
    <t>hours</t>
  </si>
  <si>
    <t>Days in quarter</t>
  </si>
  <si>
    <t>Hours in quarter</t>
  </si>
  <si>
    <t>Hours in holding period</t>
  </si>
  <si>
    <t>Price distribution</t>
  </si>
  <si>
    <t>Swap maximum value at lower cut-off</t>
  </si>
  <si>
    <t>Lower cut-off (1 day)</t>
  </si>
  <si>
    <t>Lower cut-off (30 days)</t>
  </si>
  <si>
    <t>Upper cut-off (30 days)</t>
  </si>
  <si>
    <t>Upper cut-off (1 day)</t>
  </si>
  <si>
    <t>Swap maximum value at upper cut-off</t>
  </si>
  <si>
    <t>Lower cut-off price</t>
  </si>
  <si>
    <t>Upper cut-off price</t>
  </si>
  <si>
    <t>Portion of total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</si>
</sst>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2" formatCode="_-&quot;$&quot;* #,##0_-;\-&quot;$&quot;* #,##0_-;_-&quot;$&quot;* &quot;-&quot;_-;_-@_-"/>
    <numFmt numFmtId="44" formatCode="_-&quot;$&quot;* #,##0.00_-;\-&quot;$&quot;* #,##0.00_-;_-&quot;$&quot;* &quot;-&quot;??_-;_-@_-"/>
    <numFmt numFmtId="164" formatCode="_-&quot;$&quot;* #,##0_-;\-&quot;$&quot;* #,##0_-;_-&quot;$&quot;* &quot;-&quot;??_-;_-@_-"/>
    <numFmt numFmtId="165" formatCode="0.0%"/>
  </numFmts>
  <fonts count="5" x14ac:knownFonts="1">
    <font>
      <sz val="11"/>
      <color theme="1"/>
      <name val="Arial"/>
      <family val="2"/>
    </font>
    <font>
      <sz val="11"/>
      <color theme="1"/>
      <name val="Arial"/>
      <family val="2"/>
    </font>
    <font>
      <i/>
      <sz val="11"/>
      <color theme="1"/>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style="thin">
        <color indexed="64"/>
      </top>
      <bottom style="double">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3">
    <xf numFmtId="0" fontId="0" fillId="0" borderId="0" xfId="0"/>
    <xf numFmtId="6" fontId="0" fillId="0" borderId="0" xfId="0" applyNumberFormat="1"/>
    <xf numFmtId="0" fontId="0" fillId="0" borderId="0" xfId="0" quotePrefix="1"/>
    <xf numFmtId="3" fontId="0" fillId="0" borderId="0" xfId="0" applyNumberFormat="1"/>
    <xf numFmtId="44" fontId="0" fillId="0" borderId="0" xfId="1" applyFont="1"/>
    <xf numFmtId="164" fontId="0" fillId="0" borderId="0" xfId="0" applyNumberFormat="1"/>
    <xf numFmtId="164" fontId="0" fillId="0" borderId="1" xfId="0" applyNumberFormat="1" applyBorder="1"/>
    <xf numFmtId="14" fontId="0" fillId="0" borderId="0" xfId="0" applyNumberFormat="1"/>
    <xf numFmtId="9" fontId="0" fillId="0" borderId="0" xfId="2" applyFont="1"/>
    <xf numFmtId="165" fontId="0" fillId="0" borderId="0" xfId="2" applyNumberFormat="1" applyFont="1"/>
    <xf numFmtId="165" fontId="0" fillId="0" borderId="0" xfId="0" applyNumberFormat="1"/>
    <xf numFmtId="165" fontId="0" fillId="0" borderId="0" xfId="0" applyNumberFormat="1" applyFill="1" applyBorder="1" applyAlignment="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10" fontId="0" fillId="0" borderId="0" xfId="2" applyNumberFormat="1" applyFont="1"/>
    <xf numFmtId="10" fontId="0" fillId="0" borderId="0" xfId="0" applyNumberFormat="1"/>
    <xf numFmtId="164" fontId="0" fillId="0" borderId="0" xfId="1" applyNumberFormat="1" applyFont="1"/>
    <xf numFmtId="44" fontId="0" fillId="0" borderId="0" xfId="0" applyNumberFormat="1"/>
    <xf numFmtId="42" fontId="0" fillId="0" borderId="0" xfId="1" applyNumberFormat="1" applyFont="1"/>
    <xf numFmtId="165" fontId="0" fillId="0" borderId="0" xfId="2" applyNumberFormat="1" applyFont="1" applyFill="1" applyBorder="1" applyAlignment="1"/>
    <xf numFmtId="165" fontId="0" fillId="2" borderId="0" xfId="2" applyNumberFormat="1" applyFont="1" applyFill="1" applyBorder="1" applyAlignment="1"/>
    <xf numFmtId="0" fontId="2" fillId="0" borderId="0" xfId="0" applyFont="1" applyFill="1" applyBorder="1" applyAlignment="1">
      <alignment horizontal="left" vertical="top"/>
    </xf>
  </cellXfs>
  <cellStyles count="3">
    <cellStyle name="Currency" xfId="1" builtinId="4"/>
    <cellStyle name="Normal" xfId="0" builtinId="0"/>
    <cellStyle name="Percent" xfId="2" builtinId="5"/>
  </cellStyles>
  <dxfs count="1">
    <dxf>
      <numFmt numFmtId="19" formatCode="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returns</a:t>
            </a:r>
            <a:r>
              <a:rPr lang="en-AU" baseline="0"/>
              <a:t> over one year</a:t>
            </a:r>
            <a:endParaRPr lang="en-AU"/>
          </a:p>
        </c:rich>
      </c:tx>
      <c:overlay val="0"/>
    </c:title>
    <c:autoTitleDeleted val="0"/>
    <c:plotArea>
      <c:layout/>
      <c:barChart>
        <c:barDir val="col"/>
        <c:grouping val="clustered"/>
        <c:varyColors val="0"/>
        <c:ser>
          <c:idx val="0"/>
          <c:order val="0"/>
          <c:tx>
            <c:v>Frequency</c:v>
          </c:tx>
          <c:invertIfNegative val="0"/>
          <c:dPt>
            <c:idx val="11"/>
            <c:invertIfNegative val="0"/>
            <c:bubble3D val="0"/>
            <c:spPr>
              <a:solidFill>
                <a:srgbClr val="92D050"/>
              </a:solidFill>
            </c:spPr>
            <c:extLst>
              <c:ext xmlns:c16="http://schemas.microsoft.com/office/drawing/2014/chart" uri="{C3380CC4-5D6E-409C-BE32-E72D297353CC}">
                <c16:uniqueId val="{00000007-5DB1-49D6-B00E-67D5C2A3D1F2}"/>
              </c:ext>
            </c:extLst>
          </c:dPt>
          <c:dPt>
            <c:idx val="12"/>
            <c:invertIfNegative val="0"/>
            <c:bubble3D val="0"/>
            <c:spPr>
              <a:solidFill>
                <a:srgbClr val="92D050"/>
              </a:solidFill>
            </c:spPr>
            <c:extLst>
              <c:ext xmlns:c16="http://schemas.microsoft.com/office/drawing/2014/chart" uri="{C3380CC4-5D6E-409C-BE32-E72D297353CC}">
                <c16:uniqueId val="{00000006-5DB1-49D6-B00E-67D5C2A3D1F2}"/>
              </c:ext>
            </c:extLst>
          </c:dPt>
          <c:dPt>
            <c:idx val="13"/>
            <c:invertIfNegative val="0"/>
            <c:bubble3D val="0"/>
            <c:spPr>
              <a:solidFill>
                <a:srgbClr val="92D050"/>
              </a:solidFill>
            </c:spPr>
            <c:extLst>
              <c:ext xmlns:c16="http://schemas.microsoft.com/office/drawing/2014/chart" uri="{C3380CC4-5D6E-409C-BE32-E72D297353CC}">
                <c16:uniqueId val="{00000008-5DB1-49D6-B00E-67D5C2A3D1F2}"/>
              </c:ext>
            </c:extLst>
          </c:dPt>
          <c:dPt>
            <c:idx val="17"/>
            <c:invertIfNegative val="0"/>
            <c:bubble3D val="0"/>
            <c:spPr>
              <a:solidFill>
                <a:srgbClr val="FFC000"/>
              </a:solidFill>
              <a:ln>
                <a:solidFill>
                  <a:srgbClr val="FFC000"/>
                </a:solidFill>
              </a:ln>
            </c:spPr>
            <c:extLst>
              <c:ext xmlns:c16="http://schemas.microsoft.com/office/drawing/2014/chart" uri="{C3380CC4-5D6E-409C-BE32-E72D297353CC}">
                <c16:uniqueId val="{00000003-5DB1-49D6-B00E-67D5C2A3D1F2}"/>
              </c:ext>
            </c:extLst>
          </c:dPt>
          <c:dPt>
            <c:idx val="18"/>
            <c:invertIfNegative val="0"/>
            <c:bubble3D val="0"/>
            <c:spPr>
              <a:solidFill>
                <a:srgbClr val="FFC000"/>
              </a:solidFill>
              <a:ln>
                <a:solidFill>
                  <a:srgbClr val="FFC000"/>
                </a:solidFill>
              </a:ln>
            </c:spPr>
            <c:extLst>
              <c:ext xmlns:c16="http://schemas.microsoft.com/office/drawing/2014/chart" uri="{C3380CC4-5D6E-409C-BE32-E72D297353CC}">
                <c16:uniqueId val="{00000004-5DB1-49D6-B00E-67D5C2A3D1F2}"/>
              </c:ext>
            </c:extLst>
          </c:dPt>
          <c:dPt>
            <c:idx val="19"/>
            <c:invertIfNegative val="0"/>
            <c:bubble3D val="0"/>
            <c:spPr>
              <a:solidFill>
                <a:srgbClr val="FFC000"/>
              </a:solidFill>
              <a:ln>
                <a:solidFill>
                  <a:srgbClr val="FFC000"/>
                </a:solidFill>
              </a:ln>
            </c:spPr>
            <c:extLst>
              <c:ext xmlns:c16="http://schemas.microsoft.com/office/drawing/2014/chart" uri="{C3380CC4-5D6E-409C-BE32-E72D297353CC}">
                <c16:uniqueId val="{00000005-5DB1-49D6-B00E-67D5C2A3D1F2}"/>
              </c:ext>
            </c:extLst>
          </c:dPt>
          <c:cat>
            <c:strRef>
              <c:f>PDF!$A$2:$A$24</c:f>
              <c:strCache>
                <c:ptCount val="23"/>
                <c:pt idx="0">
                  <c:v>-5.4%</c:v>
                </c:pt>
                <c:pt idx="1">
                  <c:v>-5.0%</c:v>
                </c:pt>
                <c:pt idx="2">
                  <c:v>-4.5%</c:v>
                </c:pt>
                <c:pt idx="3">
                  <c:v>-4.0%</c:v>
                </c:pt>
                <c:pt idx="4">
                  <c:v>-3.6%</c:v>
                </c:pt>
                <c:pt idx="5">
                  <c:v>-3.1%</c:v>
                </c:pt>
                <c:pt idx="6">
                  <c:v>-2.7%</c:v>
                </c:pt>
                <c:pt idx="7">
                  <c:v>-2.2%</c:v>
                </c:pt>
                <c:pt idx="8">
                  <c:v>-1.7%</c:v>
                </c:pt>
                <c:pt idx="9">
                  <c:v>-1.3%</c:v>
                </c:pt>
                <c:pt idx="10">
                  <c:v>-0.8%</c:v>
                </c:pt>
                <c:pt idx="11">
                  <c:v>-0.4%</c:v>
                </c:pt>
                <c:pt idx="12">
                  <c:v>0.1%</c:v>
                </c:pt>
                <c:pt idx="13">
                  <c:v>0.6%</c:v>
                </c:pt>
                <c:pt idx="14">
                  <c:v>1.0%</c:v>
                </c:pt>
                <c:pt idx="15">
                  <c:v>1.5%</c:v>
                </c:pt>
                <c:pt idx="16">
                  <c:v>2.0%</c:v>
                </c:pt>
                <c:pt idx="17">
                  <c:v>2.4%</c:v>
                </c:pt>
                <c:pt idx="18">
                  <c:v>2.9%</c:v>
                </c:pt>
                <c:pt idx="19">
                  <c:v>3.3%</c:v>
                </c:pt>
                <c:pt idx="20">
                  <c:v>3.8%</c:v>
                </c:pt>
                <c:pt idx="21">
                  <c:v>4.3%</c:v>
                </c:pt>
                <c:pt idx="22">
                  <c:v>More</c:v>
                </c:pt>
              </c:strCache>
            </c:str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cke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2-5DB1-49D6-B00E-67D5C2A3D1F2}"/>
            </c:ext>
          </c:extLst>
        </c:ser>
        <c:dLbls>
          <c:showLegendKey val="0"/>
          <c:showVal val="0"/>
          <c:showCatName val="0"/>
          <c:showSerName val="0"/>
          <c:showPercent val="0"/>
          <c:showBubbleSize val="0"/>
        </c:dLbls>
        <c:marker val="1"/>
        <c:smooth val="0"/>
        <c:axId val="41664864"/>
        <c:axId val="41667744"/>
      </c:lineChart>
      <c:catAx>
        <c:axId val="35995056"/>
        <c:scaling>
          <c:orientation val="minMax"/>
        </c:scaling>
        <c:delete val="0"/>
        <c:axPos val="b"/>
        <c:title>
          <c:tx>
            <c:rich>
              <a:bodyPr/>
              <a:lstStyle/>
              <a:p>
                <a:pPr>
                  <a:defRPr/>
                </a:pPr>
                <a:r>
                  <a:rPr lang="en-AU"/>
                  <a:t>Returns on underlying</a:t>
                </a:r>
              </a:p>
            </c:rich>
          </c:tx>
          <c:overlay val="0"/>
        </c:title>
        <c:numFmt formatCode="General"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valAx>
        <c:axId val="41667744"/>
        <c:scaling>
          <c:orientation val="minMax"/>
        </c:scaling>
        <c:delete val="0"/>
        <c:axPos val="r"/>
        <c:numFmt formatCode="General" sourceLinked="1"/>
        <c:majorTickMark val="out"/>
        <c:minorTickMark val="none"/>
        <c:tickLblPos val="nextTo"/>
        <c:crossAx val="41664864"/>
        <c:crosses val="max"/>
        <c:crossBetween val="between"/>
      </c:valAx>
      <c:catAx>
        <c:axId val="41664864"/>
        <c:scaling>
          <c:orientation val="minMax"/>
        </c:scaling>
        <c:delete val="1"/>
        <c:axPos val="b"/>
        <c:majorTickMark val="out"/>
        <c:minorTickMark val="none"/>
        <c:tickLblPos val="nextTo"/>
        <c:crossAx val="4166774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AU"/>
              <a:t>Daily prices</a:t>
            </a:r>
            <a:r>
              <a:rPr lang="en-AU" baseline="0"/>
              <a:t> over one year</a:t>
            </a:r>
            <a:endParaRPr lang="en-AU"/>
          </a:p>
        </c:rich>
      </c:tx>
      <c:overlay val="0"/>
    </c:title>
    <c:autoTitleDeleted val="0"/>
    <c:plotArea>
      <c:layout>
        <c:manualLayout>
          <c:layoutTarget val="inner"/>
          <c:xMode val="edge"/>
          <c:yMode val="edge"/>
          <c:x val="8.3249441299943591E-2"/>
          <c:y val="0.12968452972504649"/>
          <c:w val="0.67069793994583571"/>
          <c:h val="0.67618912927146246"/>
        </c:manualLayout>
      </c:layout>
      <c:barChart>
        <c:barDir val="col"/>
        <c:grouping val="clustered"/>
        <c:varyColors val="0"/>
        <c:ser>
          <c:idx val="0"/>
          <c:order val="0"/>
          <c:tx>
            <c:v>Frequency</c:v>
          </c:tx>
          <c:invertIfNegative val="0"/>
          <c:dPt>
            <c:idx val="11"/>
            <c:invertIfNegative val="0"/>
            <c:bubble3D val="0"/>
            <c:spPr>
              <a:solidFill>
                <a:srgbClr val="92D050"/>
              </a:solidFill>
            </c:spPr>
            <c:extLst>
              <c:ext xmlns:c16="http://schemas.microsoft.com/office/drawing/2014/chart" uri="{C3380CC4-5D6E-409C-BE32-E72D297353CC}">
                <c16:uniqueId val="{00000004-7C0F-46F9-B09E-6ADB4CB3EE9C}"/>
              </c:ext>
            </c:extLst>
          </c:dPt>
          <c:dPt>
            <c:idx val="12"/>
            <c:invertIfNegative val="0"/>
            <c:bubble3D val="0"/>
            <c:spPr>
              <a:solidFill>
                <a:srgbClr val="92D050"/>
              </a:solidFill>
            </c:spPr>
            <c:extLst>
              <c:ext xmlns:c16="http://schemas.microsoft.com/office/drawing/2014/chart" uri="{C3380CC4-5D6E-409C-BE32-E72D297353CC}">
                <c16:uniqueId val="{00000003-7C0F-46F9-B09E-6ADB4CB3EE9C}"/>
              </c:ext>
            </c:extLst>
          </c:dPt>
          <c:dPt>
            <c:idx val="13"/>
            <c:invertIfNegative val="0"/>
            <c:bubble3D val="0"/>
            <c:spPr>
              <a:solidFill>
                <a:srgbClr val="92D050"/>
              </a:solidFill>
            </c:spPr>
            <c:extLst>
              <c:ext xmlns:c16="http://schemas.microsoft.com/office/drawing/2014/chart" uri="{C3380CC4-5D6E-409C-BE32-E72D297353CC}">
                <c16:uniqueId val="{00000005-7C0F-46F9-B09E-6ADB4CB3EE9C}"/>
              </c:ext>
            </c:extLst>
          </c:dPt>
          <c:dPt>
            <c:idx val="17"/>
            <c:invertIfNegative val="0"/>
            <c:bubble3D val="0"/>
            <c:spPr>
              <a:solidFill>
                <a:srgbClr val="FFC000"/>
              </a:solidFill>
            </c:spPr>
            <c:extLst>
              <c:ext xmlns:c16="http://schemas.microsoft.com/office/drawing/2014/chart" uri="{C3380CC4-5D6E-409C-BE32-E72D297353CC}">
                <c16:uniqueId val="{00000000-7C0F-46F9-B09E-6ADB4CB3EE9C}"/>
              </c:ext>
            </c:extLst>
          </c:dPt>
          <c:dPt>
            <c:idx val="18"/>
            <c:invertIfNegative val="0"/>
            <c:bubble3D val="0"/>
            <c:spPr>
              <a:solidFill>
                <a:srgbClr val="FFC000"/>
              </a:solidFill>
            </c:spPr>
            <c:extLst>
              <c:ext xmlns:c16="http://schemas.microsoft.com/office/drawing/2014/chart" uri="{C3380CC4-5D6E-409C-BE32-E72D297353CC}">
                <c16:uniqueId val="{00000001-7C0F-46F9-B09E-6ADB4CB3EE9C}"/>
              </c:ext>
            </c:extLst>
          </c:dPt>
          <c:dPt>
            <c:idx val="19"/>
            <c:invertIfNegative val="0"/>
            <c:bubble3D val="0"/>
            <c:spPr>
              <a:solidFill>
                <a:srgbClr val="FFC000"/>
              </a:solidFill>
            </c:spPr>
            <c:extLst>
              <c:ext xmlns:c16="http://schemas.microsoft.com/office/drawing/2014/chart" uri="{C3380CC4-5D6E-409C-BE32-E72D297353CC}">
                <c16:uniqueId val="{00000002-7C0F-46F9-B09E-6ADB4CB3EE9C}"/>
              </c:ext>
            </c:extLst>
          </c:dPt>
          <c:cat>
            <c:numRef>
              <c:f>PDF!$E$2:$E$24</c:f>
              <c:numCache>
                <c:formatCode>_("$"* #,##0_);_("$"* \(#,##0\);_("$"* "-"_);_(@_)</c:formatCode>
                <c:ptCount val="23"/>
                <c:pt idx="0">
                  <c:v>94.578425284881646</c:v>
                </c:pt>
                <c:pt idx="1">
                  <c:v>95.039177225753335</c:v>
                </c:pt>
                <c:pt idx="2">
                  <c:v>95.499929166625009</c:v>
                </c:pt>
                <c:pt idx="3">
                  <c:v>95.960681107496683</c:v>
                </c:pt>
                <c:pt idx="4">
                  <c:v>96.421433048368357</c:v>
                </c:pt>
                <c:pt idx="5">
                  <c:v>96.882184989240045</c:v>
                </c:pt>
                <c:pt idx="6">
                  <c:v>97.342936930111705</c:v>
                </c:pt>
                <c:pt idx="7">
                  <c:v>97.803688870983379</c:v>
                </c:pt>
                <c:pt idx="8">
                  <c:v>98.264440811855053</c:v>
                </c:pt>
                <c:pt idx="9">
                  <c:v>98.725192752726741</c:v>
                </c:pt>
                <c:pt idx="10">
                  <c:v>99.185944693598415</c:v>
                </c:pt>
                <c:pt idx="11">
                  <c:v>99.646696634470089</c:v>
                </c:pt>
                <c:pt idx="12">
                  <c:v>100.10744857534178</c:v>
                </c:pt>
                <c:pt idx="13">
                  <c:v>100.56820051621345</c:v>
                </c:pt>
                <c:pt idx="14">
                  <c:v>101.02895245708513</c:v>
                </c:pt>
                <c:pt idx="15">
                  <c:v>101.48970439795679</c:v>
                </c:pt>
                <c:pt idx="16">
                  <c:v>101.95045633882846</c:v>
                </c:pt>
                <c:pt idx="17">
                  <c:v>102.41120827970013</c:v>
                </c:pt>
                <c:pt idx="18">
                  <c:v>102.87196022057184</c:v>
                </c:pt>
                <c:pt idx="19">
                  <c:v>103.33271216144351</c:v>
                </c:pt>
                <c:pt idx="20">
                  <c:v>103.79346410231518</c:v>
                </c:pt>
                <c:pt idx="21">
                  <c:v>104.25421604318686</c:v>
                </c:pt>
                <c:pt idx="22">
                  <c:v>105</c:v>
                </c:pt>
              </c:numCache>
            </c:numRef>
          </c:cat>
          <c:val>
            <c:numRef>
              <c:f>PDF!$B$2:$B$24</c:f>
              <c:numCache>
                <c:formatCode>General</c:formatCode>
                <c:ptCount val="23"/>
                <c:pt idx="0">
                  <c:v>1</c:v>
                </c:pt>
                <c:pt idx="1">
                  <c:v>0</c:v>
                </c:pt>
                <c:pt idx="2">
                  <c:v>1</c:v>
                </c:pt>
                <c:pt idx="3">
                  <c:v>0</c:v>
                </c:pt>
                <c:pt idx="4">
                  <c:v>0</c:v>
                </c:pt>
                <c:pt idx="5">
                  <c:v>3</c:v>
                </c:pt>
                <c:pt idx="6">
                  <c:v>4</c:v>
                </c:pt>
                <c:pt idx="7">
                  <c:v>5</c:v>
                </c:pt>
                <c:pt idx="8">
                  <c:v>11</c:v>
                </c:pt>
                <c:pt idx="9">
                  <c:v>14</c:v>
                </c:pt>
                <c:pt idx="10">
                  <c:v>22</c:v>
                </c:pt>
                <c:pt idx="11">
                  <c:v>33</c:v>
                </c:pt>
                <c:pt idx="12">
                  <c:v>66</c:v>
                </c:pt>
                <c:pt idx="13">
                  <c:v>22</c:v>
                </c:pt>
                <c:pt idx="14">
                  <c:v>19</c:v>
                </c:pt>
                <c:pt idx="15">
                  <c:v>18</c:v>
                </c:pt>
                <c:pt idx="16">
                  <c:v>18</c:v>
                </c:pt>
                <c:pt idx="17">
                  <c:v>8</c:v>
                </c:pt>
                <c:pt idx="18">
                  <c:v>4</c:v>
                </c:pt>
                <c:pt idx="19">
                  <c:v>3</c:v>
                </c:pt>
                <c:pt idx="20">
                  <c:v>0</c:v>
                </c:pt>
                <c:pt idx="21">
                  <c:v>1</c:v>
                </c:pt>
                <c:pt idx="22">
                  <c:v>1</c:v>
                </c:pt>
              </c:numCache>
            </c:numRef>
          </c:val>
          <c:extLst>
            <c:ext xmlns:c16="http://schemas.microsoft.com/office/drawing/2014/chart" uri="{C3380CC4-5D6E-409C-BE32-E72D297353CC}">
              <c16:uniqueId val="{00000001-5DB1-49D6-B00E-67D5C2A3D1F2}"/>
            </c:ext>
          </c:extLst>
        </c:ser>
        <c:dLbls>
          <c:showLegendKey val="0"/>
          <c:showVal val="0"/>
          <c:showCatName val="0"/>
          <c:showSerName val="0"/>
          <c:showPercent val="0"/>
          <c:showBubbleSize val="0"/>
        </c:dLbls>
        <c:gapWidth val="150"/>
        <c:axId val="35995056"/>
        <c:axId val="35992656"/>
      </c:barChart>
      <c:lineChart>
        <c:grouping val="stacked"/>
        <c:varyColors val="0"/>
        <c:ser>
          <c:idx val="1"/>
          <c:order val="1"/>
          <c:tx>
            <c:strRef>
              <c:f>PDF!$D$1</c:f>
              <c:strCache>
                <c:ptCount val="1"/>
                <c:pt idx="0">
                  <c:v>Normal distribution</c:v>
                </c:pt>
              </c:strCache>
            </c:strRef>
          </c:tx>
          <c:marker>
            <c:symbol val="none"/>
          </c:marker>
          <c:val>
            <c:numRef>
              <c:f>PDF!$D$2:$D$24</c:f>
              <c:numCache>
                <c:formatCode>General</c:formatCode>
                <c:ptCount val="23"/>
                <c:pt idx="0">
                  <c:v>1.2771577801419487E-2</c:v>
                </c:pt>
                <c:pt idx="1">
                  <c:v>4.5234947126305755E-2</c:v>
                </c:pt>
                <c:pt idx="2">
                  <c:v>0.14311407071710411</c:v>
                </c:pt>
                <c:pt idx="3">
                  <c:v>0.4044541509762507</c:v>
                </c:pt>
                <c:pt idx="4">
                  <c:v>1.0210217022923378</c:v>
                </c:pt>
                <c:pt idx="5">
                  <c:v>2.3023925103253751</c:v>
                </c:pt>
                <c:pt idx="6">
                  <c:v>4.6376980422331897</c:v>
                </c:pt>
                <c:pt idx="7">
                  <c:v>8.3445762509970702</c:v>
                </c:pt>
                <c:pt idx="8">
                  <c:v>13.411730582718095</c:v>
                </c:pt>
                <c:pt idx="9">
                  <c:v>19.255024165965416</c:v>
                </c:pt>
                <c:pt idx="10">
                  <c:v>24.693464713019992</c:v>
                </c:pt>
                <c:pt idx="11">
                  <c:v>28.287769554046903</c:v>
                </c:pt>
                <c:pt idx="12">
                  <c:v>28.946369086462823</c:v>
                </c:pt>
                <c:pt idx="13">
                  <c:v>26.458681568263401</c:v>
                </c:pt>
                <c:pt idx="14">
                  <c:v>21.603345831297219</c:v>
                </c:pt>
                <c:pt idx="15">
                  <c:v>15.756238665542288</c:v>
                </c:pt>
                <c:pt idx="16">
                  <c:v>10.265090851004429</c:v>
                </c:pt>
                <c:pt idx="17">
                  <c:v>5.9738148548747398</c:v>
                </c:pt>
                <c:pt idx="18">
                  <c:v>3.1054134791235688</c:v>
                </c:pt>
                <c:pt idx="19">
                  <c:v>1.4420018687491096</c:v>
                </c:pt>
                <c:pt idx="20">
                  <c:v>0.59812358387273201</c:v>
                </c:pt>
                <c:pt idx="21">
                  <c:v>0.22161275092697189</c:v>
                </c:pt>
                <c:pt idx="22">
                  <c:v>0</c:v>
                </c:pt>
              </c:numCache>
            </c:numRef>
          </c:val>
          <c:smooth val="0"/>
          <c:extLst>
            <c:ext xmlns:c16="http://schemas.microsoft.com/office/drawing/2014/chart" uri="{C3380CC4-5D6E-409C-BE32-E72D297353CC}">
              <c16:uniqueId val="{00000002-5DB1-49D6-B00E-67D5C2A3D1F2}"/>
            </c:ext>
          </c:extLst>
        </c:ser>
        <c:dLbls>
          <c:showLegendKey val="0"/>
          <c:showVal val="0"/>
          <c:showCatName val="0"/>
          <c:showSerName val="0"/>
          <c:showPercent val="0"/>
          <c:showBubbleSize val="0"/>
        </c:dLbls>
        <c:marker val="1"/>
        <c:smooth val="0"/>
        <c:axId val="41664864"/>
        <c:axId val="41667744"/>
      </c:lineChart>
      <c:catAx>
        <c:axId val="35995056"/>
        <c:scaling>
          <c:orientation val="minMax"/>
        </c:scaling>
        <c:delete val="0"/>
        <c:axPos val="b"/>
        <c:title>
          <c:tx>
            <c:rich>
              <a:bodyPr/>
              <a:lstStyle/>
              <a:p>
                <a:pPr>
                  <a:defRPr/>
                </a:pPr>
                <a:r>
                  <a:rPr lang="en-AU"/>
                  <a:t>Underlying price</a:t>
                </a:r>
              </a:p>
            </c:rich>
          </c:tx>
          <c:overlay val="0"/>
        </c:title>
        <c:numFmt formatCode="_(&quot;$&quot;* #,##0_);_(&quot;$&quot;* \(#,##0\);_(&quot;$&quot;* &quot;-&quot;_);_(@_)" sourceLinked="1"/>
        <c:majorTickMark val="out"/>
        <c:minorTickMark val="none"/>
        <c:tickLblPos val="nextTo"/>
        <c:crossAx val="35992656"/>
        <c:crosses val="autoZero"/>
        <c:auto val="1"/>
        <c:lblAlgn val="ctr"/>
        <c:lblOffset val="100"/>
        <c:noMultiLvlLbl val="0"/>
      </c:catAx>
      <c:valAx>
        <c:axId val="35992656"/>
        <c:scaling>
          <c:orientation val="minMax"/>
        </c:scaling>
        <c:delete val="0"/>
        <c:axPos val="l"/>
        <c:title>
          <c:tx>
            <c:rich>
              <a:bodyPr/>
              <a:lstStyle/>
              <a:p>
                <a:pPr>
                  <a:defRPr/>
                </a:pPr>
                <a:r>
                  <a:rPr lang="en-AU"/>
                  <a:t>Frequency</a:t>
                </a:r>
              </a:p>
            </c:rich>
          </c:tx>
          <c:overlay val="0"/>
        </c:title>
        <c:numFmt formatCode="General" sourceLinked="1"/>
        <c:majorTickMark val="out"/>
        <c:minorTickMark val="none"/>
        <c:tickLblPos val="nextTo"/>
        <c:crossAx val="35995056"/>
        <c:crosses val="autoZero"/>
        <c:crossBetween val="between"/>
      </c:valAx>
      <c:valAx>
        <c:axId val="41667744"/>
        <c:scaling>
          <c:orientation val="minMax"/>
        </c:scaling>
        <c:delete val="0"/>
        <c:axPos val="r"/>
        <c:numFmt formatCode="General" sourceLinked="1"/>
        <c:majorTickMark val="out"/>
        <c:minorTickMark val="none"/>
        <c:tickLblPos val="nextTo"/>
        <c:crossAx val="41664864"/>
        <c:crosses val="max"/>
        <c:crossBetween val="between"/>
      </c:valAx>
      <c:catAx>
        <c:axId val="41664864"/>
        <c:scaling>
          <c:orientation val="minMax"/>
        </c:scaling>
        <c:delete val="1"/>
        <c:axPos val="b"/>
        <c:majorTickMark val="out"/>
        <c:minorTickMark val="none"/>
        <c:tickLblPos val="nextTo"/>
        <c:crossAx val="4166774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228600</xdr:colOff>
      <xdr:row>1</xdr:row>
      <xdr:rowOff>47625</xdr:rowOff>
    </xdr:from>
    <xdr:to>
      <xdr:col>20</xdr:col>
      <xdr:colOff>552450</xdr:colOff>
      <xdr:row>22</xdr:row>
      <xdr:rowOff>171450</xdr:rowOff>
    </xdr:to>
    <xdr:graphicFrame macro="">
      <xdr:nvGraphicFramePr>
        <xdr:cNvPr id="2" name="Chart 1">
          <a:extLst>
            <a:ext uri="{FF2B5EF4-FFF2-40B4-BE49-F238E27FC236}">
              <a16:creationId xmlns:a16="http://schemas.microsoft.com/office/drawing/2014/main" id="{6092FFE7-7C0D-2D4B-9B5F-672E9CD12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23</xdr:row>
      <xdr:rowOff>47625</xdr:rowOff>
    </xdr:from>
    <xdr:to>
      <xdr:col>20</xdr:col>
      <xdr:colOff>533400</xdr:colOff>
      <xdr:row>44</xdr:row>
      <xdr:rowOff>161925</xdr:rowOff>
    </xdr:to>
    <xdr:graphicFrame macro="">
      <xdr:nvGraphicFramePr>
        <xdr:cNvPr id="3" name="Chart 2">
          <a:extLst>
            <a:ext uri="{FF2B5EF4-FFF2-40B4-BE49-F238E27FC236}">
              <a16:creationId xmlns:a16="http://schemas.microsoft.com/office/drawing/2014/main" id="{AA76A3FF-69FC-166C-1F9E-538BF31BE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85725</xdr:colOff>
      <xdr:row>4</xdr:row>
      <xdr:rowOff>19050</xdr:rowOff>
    </xdr:from>
    <xdr:to>
      <xdr:col>5</xdr:col>
      <xdr:colOff>219075</xdr:colOff>
      <xdr:row>7</xdr:row>
      <xdr:rowOff>114300</xdr:rowOff>
    </xdr:to>
    <xdr:sp macro="" textlink="">
      <xdr:nvSpPr>
        <xdr:cNvPr id="4" name="Arrow: Left 3">
          <a:extLst>
            <a:ext uri="{FF2B5EF4-FFF2-40B4-BE49-F238E27FC236}">
              <a16:creationId xmlns:a16="http://schemas.microsoft.com/office/drawing/2014/main" id="{B845A52B-9CF7-1B0B-02E5-42601D8DB709}"/>
            </a:ext>
          </a:extLst>
        </xdr:cNvPr>
        <xdr:cNvSpPr/>
      </xdr:nvSpPr>
      <xdr:spPr>
        <a:xfrm>
          <a:off x="2143125" y="74295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5.5% tail risk</a:t>
          </a:r>
        </a:p>
      </xdr:txBody>
    </xdr:sp>
    <xdr:clientData/>
  </xdr:twoCellAnchor>
  <xdr:twoCellAnchor>
    <xdr:from>
      <xdr:col>3</xdr:col>
      <xdr:colOff>123825</xdr:colOff>
      <xdr:row>18</xdr:row>
      <xdr:rowOff>171450</xdr:rowOff>
    </xdr:from>
    <xdr:to>
      <xdr:col>5</xdr:col>
      <xdr:colOff>257175</xdr:colOff>
      <xdr:row>22</xdr:row>
      <xdr:rowOff>85725</xdr:rowOff>
    </xdr:to>
    <xdr:sp macro="" textlink="">
      <xdr:nvSpPr>
        <xdr:cNvPr id="5" name="Arrow: Left 4">
          <a:extLst>
            <a:ext uri="{FF2B5EF4-FFF2-40B4-BE49-F238E27FC236}">
              <a16:creationId xmlns:a16="http://schemas.microsoft.com/office/drawing/2014/main" id="{804378B9-3B7F-48E1-C314-FD852F064108}"/>
            </a:ext>
          </a:extLst>
        </xdr:cNvPr>
        <xdr:cNvSpPr/>
      </xdr:nvSpPr>
      <xdr:spPr>
        <a:xfrm>
          <a:off x="2181225" y="3429000"/>
          <a:ext cx="1504950"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100"/>
            <a:t>Total of 6.7% tail risk</a:t>
          </a:r>
        </a:p>
      </xdr:txBody>
    </xdr:sp>
    <xdr:clientData/>
  </xdr:twoCellAnchor>
  <xdr:twoCellAnchor>
    <xdr:from>
      <xdr:col>16</xdr:col>
      <xdr:colOff>495300</xdr:colOff>
      <xdr:row>12</xdr:row>
      <xdr:rowOff>19049</xdr:rowOff>
    </xdr:from>
    <xdr:to>
      <xdr:col>17</xdr:col>
      <xdr:colOff>447675</xdr:colOff>
      <xdr:row>17</xdr:row>
      <xdr:rowOff>38099</xdr:rowOff>
    </xdr:to>
    <xdr:sp macro="" textlink="">
      <xdr:nvSpPr>
        <xdr:cNvPr id="6" name="Arrow: Left 5">
          <a:extLst>
            <a:ext uri="{FF2B5EF4-FFF2-40B4-BE49-F238E27FC236}">
              <a16:creationId xmlns:a16="http://schemas.microsoft.com/office/drawing/2014/main" id="{19AE8EE5-4487-514A-DFEA-4C05036661DF}"/>
            </a:ext>
          </a:extLst>
        </xdr:cNvPr>
        <xdr:cNvSpPr/>
      </xdr:nvSpPr>
      <xdr:spPr>
        <a:xfrm rot="16988882">
          <a:off x="13468350" y="2333624"/>
          <a:ext cx="923925" cy="63817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a:t>tail risk</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0.2931</cdr:x>
      <cdr:y>0.36192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105025" y="142026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0.24801</cdr:x>
      <cdr:y>0.22237</cdr:y>
    </cdr:from>
    <cdr:to>
      <cdr:x>0.33289</cdr:x>
      <cdr:y>0.40388</cdr:y>
    </cdr:to>
    <cdr:sp macro="" textlink="">
      <cdr:nvSpPr>
        <cdr:cNvPr id="4" name="TextBox 3">
          <a:extLst xmlns:a="http://schemas.openxmlformats.org/drawingml/2006/main">
            <a:ext uri="{FF2B5EF4-FFF2-40B4-BE49-F238E27FC236}">
              <a16:creationId xmlns:a16="http://schemas.microsoft.com/office/drawing/2014/main" id="{5D85B1DC-BEA0-36AC-264F-78EA62DA3B33}"/>
            </a:ext>
          </a:extLst>
        </cdr:cNvPr>
        <cdr:cNvSpPr txBox="1"/>
      </cdr:nvSpPr>
      <cdr:spPr>
        <a:xfrm xmlns:a="http://schemas.openxmlformats.org/drawingml/2006/main">
          <a:off x="1781175" y="872645"/>
          <a:ext cx="609600" cy="71228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year)</a:t>
          </a:r>
        </a:p>
      </cdr:txBody>
    </cdr:sp>
  </cdr:relSizeAnchor>
  <cdr:relSizeAnchor xmlns:cdr="http://schemas.openxmlformats.org/drawingml/2006/chartDrawing">
    <cdr:from>
      <cdr:x>0.3992</cdr:x>
      <cdr:y>0.23301</cdr:y>
    </cdr:from>
    <cdr:to>
      <cdr:x>0.3992</cdr:x>
      <cdr:y>0.82182</cdr:y>
    </cdr:to>
    <cdr:cxnSp macro="">
      <cdr:nvCxnSpPr>
        <cdr:cNvPr id="5" name="Straight Connector 4">
          <a:extLst xmlns:a="http://schemas.openxmlformats.org/drawingml/2006/main">
            <a:ext uri="{FF2B5EF4-FFF2-40B4-BE49-F238E27FC236}">
              <a16:creationId xmlns:a16="http://schemas.microsoft.com/office/drawing/2014/main" id="{FCB780A4-3BB4-57E0-8AF1-8BB425518DB7}"/>
            </a:ext>
          </a:extLst>
        </cdr:cNvPr>
        <cdr:cNvCxnSpPr/>
      </cdr:nvCxnSpPr>
      <cdr:spPr>
        <a:xfrm xmlns:a="http://schemas.openxmlformats.org/drawingml/2006/main">
          <a:off x="2867025" y="914400"/>
          <a:ext cx="0" cy="2310661"/>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0.35676</cdr:x>
      <cdr:y>0.11677</cdr:y>
    </cdr:from>
    <cdr:to>
      <cdr:x>0.45756</cdr:x>
      <cdr:y>0.26726</cdr:y>
    </cdr:to>
    <cdr:sp macro="" textlink="">
      <cdr:nvSpPr>
        <cdr:cNvPr id="7" name="TextBox 6">
          <a:extLst xmlns:a="http://schemas.openxmlformats.org/drawingml/2006/main">
            <a:ext uri="{FF2B5EF4-FFF2-40B4-BE49-F238E27FC236}">
              <a16:creationId xmlns:a16="http://schemas.microsoft.com/office/drawing/2014/main" id="{123D7B54-DAAA-274B-E5F5-299698AAB269}"/>
            </a:ext>
          </a:extLst>
        </cdr:cNvPr>
        <cdr:cNvSpPr txBox="1"/>
      </cdr:nvSpPr>
      <cdr:spPr>
        <a:xfrm xmlns:a="http://schemas.openxmlformats.org/drawingml/2006/main">
          <a:off x="2562225" y="458231"/>
          <a:ext cx="723901" cy="59056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(30 days)</a:t>
          </a:r>
        </a:p>
      </cdr:txBody>
    </cdr:sp>
  </cdr:relSizeAnchor>
  <cdr:relSizeAnchor xmlns:cdr="http://schemas.openxmlformats.org/drawingml/2006/chartDrawing">
    <cdr:from>
      <cdr:x>0.58223</cdr:x>
      <cdr:y>0.35706</cdr:y>
    </cdr:from>
    <cdr:to>
      <cdr:x>0.58223</cdr:x>
      <cdr:y>0.80912</cdr:y>
    </cdr:to>
    <cdr:cxnSp macro="">
      <cdr:nvCxnSpPr>
        <cdr:cNvPr id="9" name="Straight Connector 8">
          <a:extLst xmlns:a="http://schemas.openxmlformats.org/drawingml/2006/main">
            <a:ext uri="{FF2B5EF4-FFF2-40B4-BE49-F238E27FC236}">
              <a16:creationId xmlns:a16="http://schemas.microsoft.com/office/drawing/2014/main" id="{DB636F6F-9521-1EB3-03C2-B90973204AED}"/>
            </a:ext>
          </a:extLst>
        </cdr:cNvPr>
        <cdr:cNvCxnSpPr/>
      </cdr:nvCxnSpPr>
      <cdr:spPr>
        <a:xfrm xmlns:a="http://schemas.openxmlformats.org/drawingml/2006/main">
          <a:off x="4181475" y="140121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0.53581</cdr:x>
      <cdr:y>0.21752</cdr:y>
    </cdr:from>
    <cdr:to>
      <cdr:x>0.62069</cdr:x>
      <cdr:y>0.39902</cdr:y>
    </cdr:to>
    <cdr:sp macro="" textlink="">
      <cdr:nvSpPr>
        <cdr:cNvPr id="10" name="TextBox 9">
          <a:extLst xmlns:a="http://schemas.openxmlformats.org/drawingml/2006/main">
            <a:ext uri="{FF2B5EF4-FFF2-40B4-BE49-F238E27FC236}">
              <a16:creationId xmlns:a16="http://schemas.microsoft.com/office/drawing/2014/main" id="{2A636732-5BC7-5E77-2097-1009CA3509DC}"/>
            </a:ext>
          </a:extLst>
        </cdr:cNvPr>
        <cdr:cNvSpPr txBox="1"/>
      </cdr:nvSpPr>
      <cdr:spPr>
        <a:xfrm xmlns:a="http://schemas.openxmlformats.org/drawingml/2006/main">
          <a:off x="3848100" y="853595"/>
          <a:ext cx="609600" cy="71228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year)</a:t>
          </a:r>
        </a:p>
      </cdr:txBody>
    </cdr:sp>
  </cdr:relSizeAnchor>
  <cdr:relSizeAnchor xmlns:cdr="http://schemas.openxmlformats.org/drawingml/2006/chartDrawing">
    <cdr:from>
      <cdr:x>0.48673</cdr:x>
      <cdr:y>0.22573</cdr:y>
    </cdr:from>
    <cdr:to>
      <cdr:x>0.48673</cdr:x>
      <cdr:y>0.81454</cdr:y>
    </cdr:to>
    <cdr:cxnSp macro="">
      <cdr:nvCxnSpPr>
        <cdr:cNvPr id="11" name="Straight Connector 10">
          <a:extLst xmlns:a="http://schemas.openxmlformats.org/drawingml/2006/main">
            <a:ext uri="{FF2B5EF4-FFF2-40B4-BE49-F238E27FC236}">
              <a16:creationId xmlns:a16="http://schemas.microsoft.com/office/drawing/2014/main" id="{7E3D0AA1-C2F5-5C75-D160-78349E8F5D6C}"/>
            </a:ext>
          </a:extLst>
        </cdr:cNvPr>
        <cdr:cNvCxnSpPr/>
      </cdr:nvCxnSpPr>
      <cdr:spPr>
        <a:xfrm xmlns:a="http://schemas.openxmlformats.org/drawingml/2006/main">
          <a:off x="3495640" y="885832"/>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0.45225</cdr:x>
      <cdr:y>0.1022</cdr:y>
    </cdr:from>
    <cdr:to>
      <cdr:x>0.55305</cdr:x>
      <cdr:y>0.25269</cdr:y>
    </cdr:to>
    <cdr:sp macro="" textlink="">
      <cdr:nvSpPr>
        <cdr:cNvPr id="12" name="TextBox 11">
          <a:extLst xmlns:a="http://schemas.openxmlformats.org/drawingml/2006/main">
            <a:ext uri="{FF2B5EF4-FFF2-40B4-BE49-F238E27FC236}">
              <a16:creationId xmlns:a16="http://schemas.microsoft.com/office/drawing/2014/main" id="{E79B7447-3DDE-161A-DEF6-5ACAA5AE62E0}"/>
            </a:ext>
          </a:extLst>
        </cdr:cNvPr>
        <cdr:cNvSpPr txBox="1"/>
      </cdr:nvSpPr>
      <cdr:spPr>
        <a:xfrm xmlns:a="http://schemas.openxmlformats.org/drawingml/2006/main">
          <a:off x="3248025" y="401081"/>
          <a:ext cx="723901" cy="59056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(30 days)</a:t>
          </a:r>
        </a:p>
      </cdr:txBody>
    </cdr:sp>
  </cdr:relSizeAnchor>
</c:userShapes>
</file>

<file path=xl/drawings/drawing3.xml><?xml version="1.0" encoding="utf-8"?>
<c:userShapes xmlns:c="http://schemas.openxmlformats.org/drawingml/2006/chart">
  <cdr:relSizeAnchor xmlns:cdr="http://schemas.openxmlformats.org/drawingml/2006/chartDrawing">
    <cdr:from>
      <cdr:x>0.2931</cdr:x>
      <cdr:y>0.36192</cdr:y>
    </cdr:from>
    <cdr:to>
      <cdr:x>0.2931</cdr:x>
      <cdr:y>0.81397</cdr:y>
    </cdr:to>
    <cdr:cxnSp macro="">
      <cdr:nvCxnSpPr>
        <cdr:cNvPr id="3" name="Straight Connector 2">
          <a:extLst xmlns:a="http://schemas.openxmlformats.org/drawingml/2006/main">
            <a:ext uri="{FF2B5EF4-FFF2-40B4-BE49-F238E27FC236}">
              <a16:creationId xmlns:a16="http://schemas.microsoft.com/office/drawing/2014/main" id="{5466220B-DE7D-24BA-B646-C30BD5E0EECB}"/>
            </a:ext>
          </a:extLst>
        </cdr:cNvPr>
        <cdr:cNvCxnSpPr/>
      </cdr:nvCxnSpPr>
      <cdr:spPr>
        <a:xfrm xmlns:a="http://schemas.openxmlformats.org/drawingml/2006/main">
          <a:off x="2105025" y="1420269"/>
          <a:ext cx="0" cy="1773998"/>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0.24801</cdr:x>
      <cdr:y>0.22237</cdr:y>
    </cdr:from>
    <cdr:to>
      <cdr:x>0.33289</cdr:x>
      <cdr:y>0.40388</cdr:y>
    </cdr:to>
    <cdr:sp macro="" textlink="">
      <cdr:nvSpPr>
        <cdr:cNvPr id="4" name="TextBox 3">
          <a:extLst xmlns:a="http://schemas.openxmlformats.org/drawingml/2006/main">
            <a:ext uri="{FF2B5EF4-FFF2-40B4-BE49-F238E27FC236}">
              <a16:creationId xmlns:a16="http://schemas.microsoft.com/office/drawing/2014/main" id="{5D85B1DC-BEA0-36AC-264F-78EA62DA3B33}"/>
            </a:ext>
          </a:extLst>
        </cdr:cNvPr>
        <cdr:cNvSpPr txBox="1"/>
      </cdr:nvSpPr>
      <cdr:spPr>
        <a:xfrm xmlns:a="http://schemas.openxmlformats.org/drawingml/2006/main">
          <a:off x="1781175" y="872645"/>
          <a:ext cx="609600" cy="71228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(1 year)</a:t>
          </a:r>
        </a:p>
      </cdr:txBody>
    </cdr:sp>
  </cdr:relSizeAnchor>
  <cdr:relSizeAnchor xmlns:cdr="http://schemas.openxmlformats.org/drawingml/2006/chartDrawing">
    <cdr:from>
      <cdr:x>0.40186</cdr:x>
      <cdr:y>0.21845</cdr:y>
    </cdr:from>
    <cdr:to>
      <cdr:x>0.40186</cdr:x>
      <cdr:y>0.80726</cdr:y>
    </cdr:to>
    <cdr:cxnSp macro="">
      <cdr:nvCxnSpPr>
        <cdr:cNvPr id="5" name="Straight Connector 4">
          <a:extLst xmlns:a="http://schemas.openxmlformats.org/drawingml/2006/main">
            <a:ext uri="{FF2B5EF4-FFF2-40B4-BE49-F238E27FC236}">
              <a16:creationId xmlns:a16="http://schemas.microsoft.com/office/drawing/2014/main" id="{FCB780A4-3BB4-57E0-8AF1-8BB425518DB7}"/>
            </a:ext>
          </a:extLst>
        </cdr:cNvPr>
        <cdr:cNvCxnSpPr/>
      </cdr:nvCxnSpPr>
      <cdr:spPr>
        <a:xfrm xmlns:a="http://schemas.openxmlformats.org/drawingml/2006/main">
          <a:off x="2886106" y="857256"/>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0.33952</cdr:x>
      <cdr:y>0.09978</cdr:y>
    </cdr:from>
    <cdr:to>
      <cdr:x>0.44032</cdr:x>
      <cdr:y>0.25027</cdr:y>
    </cdr:to>
    <cdr:sp macro="" textlink="">
      <cdr:nvSpPr>
        <cdr:cNvPr id="7" name="TextBox 6">
          <a:extLst xmlns:a="http://schemas.openxmlformats.org/drawingml/2006/main">
            <a:ext uri="{FF2B5EF4-FFF2-40B4-BE49-F238E27FC236}">
              <a16:creationId xmlns:a16="http://schemas.microsoft.com/office/drawing/2014/main" id="{123D7B54-DAAA-274B-E5F5-299698AAB269}"/>
            </a:ext>
          </a:extLst>
        </cdr:cNvPr>
        <cdr:cNvSpPr txBox="1"/>
      </cdr:nvSpPr>
      <cdr:spPr>
        <a:xfrm xmlns:a="http://schemas.openxmlformats.org/drawingml/2006/main">
          <a:off x="2438372" y="391566"/>
          <a:ext cx="723930" cy="59056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(30 days)</a:t>
          </a:r>
        </a:p>
      </cdr:txBody>
    </cdr:sp>
  </cdr:relSizeAnchor>
  <cdr:relSizeAnchor xmlns:cdr="http://schemas.openxmlformats.org/drawingml/2006/chartDrawing">
    <cdr:from>
      <cdr:x>0.58223</cdr:x>
      <cdr:y>0.21845</cdr:y>
    </cdr:from>
    <cdr:to>
      <cdr:x>0.58223</cdr:x>
      <cdr:y>0.80726</cdr:y>
    </cdr:to>
    <cdr:cxnSp macro="">
      <cdr:nvCxnSpPr>
        <cdr:cNvPr id="2" name="Straight Connector 1">
          <a:extLst xmlns:a="http://schemas.openxmlformats.org/drawingml/2006/main">
            <a:ext uri="{FF2B5EF4-FFF2-40B4-BE49-F238E27FC236}">
              <a16:creationId xmlns:a16="http://schemas.microsoft.com/office/drawing/2014/main" id="{321E4C56-8333-A395-079E-4D1D04B6A4BC}"/>
            </a:ext>
          </a:extLst>
        </cdr:cNvPr>
        <cdr:cNvCxnSpPr/>
      </cdr:nvCxnSpPr>
      <cdr:spPr>
        <a:xfrm xmlns:a="http://schemas.openxmlformats.org/drawingml/2006/main">
          <a:off x="4181498" y="857263"/>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0.53183</cdr:x>
      <cdr:y>0.08279</cdr:y>
    </cdr:from>
    <cdr:to>
      <cdr:x>0.63263</cdr:x>
      <cdr:y>0.23328</cdr:y>
    </cdr:to>
    <cdr:sp macro="" textlink="">
      <cdr:nvSpPr>
        <cdr:cNvPr id="8" name="TextBox 7">
          <a:extLst xmlns:a="http://schemas.openxmlformats.org/drawingml/2006/main">
            <a:ext uri="{FF2B5EF4-FFF2-40B4-BE49-F238E27FC236}">
              <a16:creationId xmlns:a16="http://schemas.microsoft.com/office/drawing/2014/main" id="{EB054D21-752E-6069-EE6F-8C4665768D32}"/>
            </a:ext>
          </a:extLst>
        </cdr:cNvPr>
        <cdr:cNvSpPr txBox="1"/>
      </cdr:nvSpPr>
      <cdr:spPr>
        <a:xfrm xmlns:a="http://schemas.openxmlformats.org/drawingml/2006/main">
          <a:off x="3819507" y="324892"/>
          <a:ext cx="723930" cy="59056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(30 days)</a:t>
          </a:r>
        </a:p>
      </cdr:txBody>
    </cdr:sp>
  </cdr:relSizeAnchor>
  <cdr:relSizeAnchor xmlns:cdr="http://schemas.openxmlformats.org/drawingml/2006/chartDrawing">
    <cdr:from>
      <cdr:x>0.4947</cdr:x>
      <cdr:y>0.22573</cdr:y>
    </cdr:from>
    <cdr:to>
      <cdr:x>0.4947</cdr:x>
      <cdr:y>0.81454</cdr:y>
    </cdr:to>
    <cdr:cxnSp macro="">
      <cdr:nvCxnSpPr>
        <cdr:cNvPr id="9" name="Straight Connector 8">
          <a:extLst xmlns:a="http://schemas.openxmlformats.org/drawingml/2006/main">
            <a:ext uri="{FF2B5EF4-FFF2-40B4-BE49-F238E27FC236}">
              <a16:creationId xmlns:a16="http://schemas.microsoft.com/office/drawing/2014/main" id="{632B2621-9688-8791-0450-7776B3B8F969}"/>
            </a:ext>
          </a:extLst>
        </cdr:cNvPr>
        <cdr:cNvCxnSpPr/>
      </cdr:nvCxnSpPr>
      <cdr:spPr>
        <a:xfrm xmlns:a="http://schemas.openxmlformats.org/drawingml/2006/main">
          <a:off x="3552848" y="885838"/>
          <a:ext cx="0" cy="2310667"/>
        </a:xfrm>
        <a:prstGeom xmlns:a="http://schemas.openxmlformats.org/drawingml/2006/main" prst="line">
          <a:avLst/>
        </a:prstGeom>
        <a:ln xmlns:a="http://schemas.openxmlformats.org/drawingml/2006/main">
          <a:prstDash val="dash"/>
        </a:ln>
      </cdr:spPr>
      <cdr:style>
        <a:lnRef xmlns:a="http://schemas.openxmlformats.org/drawingml/2006/main" idx="2">
          <a:schemeClr val="accent1"/>
        </a:lnRef>
        <a:fillRef xmlns:a="http://schemas.openxmlformats.org/drawingml/2006/main" idx="0">
          <a:schemeClr val="accent1"/>
        </a:fillRef>
        <a:effectRef xmlns:a="http://schemas.openxmlformats.org/drawingml/2006/main" idx="1">
          <a:schemeClr val="accent1"/>
        </a:effectRef>
        <a:fontRef xmlns:a="http://schemas.openxmlformats.org/drawingml/2006/main" idx="minor">
          <a:schemeClr val="tx1"/>
        </a:fontRef>
      </cdr:style>
    </cdr:cxnSp>
  </cdr:relSizeAnchor>
  <cdr:relSizeAnchor xmlns:cdr="http://schemas.openxmlformats.org/drawingml/2006/chartDrawing">
    <cdr:from>
      <cdr:x>0.44695</cdr:x>
      <cdr:y>0.0925</cdr:y>
    </cdr:from>
    <cdr:to>
      <cdr:x>0.54775</cdr:x>
      <cdr:y>0.24299</cdr:y>
    </cdr:to>
    <cdr:sp macro="" textlink="">
      <cdr:nvSpPr>
        <cdr:cNvPr id="10" name="TextBox 9">
          <a:extLst xmlns:a="http://schemas.openxmlformats.org/drawingml/2006/main">
            <a:ext uri="{FF2B5EF4-FFF2-40B4-BE49-F238E27FC236}">
              <a16:creationId xmlns:a16="http://schemas.microsoft.com/office/drawing/2014/main" id="{2F68D012-5DEC-AB51-8D51-3D9FEF0BD940}"/>
            </a:ext>
          </a:extLst>
        </cdr:cNvPr>
        <cdr:cNvSpPr txBox="1"/>
      </cdr:nvSpPr>
      <cdr:spPr>
        <a:xfrm xmlns:a="http://schemas.openxmlformats.org/drawingml/2006/main">
          <a:off x="3209907" y="362992"/>
          <a:ext cx="723930" cy="59056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AU" sz="1100"/>
            <a:t>Cut-off </a:t>
          </a:r>
          <a:br>
            <a:rPr lang="en-AU" sz="1100"/>
          </a:br>
          <a:r>
            <a:rPr lang="en-AU" sz="1100"/>
            <a:t>(30 days)</a:t>
          </a:r>
        </a:p>
      </cdr:txBody>
    </cdr:sp>
  </cdr:relSizeAnchor>
</c:userShapes>
</file>

<file path=xl/drawings/drawing4.xml><?xml version="1.0" encoding="utf-8"?>
<xdr:wsDr xmlns:xdr="http://schemas.openxmlformats.org/drawingml/2006/spreadsheetDrawing" xmlns:a="http://schemas.openxmlformats.org/drawingml/2006/main">
  <xdr:twoCellAnchor>
    <xdr:from>
      <xdr:col>5</xdr:col>
      <xdr:colOff>552450</xdr:colOff>
      <xdr:row>2</xdr:row>
      <xdr:rowOff>114300</xdr:rowOff>
    </xdr:from>
    <xdr:to>
      <xdr:col>17</xdr:col>
      <xdr:colOff>457200</xdr:colOff>
      <xdr:row>20</xdr:row>
      <xdr:rowOff>142875</xdr:rowOff>
    </xdr:to>
    <xdr:sp macro="" textlink="">
      <xdr:nvSpPr>
        <xdr:cNvPr id="2" name="TextBox 1">
          <a:extLst>
            <a:ext uri="{FF2B5EF4-FFF2-40B4-BE49-F238E27FC236}">
              <a16:creationId xmlns:a16="http://schemas.microsoft.com/office/drawing/2014/main" id="{6370106C-3CB9-2D90-7377-9A9A2A61129F}"/>
            </a:ext>
          </a:extLst>
        </xdr:cNvPr>
        <xdr:cNvSpPr txBox="1"/>
      </xdr:nvSpPr>
      <xdr:spPr>
        <a:xfrm>
          <a:off x="3981450" y="476250"/>
          <a:ext cx="8134350" cy="346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effectLst/>
              <a:latin typeface="+mn-lt"/>
              <a:ea typeface="+mn-ea"/>
              <a:cs typeface="+mn-cs"/>
            </a:rPr>
            <a:t>1.2 Market risk in the NEM (9 marks total)  </a:t>
          </a:r>
        </a:p>
        <a:p>
          <a:r>
            <a:rPr lang="en-GB" sz="1100" b="0" i="0">
              <a:solidFill>
                <a:schemeClr val="dk1"/>
              </a:solidFill>
              <a:effectLst/>
              <a:latin typeface="+mn-lt"/>
              <a:ea typeface="+mn-ea"/>
              <a:cs typeface="+mn-cs"/>
            </a:rPr>
            <a:t>Spark Energy has 1,500 MW of coal and gas-powered generation in QLD. It also has a hedge portfolio consisting solely of 1,000 MW in flat swaps with an average strike price of $130/MWh for Q1 2025 (2,160 hrs). Spark Energy’s risk manager wishes to calculate the value-at-risk (VaR) associated with its hedge portfolio for a holding period equal to the time between risk committee meetings (one month).  </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1. Using prices for </a:t>
          </a:r>
          <a:r>
            <a:rPr lang="en-GB" sz="1100" b="1" i="0" u="none" strike="noStrike">
              <a:solidFill>
                <a:schemeClr val="dk1"/>
              </a:solidFill>
              <a:effectLst/>
              <a:latin typeface="+mn-lt"/>
              <a:ea typeface="+mn-ea"/>
              <a:cs typeface="+mn-cs"/>
              <a:hlinkClick xmlns:r="http://schemas.openxmlformats.org/officeDocument/2006/relationships" r:id=""/>
            </a:rPr>
            <a:t>ASX-listed futures</a:t>
          </a:r>
          <a:r>
            <a:rPr lang="en-GB" sz="1100" b="0" i="0">
              <a:solidFill>
                <a:schemeClr val="dk1"/>
              </a:solidFill>
              <a:effectLst/>
              <a:latin typeface="+mn-lt"/>
              <a:ea typeface="+mn-ea"/>
              <a:cs typeface="+mn-cs"/>
            </a:rPr>
            <a:t> available on ProLearn to determine the volatility parameter, determine the VaR for the existing hedge portfolio. </a:t>
          </a:r>
          <a:r>
            <a:rPr lang="en-GB" sz="1100" b="1" i="0">
              <a:solidFill>
                <a:schemeClr val="dk1"/>
              </a:solidFill>
              <a:effectLst/>
              <a:latin typeface="+mn-lt"/>
              <a:ea typeface="+mn-ea"/>
              <a:cs typeface="+mn-cs"/>
            </a:rPr>
            <a:t>(4 marks) </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2. Spark Energy’s risk manager does not feel that VaR gives the full picture of Spark Energy’s exposure to electricity price risk. The risk manager is considering using simple sensitivity analysis with parallel shifts in electricity spot and forward prices. What advantages and disadvantages does this sensitivity analysis have relative to the previous VaR analysis? </a:t>
          </a:r>
          <a:r>
            <a:rPr lang="en-GB" sz="1100" b="1" i="0">
              <a:solidFill>
                <a:schemeClr val="dk1"/>
              </a:solidFill>
              <a:effectLst/>
              <a:latin typeface="+mn-lt"/>
              <a:ea typeface="+mn-ea"/>
              <a:cs typeface="+mn-cs"/>
            </a:rPr>
            <a:t>(3 marks)</a:t>
          </a:r>
          <a:endParaRPr lang="en-GB" sz="1100" b="0" i="0">
            <a:solidFill>
              <a:schemeClr val="dk1"/>
            </a:solidFill>
            <a:effectLst/>
            <a:latin typeface="+mn-lt"/>
            <a:ea typeface="+mn-ea"/>
            <a:cs typeface="+mn-cs"/>
          </a:endParaRP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3. Name two ’at risk’ metrics that might be useful to Spark Energy’s risk manager in addition to VaR. What are their respective advantages? </a:t>
          </a:r>
          <a:r>
            <a:rPr lang="en-GB" sz="1100" b="1" i="0">
              <a:solidFill>
                <a:schemeClr val="dk1"/>
              </a:solidFill>
              <a:effectLst/>
              <a:latin typeface="+mn-lt"/>
              <a:ea typeface="+mn-ea"/>
              <a:cs typeface="+mn-cs"/>
            </a:rPr>
            <a:t>(2 marks)</a:t>
          </a:r>
          <a:endParaRPr lang="en-GB" sz="1100" b="0" i="0">
            <a:solidFill>
              <a:schemeClr val="dk1"/>
            </a:solidFill>
            <a:effectLst/>
            <a:latin typeface="+mn-lt"/>
            <a:ea typeface="+mn-ea"/>
            <a:cs typeface="+mn-cs"/>
          </a:endParaRPr>
        </a:p>
        <a:p>
          <a:endParaRPr lang="en-AU" sz="1100"/>
        </a:p>
      </xdr:txBody>
    </xdr:sp>
    <xdr:clientData/>
  </xdr:twoCellAnchor>
  <xdr:twoCellAnchor>
    <xdr:from>
      <xdr:col>5</xdr:col>
      <xdr:colOff>333375</xdr:colOff>
      <xdr:row>20</xdr:row>
      <xdr:rowOff>152400</xdr:rowOff>
    </xdr:from>
    <xdr:to>
      <xdr:col>5</xdr:col>
      <xdr:colOff>352425</xdr:colOff>
      <xdr:row>35</xdr:row>
      <xdr:rowOff>152400</xdr:rowOff>
    </xdr:to>
    <xdr:cxnSp macro="">
      <xdr:nvCxnSpPr>
        <xdr:cNvPr id="4" name="Straight Arrow Connector 3">
          <a:extLst>
            <a:ext uri="{FF2B5EF4-FFF2-40B4-BE49-F238E27FC236}">
              <a16:creationId xmlns:a16="http://schemas.microsoft.com/office/drawing/2014/main" id="{A195E7D5-72B5-C4E9-DD53-9592D2C5ECC2}"/>
            </a:ext>
          </a:extLst>
        </xdr:cNvPr>
        <xdr:cNvCxnSpPr/>
      </xdr:nvCxnSpPr>
      <xdr:spPr>
        <a:xfrm flipV="1">
          <a:off x="7134225" y="3771900"/>
          <a:ext cx="19050" cy="273367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314325</xdr:colOff>
      <xdr:row>35</xdr:row>
      <xdr:rowOff>133350</xdr:rowOff>
    </xdr:from>
    <xdr:to>
      <xdr:col>14</xdr:col>
      <xdr:colOff>104775</xdr:colOff>
      <xdr:row>35</xdr:row>
      <xdr:rowOff>133350</xdr:rowOff>
    </xdr:to>
    <xdr:cxnSp macro="">
      <xdr:nvCxnSpPr>
        <xdr:cNvPr id="6" name="Straight Arrow Connector 5">
          <a:extLst>
            <a:ext uri="{FF2B5EF4-FFF2-40B4-BE49-F238E27FC236}">
              <a16:creationId xmlns:a16="http://schemas.microsoft.com/office/drawing/2014/main" id="{1741C6CF-490A-94F6-87EF-EE7F444AB45E}"/>
            </a:ext>
          </a:extLst>
        </xdr:cNvPr>
        <xdr:cNvCxnSpPr/>
      </xdr:nvCxnSpPr>
      <xdr:spPr>
        <a:xfrm>
          <a:off x="7115175" y="6486525"/>
          <a:ext cx="5962650" cy="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257175</xdr:colOff>
      <xdr:row>22</xdr:row>
      <xdr:rowOff>123825</xdr:rowOff>
    </xdr:from>
    <xdr:to>
      <xdr:col>5</xdr:col>
      <xdr:colOff>219075</xdr:colOff>
      <xdr:row>24</xdr:row>
      <xdr:rowOff>114300</xdr:rowOff>
    </xdr:to>
    <xdr:sp macro="" textlink="">
      <xdr:nvSpPr>
        <xdr:cNvPr id="7" name="TextBox 6">
          <a:extLst>
            <a:ext uri="{FF2B5EF4-FFF2-40B4-BE49-F238E27FC236}">
              <a16:creationId xmlns:a16="http://schemas.microsoft.com/office/drawing/2014/main" id="{D14F0679-E70D-4232-B46D-8FE4A99E8B18}"/>
            </a:ext>
          </a:extLst>
        </xdr:cNvPr>
        <xdr:cNvSpPr txBox="1"/>
      </xdr:nvSpPr>
      <xdr:spPr>
        <a:xfrm>
          <a:off x="6372225" y="41052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Price</a:t>
          </a:r>
        </a:p>
      </xdr:txBody>
    </xdr:sp>
    <xdr:clientData/>
  </xdr:twoCellAnchor>
  <xdr:twoCellAnchor>
    <xdr:from>
      <xdr:col>12</xdr:col>
      <xdr:colOff>523875</xdr:colOff>
      <xdr:row>36</xdr:row>
      <xdr:rowOff>47625</xdr:rowOff>
    </xdr:from>
    <xdr:to>
      <xdr:col>13</xdr:col>
      <xdr:colOff>485775</xdr:colOff>
      <xdr:row>38</xdr:row>
      <xdr:rowOff>38100</xdr:rowOff>
    </xdr:to>
    <xdr:sp macro="" textlink="">
      <xdr:nvSpPr>
        <xdr:cNvPr id="8" name="TextBox 7">
          <a:extLst>
            <a:ext uri="{FF2B5EF4-FFF2-40B4-BE49-F238E27FC236}">
              <a16:creationId xmlns:a16="http://schemas.microsoft.com/office/drawing/2014/main" id="{4093DC56-1ED2-EA43-A131-4F5B0631D26B}"/>
            </a:ext>
          </a:extLst>
        </xdr:cNvPr>
        <xdr:cNvSpPr txBox="1"/>
      </xdr:nvSpPr>
      <xdr:spPr>
        <a:xfrm>
          <a:off x="12125325" y="6581775"/>
          <a:ext cx="647700"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Time</a:t>
          </a:r>
        </a:p>
      </xdr:txBody>
    </xdr:sp>
    <xdr:clientData/>
  </xdr:twoCellAnchor>
  <xdr:twoCellAnchor>
    <xdr:from>
      <xdr:col>5</xdr:col>
      <xdr:colOff>342900</xdr:colOff>
      <xdr:row>27</xdr:row>
      <xdr:rowOff>66675</xdr:rowOff>
    </xdr:from>
    <xdr:to>
      <xdr:col>12</xdr:col>
      <xdr:colOff>381000</xdr:colOff>
      <xdr:row>27</xdr:row>
      <xdr:rowOff>76200</xdr:rowOff>
    </xdr:to>
    <xdr:cxnSp macro="">
      <xdr:nvCxnSpPr>
        <xdr:cNvPr id="10" name="Straight Connector 9">
          <a:extLst>
            <a:ext uri="{FF2B5EF4-FFF2-40B4-BE49-F238E27FC236}">
              <a16:creationId xmlns:a16="http://schemas.microsoft.com/office/drawing/2014/main" id="{CAFFF1E1-03C9-EA6A-B8DA-DEA8A57F5515}"/>
            </a:ext>
          </a:extLst>
        </xdr:cNvPr>
        <xdr:cNvCxnSpPr/>
      </xdr:nvCxnSpPr>
      <xdr:spPr>
        <a:xfrm>
          <a:off x="7143750" y="4962525"/>
          <a:ext cx="4838700" cy="9525"/>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409574</xdr:colOff>
      <xdr:row>26</xdr:row>
      <xdr:rowOff>104775</xdr:rowOff>
    </xdr:from>
    <xdr:to>
      <xdr:col>9</xdr:col>
      <xdr:colOff>571499</xdr:colOff>
      <xdr:row>28</xdr:row>
      <xdr:rowOff>76200</xdr:rowOff>
    </xdr:to>
    <xdr:sp macro="" textlink="">
      <xdr:nvSpPr>
        <xdr:cNvPr id="11" name="TextBox 10">
          <a:extLst>
            <a:ext uri="{FF2B5EF4-FFF2-40B4-BE49-F238E27FC236}">
              <a16:creationId xmlns:a16="http://schemas.microsoft.com/office/drawing/2014/main" id="{3280DD76-F835-A0D2-8046-BC2CEF2DB59E}"/>
            </a:ext>
          </a:extLst>
        </xdr:cNvPr>
        <xdr:cNvSpPr txBox="1"/>
      </xdr:nvSpPr>
      <xdr:spPr>
        <a:xfrm>
          <a:off x="9267824" y="4810125"/>
          <a:ext cx="8477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Strike price</a:t>
          </a:r>
        </a:p>
      </xdr:txBody>
    </xdr:sp>
    <xdr:clientData/>
  </xdr:twoCellAnchor>
  <xdr:twoCellAnchor>
    <xdr:from>
      <xdr:col>7</xdr:col>
      <xdr:colOff>466724</xdr:colOff>
      <xdr:row>29</xdr:row>
      <xdr:rowOff>57150</xdr:rowOff>
    </xdr:from>
    <xdr:to>
      <xdr:col>10</xdr:col>
      <xdr:colOff>552450</xdr:colOff>
      <xdr:row>31</xdr:row>
      <xdr:rowOff>66675</xdr:rowOff>
    </xdr:to>
    <xdr:sp macro="" textlink="">
      <xdr:nvSpPr>
        <xdr:cNvPr id="12" name="TextBox 11">
          <a:extLst>
            <a:ext uri="{FF2B5EF4-FFF2-40B4-BE49-F238E27FC236}">
              <a16:creationId xmlns:a16="http://schemas.microsoft.com/office/drawing/2014/main" id="{8CA86952-E955-3B8B-3CFB-66CE09A1DA51}"/>
            </a:ext>
          </a:extLst>
        </xdr:cNvPr>
        <xdr:cNvSpPr txBox="1"/>
      </xdr:nvSpPr>
      <xdr:spPr>
        <a:xfrm>
          <a:off x="8639174" y="5324475"/>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a:t>Counterparty</a:t>
          </a:r>
          <a:r>
            <a:rPr lang="en-AU" sz="1100" baseline="0"/>
            <a:t> pays Generator</a:t>
          </a:r>
          <a:endParaRPr lang="en-AU" sz="1100"/>
        </a:p>
      </xdr:txBody>
    </xdr:sp>
    <xdr:clientData/>
  </xdr:twoCellAnchor>
  <xdr:twoCellAnchor>
    <xdr:from>
      <xdr:col>7</xdr:col>
      <xdr:colOff>514349</xdr:colOff>
      <xdr:row>22</xdr:row>
      <xdr:rowOff>171450</xdr:rowOff>
    </xdr:from>
    <xdr:to>
      <xdr:col>10</xdr:col>
      <xdr:colOff>600075</xdr:colOff>
      <xdr:row>25</xdr:row>
      <xdr:rowOff>0</xdr:rowOff>
    </xdr:to>
    <xdr:sp macro="" textlink="">
      <xdr:nvSpPr>
        <xdr:cNvPr id="13" name="TextBox 12">
          <a:extLst>
            <a:ext uri="{FF2B5EF4-FFF2-40B4-BE49-F238E27FC236}">
              <a16:creationId xmlns:a16="http://schemas.microsoft.com/office/drawing/2014/main" id="{3BB9EF41-C331-0D6C-F8B0-E1EE10BA8D0B}"/>
            </a:ext>
          </a:extLst>
        </xdr:cNvPr>
        <xdr:cNvSpPr txBox="1"/>
      </xdr:nvSpPr>
      <xdr:spPr>
        <a:xfrm>
          <a:off x="8686799" y="4152900"/>
          <a:ext cx="2143126"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100" baseline="0"/>
            <a:t>Generator pays </a:t>
          </a:r>
          <a:r>
            <a:rPr lang="en-AU" sz="1100">
              <a:solidFill>
                <a:schemeClr val="dk1"/>
              </a:solidFill>
              <a:effectLst/>
              <a:latin typeface="+mn-lt"/>
              <a:ea typeface="+mn-ea"/>
              <a:cs typeface="+mn-cs"/>
            </a:rPr>
            <a:t>Counterparty</a:t>
          </a:r>
          <a:endParaRPr lang="en-AU" sz="1100"/>
        </a:p>
      </xdr:txBody>
    </xdr:sp>
    <xdr:clientData/>
  </xdr:twoCellAnchor>
  <xdr:twoCellAnchor editAs="oneCell">
    <xdr:from>
      <xdr:col>0</xdr:col>
      <xdr:colOff>0</xdr:colOff>
      <xdr:row>34</xdr:row>
      <xdr:rowOff>0</xdr:rowOff>
    </xdr:from>
    <xdr:to>
      <xdr:col>9</xdr:col>
      <xdr:colOff>87195</xdr:colOff>
      <xdr:row>48</xdr:row>
      <xdr:rowOff>133722</xdr:rowOff>
    </xdr:to>
    <xdr:pic>
      <xdr:nvPicPr>
        <xdr:cNvPr id="14" name="Picture 13" descr="A white rectangular frame with black text&#10;&#10;Description automatically generated">
          <a:extLst>
            <a:ext uri="{FF2B5EF4-FFF2-40B4-BE49-F238E27FC236}">
              <a16:creationId xmlns:a16="http://schemas.microsoft.com/office/drawing/2014/main" id="{D69F29A0-C131-E395-9C85-F3DB99CB0C92}"/>
            </a:ext>
          </a:extLst>
        </xdr:cNvPr>
        <xdr:cNvPicPr>
          <a:picLocks noChangeAspect="1"/>
        </xdr:cNvPicPr>
      </xdr:nvPicPr>
      <xdr:blipFill>
        <a:blip xmlns:r="http://schemas.openxmlformats.org/officeDocument/2006/relationships" r:embed="rId1"/>
        <a:stretch>
          <a:fillRect/>
        </a:stretch>
      </xdr:blipFill>
      <xdr:spPr>
        <a:xfrm>
          <a:off x="0" y="6191250"/>
          <a:ext cx="10536120" cy="266737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D1F4671-8139-4560-A3E2-19664B8E026F}" name="Table1" displayName="Table1" ref="A1:J255" totalsRowShown="0">
  <tableColumns count="10">
    <tableColumn id="1" xr3:uid="{204FA9FD-E6ED-4330-B634-6FEB7E19BB22}" name="contract_code"/>
    <tableColumn id="2" xr3:uid="{F1C21E7A-0FBA-4D1F-BCC8-57D9003DA249}" name="trading_date" dataDxfId="0"/>
    <tableColumn id="3" xr3:uid="{FFD0F441-3AA8-47F3-B1D6-7DDD9AD4AE75}" name="open"/>
    <tableColumn id="4" xr3:uid="{0E422D5B-266B-4472-8D75-7F9C887873C2}" name="high"/>
    <tableColumn id="5" xr3:uid="{0D200DC6-86DB-424C-80F2-D2D8118D483D}" name="low"/>
    <tableColumn id="6" xr3:uid="{1758B4F5-B95A-4EDD-9D32-2F9FE2C5C99E}" name="settle"/>
    <tableColumn id="7" xr3:uid="{CC7B2D0B-DEEB-45B0-810E-EE528244EA77}" name="net_change"/>
    <tableColumn id="8" xr3:uid="{929BD486-49C7-485E-B091-0EF482F8C161}" name="volume"/>
    <tableColumn id="9" xr3:uid="{310C47C7-17C0-481C-8FB9-AB10B4A74856}" name="open_interest"/>
    <tableColumn id="10" xr3:uid="{69EB26B6-82C5-4B64-B8E0-72816E901EF5}" name="returns" dataCellStyle="Percent">
      <calculatedColumnFormula>IFERROR(LN(Table1[[#This Row],[settle]]/F1),0)</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295D-8E1C-4C65-BAC6-4CB36F14097A}">
  <dimension ref="A1:N255"/>
  <sheetViews>
    <sheetView topLeftCell="A219" workbookViewId="0">
      <selection activeCell="C255" sqref="C255"/>
    </sheetView>
  </sheetViews>
  <sheetFormatPr defaultRowHeight="14.25" x14ac:dyDescent="0.2"/>
  <cols>
    <col min="1" max="1" width="14.375" customWidth="1"/>
    <col min="2" max="2" width="12.75" customWidth="1"/>
    <col min="7" max="7" width="12.25" customWidth="1"/>
    <col min="9" max="9" width="13.75" customWidth="1"/>
  </cols>
  <sheetData>
    <row r="1" spans="1:14" x14ac:dyDescent="0.2">
      <c r="A1" t="s">
        <v>25</v>
      </c>
      <c r="B1" t="s">
        <v>26</v>
      </c>
      <c r="C1" t="s">
        <v>27</v>
      </c>
      <c r="D1" t="s">
        <v>28</v>
      </c>
      <c r="E1" t="s">
        <v>29</v>
      </c>
      <c r="F1" t="s">
        <v>30</v>
      </c>
      <c r="G1" t="s">
        <v>31</v>
      </c>
      <c r="H1" t="s">
        <v>32</v>
      </c>
      <c r="I1" t="s">
        <v>33</v>
      </c>
      <c r="J1" t="s">
        <v>35</v>
      </c>
    </row>
    <row r="2" spans="1:14" x14ac:dyDescent="0.2">
      <c r="A2" t="s">
        <v>34</v>
      </c>
      <c r="B2" s="7">
        <v>44958</v>
      </c>
      <c r="C2">
        <v>112.87</v>
      </c>
      <c r="D2">
        <v>0</v>
      </c>
      <c r="E2">
        <v>0</v>
      </c>
      <c r="F2">
        <v>112.87</v>
      </c>
      <c r="G2">
        <v>1.87</v>
      </c>
      <c r="H2">
        <v>7</v>
      </c>
      <c r="I2">
        <v>1149</v>
      </c>
      <c r="J2" s="8">
        <f>IFERROR(LN(Table1[[#This Row],[settle]]/F1),0)</f>
        <v>0</v>
      </c>
    </row>
    <row r="3" spans="1:14" x14ac:dyDescent="0.2">
      <c r="A3" t="s">
        <v>34</v>
      </c>
      <c r="B3" s="7">
        <v>44959</v>
      </c>
      <c r="C3">
        <v>112</v>
      </c>
      <c r="D3">
        <v>112</v>
      </c>
      <c r="E3">
        <v>111</v>
      </c>
      <c r="F3">
        <v>111.5</v>
      </c>
      <c r="G3">
        <v>-1.37</v>
      </c>
      <c r="H3">
        <v>14</v>
      </c>
      <c r="I3">
        <v>1163</v>
      </c>
      <c r="J3" s="8">
        <f>IFERROR(LN(Table1[[#This Row],[settle]]/F2),0)</f>
        <v>-1.2212123067361592E-2</v>
      </c>
    </row>
    <row r="4" spans="1:14" x14ac:dyDescent="0.2">
      <c r="A4" t="s">
        <v>34</v>
      </c>
      <c r="B4" s="7">
        <v>44960</v>
      </c>
      <c r="C4">
        <v>111.5</v>
      </c>
      <c r="D4">
        <v>111.5</v>
      </c>
      <c r="E4">
        <v>109</v>
      </c>
      <c r="F4">
        <v>109.25</v>
      </c>
      <c r="G4">
        <v>-2.25</v>
      </c>
      <c r="H4">
        <v>5</v>
      </c>
      <c r="I4">
        <v>1168</v>
      </c>
      <c r="J4" s="8">
        <f>IFERROR(LN(Table1[[#This Row],[settle]]/F3),0)</f>
        <v>-2.0385756924473863E-2</v>
      </c>
    </row>
    <row r="5" spans="1:14" x14ac:dyDescent="0.2">
      <c r="A5" t="s">
        <v>34</v>
      </c>
      <c r="B5" s="7">
        <v>44963</v>
      </c>
      <c r="C5">
        <v>108.19</v>
      </c>
      <c r="D5">
        <v>0</v>
      </c>
      <c r="E5">
        <v>0</v>
      </c>
      <c r="F5">
        <v>109.25</v>
      </c>
      <c r="G5">
        <v>0</v>
      </c>
      <c r="H5">
        <v>23</v>
      </c>
      <c r="I5">
        <v>1191</v>
      </c>
      <c r="J5" s="8">
        <f>IFERROR(LN(Table1[[#This Row],[settle]]/F4),0)</f>
        <v>0</v>
      </c>
      <c r="M5" t="s">
        <v>46</v>
      </c>
      <c r="N5" s="15">
        <f>AVERAGE(Table1[returns])</f>
        <v>-2.8980545993365569E-4</v>
      </c>
    </row>
    <row r="6" spans="1:14" x14ac:dyDescent="0.2">
      <c r="A6" t="s">
        <v>34</v>
      </c>
      <c r="B6" s="7">
        <v>44964</v>
      </c>
      <c r="C6">
        <v>109.25</v>
      </c>
      <c r="D6">
        <v>0</v>
      </c>
      <c r="E6">
        <v>0</v>
      </c>
      <c r="F6">
        <v>109.25</v>
      </c>
      <c r="G6">
        <v>0</v>
      </c>
      <c r="H6">
        <v>4</v>
      </c>
      <c r="I6">
        <v>1158</v>
      </c>
      <c r="J6" s="8">
        <f>IFERROR(LN(Table1[[#This Row],[settle]]/F5),0)</f>
        <v>0</v>
      </c>
      <c r="M6" t="s">
        <v>47</v>
      </c>
      <c r="N6" s="9">
        <f>_xlfn.STDEV.S(Table1[returns])</f>
        <v>1.3714089513613876E-2</v>
      </c>
    </row>
    <row r="7" spans="1:14" x14ac:dyDescent="0.2">
      <c r="A7" t="s">
        <v>34</v>
      </c>
      <c r="B7" s="7">
        <v>44965</v>
      </c>
      <c r="C7">
        <v>110.48</v>
      </c>
      <c r="D7">
        <v>0</v>
      </c>
      <c r="E7">
        <v>0</v>
      </c>
      <c r="F7">
        <v>112</v>
      </c>
      <c r="G7">
        <v>2.75</v>
      </c>
      <c r="H7">
        <v>29</v>
      </c>
      <c r="I7">
        <v>1187</v>
      </c>
      <c r="J7" s="8">
        <f>IFERROR(LN(Table1[[#This Row],[settle]]/F6),0)</f>
        <v>2.486003731939504E-2</v>
      </c>
    </row>
    <row r="8" spans="1:14" x14ac:dyDescent="0.2">
      <c r="A8" t="s">
        <v>34</v>
      </c>
      <c r="B8" s="7">
        <v>44966</v>
      </c>
      <c r="C8">
        <v>111.1</v>
      </c>
      <c r="D8">
        <v>0</v>
      </c>
      <c r="E8">
        <v>0</v>
      </c>
      <c r="F8">
        <v>112.24</v>
      </c>
      <c r="G8">
        <v>0.24</v>
      </c>
      <c r="H8">
        <v>52</v>
      </c>
      <c r="I8">
        <v>1215</v>
      </c>
      <c r="J8" s="8">
        <f>IFERROR(LN(Table1[[#This Row],[settle]]/F7),0)</f>
        <v>2.1405644991108167E-3</v>
      </c>
      <c r="M8" t="s">
        <v>36</v>
      </c>
      <c r="N8" s="9">
        <f>MIN(Table1[returns])</f>
        <v>-5.4215747151183442E-2</v>
      </c>
    </row>
    <row r="9" spans="1:14" x14ac:dyDescent="0.2">
      <c r="A9" t="s">
        <v>34</v>
      </c>
      <c r="B9" s="7">
        <v>44967</v>
      </c>
      <c r="C9">
        <v>111</v>
      </c>
      <c r="D9">
        <v>111</v>
      </c>
      <c r="E9">
        <v>111</v>
      </c>
      <c r="F9">
        <v>111</v>
      </c>
      <c r="G9">
        <v>-1.24</v>
      </c>
      <c r="H9">
        <v>5</v>
      </c>
      <c r="I9">
        <v>1177</v>
      </c>
      <c r="J9" s="8">
        <f>IFERROR(LN(Table1[[#This Row],[settle]]/F8),0)</f>
        <v>-1.1109234481871302E-2</v>
      </c>
      <c r="M9" t="s">
        <v>37</v>
      </c>
      <c r="N9" s="9">
        <f>MAX(Table1[returns])</f>
        <v>4.2542160431868536E-2</v>
      </c>
    </row>
    <row r="10" spans="1:14" x14ac:dyDescent="0.2">
      <c r="A10" t="s">
        <v>34</v>
      </c>
      <c r="B10" s="7">
        <v>44970</v>
      </c>
      <c r="C10">
        <v>109.25</v>
      </c>
      <c r="D10">
        <v>109.25</v>
      </c>
      <c r="E10">
        <v>109.25</v>
      </c>
      <c r="F10">
        <v>109.25</v>
      </c>
      <c r="G10">
        <v>-1.75</v>
      </c>
      <c r="H10">
        <v>1</v>
      </c>
      <c r="I10">
        <v>1174</v>
      </c>
      <c r="J10" s="8">
        <f>IFERROR(LN(Table1[[#This Row],[settle]]/F9),0)</f>
        <v>-1.5891367336634554E-2</v>
      </c>
      <c r="M10" t="s">
        <v>38</v>
      </c>
      <c r="N10" s="10">
        <f>N9-N8</f>
        <v>9.6757907583051972E-2</v>
      </c>
    </row>
    <row r="11" spans="1:14" x14ac:dyDescent="0.2">
      <c r="A11" t="s">
        <v>34</v>
      </c>
      <c r="B11" s="7">
        <v>44971</v>
      </c>
      <c r="C11">
        <v>108</v>
      </c>
      <c r="D11">
        <v>108</v>
      </c>
      <c r="E11">
        <v>106</v>
      </c>
      <c r="F11">
        <v>108</v>
      </c>
      <c r="G11">
        <v>-1.25</v>
      </c>
      <c r="H11">
        <v>3</v>
      </c>
      <c r="I11">
        <v>1175</v>
      </c>
      <c r="J11" s="8">
        <f>IFERROR(LN(Table1[[#This Row],[settle]]/F10),0)</f>
        <v>-1.1507606851479802E-2</v>
      </c>
      <c r="M11" t="s">
        <v>39</v>
      </c>
      <c r="N11">
        <f>COUNT(M16:M37)</f>
        <v>22</v>
      </c>
    </row>
    <row r="12" spans="1:14" x14ac:dyDescent="0.2">
      <c r="A12" t="s">
        <v>34</v>
      </c>
      <c r="B12" s="7">
        <v>44972</v>
      </c>
      <c r="C12">
        <v>106.23</v>
      </c>
      <c r="D12">
        <v>0</v>
      </c>
      <c r="E12">
        <v>0</v>
      </c>
      <c r="F12">
        <v>106.23</v>
      </c>
      <c r="G12">
        <v>-1.77</v>
      </c>
      <c r="H12">
        <v>10</v>
      </c>
      <c r="I12">
        <v>1175</v>
      </c>
      <c r="J12" s="8">
        <f>IFERROR(LN(Table1[[#This Row],[settle]]/F11),0)</f>
        <v>-1.6524672332297645E-2</v>
      </c>
    </row>
    <row r="13" spans="1:14" x14ac:dyDescent="0.2">
      <c r="A13" t="s">
        <v>34</v>
      </c>
      <c r="B13" s="7">
        <v>44973</v>
      </c>
      <c r="C13">
        <v>106.88</v>
      </c>
      <c r="D13">
        <v>0</v>
      </c>
      <c r="E13">
        <v>0</v>
      </c>
      <c r="F13">
        <v>103.97</v>
      </c>
      <c r="G13">
        <v>-2.2599999999999998</v>
      </c>
      <c r="H13">
        <v>9</v>
      </c>
      <c r="I13">
        <v>1173</v>
      </c>
      <c r="J13" s="8">
        <f>IFERROR(LN(Table1[[#This Row],[settle]]/F12),0)</f>
        <v>-2.1504158802043264E-2</v>
      </c>
      <c r="M13" t="s">
        <v>41</v>
      </c>
      <c r="N13" s="9">
        <f>N10/(N11-1)</f>
        <v>4.607519408716761E-3</v>
      </c>
    </row>
    <row r="14" spans="1:14" x14ac:dyDescent="0.2">
      <c r="A14" t="s">
        <v>34</v>
      </c>
      <c r="B14" s="7">
        <v>44974</v>
      </c>
      <c r="C14">
        <v>103.9</v>
      </c>
      <c r="D14">
        <v>104.5</v>
      </c>
      <c r="E14">
        <v>103.9</v>
      </c>
      <c r="F14">
        <v>104.5</v>
      </c>
      <c r="G14">
        <v>0.53</v>
      </c>
      <c r="H14">
        <v>22</v>
      </c>
      <c r="I14">
        <v>1186</v>
      </c>
      <c r="J14" s="8">
        <f>IFERROR(LN(Table1[[#This Row],[settle]]/F13),0)</f>
        <v>5.0846754149869713E-3</v>
      </c>
    </row>
    <row r="15" spans="1:14" x14ac:dyDescent="0.2">
      <c r="A15" t="s">
        <v>34</v>
      </c>
      <c r="B15" s="7">
        <v>44977</v>
      </c>
      <c r="C15">
        <v>104.5</v>
      </c>
      <c r="D15">
        <v>104.5</v>
      </c>
      <c r="E15">
        <v>104.5</v>
      </c>
      <c r="F15">
        <v>104.35</v>
      </c>
      <c r="G15">
        <v>-0.15</v>
      </c>
      <c r="H15">
        <v>4</v>
      </c>
      <c r="I15">
        <v>1173</v>
      </c>
      <c r="J15" s="8">
        <f>IFERROR(LN(Table1[[#This Row],[settle]]/F14),0)</f>
        <v>-1.4364378816560247E-3</v>
      </c>
      <c r="M15" t="s">
        <v>40</v>
      </c>
      <c r="N15" t="s">
        <v>42</v>
      </c>
    </row>
    <row r="16" spans="1:14" x14ac:dyDescent="0.2">
      <c r="A16" t="s">
        <v>34</v>
      </c>
      <c r="B16" s="7">
        <v>44978</v>
      </c>
      <c r="C16">
        <v>0</v>
      </c>
      <c r="D16">
        <v>0</v>
      </c>
      <c r="E16">
        <v>0</v>
      </c>
      <c r="F16">
        <v>104.35</v>
      </c>
      <c r="G16">
        <v>0</v>
      </c>
      <c r="H16">
        <v>0</v>
      </c>
      <c r="I16">
        <v>1173</v>
      </c>
      <c r="J16" s="8">
        <f>IFERROR(LN(Table1[[#This Row],[settle]]/F15),0)</f>
        <v>0</v>
      </c>
      <c r="M16">
        <v>1</v>
      </c>
      <c r="N16" s="10">
        <f>Minimum</f>
        <v>-5.4215747151183442E-2</v>
      </c>
    </row>
    <row r="17" spans="1:14" x14ac:dyDescent="0.2">
      <c r="A17" t="s">
        <v>34</v>
      </c>
      <c r="B17" s="7">
        <v>44979</v>
      </c>
      <c r="C17">
        <v>104</v>
      </c>
      <c r="D17">
        <v>104</v>
      </c>
      <c r="E17">
        <v>104</v>
      </c>
      <c r="F17">
        <v>104</v>
      </c>
      <c r="G17">
        <v>-0.35</v>
      </c>
      <c r="H17">
        <v>1</v>
      </c>
      <c r="I17">
        <v>1173</v>
      </c>
      <c r="J17" s="8">
        <f>IFERROR(LN(Table1[[#This Row],[settle]]/F16),0)</f>
        <v>-3.3597343818370269E-3</v>
      </c>
      <c r="M17">
        <f>M16+1</f>
        <v>2</v>
      </c>
      <c r="N17" s="10">
        <f t="shared" ref="N17:N37" si="0">N16+Increment</f>
        <v>-4.9608227742466683E-2</v>
      </c>
    </row>
    <row r="18" spans="1:14" x14ac:dyDescent="0.2">
      <c r="A18" t="s">
        <v>34</v>
      </c>
      <c r="B18" s="7">
        <v>44980</v>
      </c>
      <c r="C18">
        <v>102</v>
      </c>
      <c r="D18">
        <v>102</v>
      </c>
      <c r="E18">
        <v>101</v>
      </c>
      <c r="F18">
        <v>101</v>
      </c>
      <c r="G18">
        <v>-3</v>
      </c>
      <c r="H18">
        <v>56</v>
      </c>
      <c r="I18">
        <v>1173</v>
      </c>
      <c r="J18" s="8">
        <f>IFERROR(LN(Table1[[#This Row],[settle]]/F17),0)</f>
        <v>-2.9270382300113224E-2</v>
      </c>
      <c r="M18">
        <f t="shared" ref="M18:M37" si="1">M17+1</f>
        <v>3</v>
      </c>
      <c r="N18" s="10">
        <f t="shared" si="0"/>
        <v>-4.5000708333749924E-2</v>
      </c>
    </row>
    <row r="19" spans="1:14" x14ac:dyDescent="0.2">
      <c r="A19" t="s">
        <v>34</v>
      </c>
      <c r="B19" s="7">
        <v>44981</v>
      </c>
      <c r="C19">
        <v>101</v>
      </c>
      <c r="D19">
        <v>101</v>
      </c>
      <c r="E19">
        <v>100</v>
      </c>
      <c r="F19">
        <v>95.67</v>
      </c>
      <c r="G19">
        <v>-5.33</v>
      </c>
      <c r="H19">
        <v>7</v>
      </c>
      <c r="I19">
        <v>1174</v>
      </c>
      <c r="J19" s="8">
        <f>IFERROR(LN(Table1[[#This Row],[settle]]/F18),0)</f>
        <v>-5.4215747151183442E-2</v>
      </c>
      <c r="M19">
        <f t="shared" si="1"/>
        <v>4</v>
      </c>
      <c r="N19" s="10">
        <f t="shared" si="0"/>
        <v>-4.0393188925033165E-2</v>
      </c>
    </row>
    <row r="20" spans="1:14" x14ac:dyDescent="0.2">
      <c r="A20" t="s">
        <v>34</v>
      </c>
      <c r="B20" s="7">
        <v>44984</v>
      </c>
      <c r="C20">
        <v>0</v>
      </c>
      <c r="D20">
        <v>0</v>
      </c>
      <c r="E20">
        <v>0</v>
      </c>
      <c r="F20">
        <v>95.17</v>
      </c>
      <c r="G20">
        <v>-0.5</v>
      </c>
      <c r="H20">
        <v>0</v>
      </c>
      <c r="I20">
        <v>1174</v>
      </c>
      <c r="J20" s="8">
        <f>IFERROR(LN(Table1[[#This Row],[settle]]/F19),0)</f>
        <v>-5.2400036058239292E-3</v>
      </c>
      <c r="M20">
        <f t="shared" si="1"/>
        <v>5</v>
      </c>
      <c r="N20" s="10">
        <f t="shared" si="0"/>
        <v>-3.5785669516316405E-2</v>
      </c>
    </row>
    <row r="21" spans="1:14" x14ac:dyDescent="0.2">
      <c r="A21" t="s">
        <v>34</v>
      </c>
      <c r="B21" s="7">
        <v>44985</v>
      </c>
      <c r="C21">
        <v>96</v>
      </c>
      <c r="D21">
        <v>96</v>
      </c>
      <c r="E21">
        <v>96</v>
      </c>
      <c r="F21">
        <v>95.93</v>
      </c>
      <c r="G21">
        <v>0.76</v>
      </c>
      <c r="H21">
        <v>5</v>
      </c>
      <c r="I21">
        <v>1176</v>
      </c>
      <c r="J21" s="8">
        <f>IFERROR(LN(Table1[[#This Row],[settle]]/F20),0)</f>
        <v>7.9539927456041635E-3</v>
      </c>
      <c r="M21">
        <f t="shared" si="1"/>
        <v>6</v>
      </c>
      <c r="N21" s="10">
        <f t="shared" si="0"/>
        <v>-3.1178150107599646E-2</v>
      </c>
    </row>
    <row r="22" spans="1:14" x14ac:dyDescent="0.2">
      <c r="A22" t="s">
        <v>34</v>
      </c>
      <c r="B22" s="7">
        <v>44986</v>
      </c>
      <c r="C22">
        <v>98</v>
      </c>
      <c r="D22">
        <v>98</v>
      </c>
      <c r="E22">
        <v>98</v>
      </c>
      <c r="F22">
        <v>98</v>
      </c>
      <c r="G22">
        <v>2.0699999999999998</v>
      </c>
      <c r="H22">
        <v>62</v>
      </c>
      <c r="I22">
        <v>1177</v>
      </c>
      <c r="J22" s="8">
        <f>IFERROR(LN(Table1[[#This Row],[settle]]/F21),0)</f>
        <v>2.1348719840715735E-2</v>
      </c>
      <c r="M22">
        <f t="shared" si="1"/>
        <v>7</v>
      </c>
      <c r="N22" s="10">
        <f t="shared" si="0"/>
        <v>-2.6570630698882887E-2</v>
      </c>
    </row>
    <row r="23" spans="1:14" x14ac:dyDescent="0.2">
      <c r="A23" t="s">
        <v>34</v>
      </c>
      <c r="B23" s="7">
        <v>44987</v>
      </c>
      <c r="C23">
        <v>99.9</v>
      </c>
      <c r="D23">
        <v>99.9</v>
      </c>
      <c r="E23">
        <v>99.5</v>
      </c>
      <c r="F23">
        <v>99.5</v>
      </c>
      <c r="G23">
        <v>1.5</v>
      </c>
      <c r="H23">
        <v>12</v>
      </c>
      <c r="I23">
        <v>1184</v>
      </c>
      <c r="J23" s="8">
        <f>IFERROR(LN(Table1[[#This Row],[settle]]/F22),0)</f>
        <v>1.5190165493975238E-2</v>
      </c>
      <c r="M23">
        <f t="shared" si="1"/>
        <v>8</v>
      </c>
      <c r="N23" s="10">
        <f t="shared" si="0"/>
        <v>-2.1963111290166128E-2</v>
      </c>
    </row>
    <row r="24" spans="1:14" x14ac:dyDescent="0.2">
      <c r="A24" t="s">
        <v>34</v>
      </c>
      <c r="B24" s="7">
        <v>44988</v>
      </c>
      <c r="C24">
        <v>98.42</v>
      </c>
      <c r="D24">
        <v>0</v>
      </c>
      <c r="E24">
        <v>0</v>
      </c>
      <c r="F24">
        <v>98.42</v>
      </c>
      <c r="G24">
        <v>-1.08</v>
      </c>
      <c r="H24">
        <v>6</v>
      </c>
      <c r="I24">
        <v>1186</v>
      </c>
      <c r="J24" s="8">
        <f>IFERROR(LN(Table1[[#This Row],[settle]]/F23),0)</f>
        <v>-1.0913608726714865E-2</v>
      </c>
      <c r="M24">
        <f t="shared" si="1"/>
        <v>9</v>
      </c>
      <c r="N24" s="10">
        <f t="shared" si="0"/>
        <v>-1.7355591881449368E-2</v>
      </c>
    </row>
    <row r="25" spans="1:14" x14ac:dyDescent="0.2">
      <c r="A25" t="s">
        <v>34</v>
      </c>
      <c r="B25" s="7">
        <v>44991</v>
      </c>
      <c r="C25">
        <v>95</v>
      </c>
      <c r="D25">
        <v>95</v>
      </c>
      <c r="E25">
        <v>95</v>
      </c>
      <c r="F25">
        <v>95</v>
      </c>
      <c r="G25">
        <v>-3.42</v>
      </c>
      <c r="H25">
        <v>4</v>
      </c>
      <c r="I25">
        <v>1187</v>
      </c>
      <c r="J25" s="8">
        <f>IFERROR(LN(Table1[[#This Row],[settle]]/F24),0)</f>
        <v>-3.5367143837291358E-2</v>
      </c>
      <c r="M25">
        <f t="shared" si="1"/>
        <v>10</v>
      </c>
      <c r="N25" s="10">
        <f t="shared" si="0"/>
        <v>-1.2748072472732607E-2</v>
      </c>
    </row>
    <row r="26" spans="1:14" x14ac:dyDescent="0.2">
      <c r="A26" t="s">
        <v>34</v>
      </c>
      <c r="B26" s="7">
        <v>44992</v>
      </c>
      <c r="C26">
        <v>93.79</v>
      </c>
      <c r="D26">
        <v>0</v>
      </c>
      <c r="E26">
        <v>0</v>
      </c>
      <c r="F26">
        <v>93.79</v>
      </c>
      <c r="G26">
        <v>-1.21</v>
      </c>
      <c r="H26">
        <v>1</v>
      </c>
      <c r="I26">
        <v>1187</v>
      </c>
      <c r="J26" s="8">
        <f>IFERROR(LN(Table1[[#This Row],[settle]]/F25),0)</f>
        <v>-1.2818651079693598E-2</v>
      </c>
      <c r="M26">
        <f t="shared" si="1"/>
        <v>11</v>
      </c>
      <c r="N26" s="10">
        <f t="shared" si="0"/>
        <v>-8.1405530640158465E-3</v>
      </c>
    </row>
    <row r="27" spans="1:14" x14ac:dyDescent="0.2">
      <c r="A27" t="s">
        <v>34</v>
      </c>
      <c r="B27" s="7">
        <v>44993</v>
      </c>
      <c r="C27">
        <v>94</v>
      </c>
      <c r="D27">
        <v>94</v>
      </c>
      <c r="E27">
        <v>94</v>
      </c>
      <c r="F27">
        <v>94</v>
      </c>
      <c r="G27">
        <v>0.21</v>
      </c>
      <c r="H27">
        <v>16</v>
      </c>
      <c r="I27">
        <v>1200</v>
      </c>
      <c r="J27" s="8">
        <f>IFERROR(LN(Table1[[#This Row],[settle]]/F26),0)</f>
        <v>2.2365417491566233E-3</v>
      </c>
      <c r="M27">
        <f t="shared" si="1"/>
        <v>12</v>
      </c>
      <c r="N27" s="10">
        <f t="shared" si="0"/>
        <v>-3.5330336552990855E-3</v>
      </c>
    </row>
    <row r="28" spans="1:14" x14ac:dyDescent="0.2">
      <c r="A28" t="s">
        <v>34</v>
      </c>
      <c r="B28" s="7">
        <v>44994</v>
      </c>
      <c r="C28">
        <v>94</v>
      </c>
      <c r="D28">
        <v>0</v>
      </c>
      <c r="E28">
        <v>0</v>
      </c>
      <c r="F28">
        <v>93.77</v>
      </c>
      <c r="G28">
        <v>-0.23</v>
      </c>
      <c r="H28">
        <v>10</v>
      </c>
      <c r="I28">
        <v>1200</v>
      </c>
      <c r="J28" s="8">
        <f>IFERROR(LN(Table1[[#This Row],[settle]]/F27),0)</f>
        <v>-2.449806838470184E-3</v>
      </c>
      <c r="M28">
        <f t="shared" si="1"/>
        <v>13</v>
      </c>
      <c r="N28" s="10">
        <f t="shared" si="0"/>
        <v>1.0744857534176755E-3</v>
      </c>
    </row>
    <row r="29" spans="1:14" x14ac:dyDescent="0.2">
      <c r="A29" t="s">
        <v>34</v>
      </c>
      <c r="B29" s="7">
        <v>44995</v>
      </c>
      <c r="C29">
        <v>94.25</v>
      </c>
      <c r="D29">
        <v>94.25</v>
      </c>
      <c r="E29">
        <v>94.25</v>
      </c>
      <c r="F29">
        <v>94.25</v>
      </c>
      <c r="G29">
        <v>0.48</v>
      </c>
      <c r="H29">
        <v>10</v>
      </c>
      <c r="I29">
        <v>1210</v>
      </c>
      <c r="J29" s="8">
        <f>IFERROR(LN(Table1[[#This Row],[settle]]/F28),0)</f>
        <v>5.1058508965863654E-3</v>
      </c>
      <c r="M29">
        <f t="shared" si="1"/>
        <v>14</v>
      </c>
      <c r="N29" s="10">
        <f t="shared" si="0"/>
        <v>5.6820051621344365E-3</v>
      </c>
    </row>
    <row r="30" spans="1:14" x14ac:dyDescent="0.2">
      <c r="A30" t="s">
        <v>34</v>
      </c>
      <c r="B30" s="7">
        <v>44998</v>
      </c>
      <c r="C30">
        <v>96</v>
      </c>
      <c r="D30">
        <v>96</v>
      </c>
      <c r="E30">
        <v>95.5</v>
      </c>
      <c r="F30">
        <v>96.31</v>
      </c>
      <c r="G30">
        <v>2.06</v>
      </c>
      <c r="H30">
        <v>23</v>
      </c>
      <c r="I30">
        <v>1208</v>
      </c>
      <c r="J30" s="8">
        <f>IFERROR(LN(Table1[[#This Row],[settle]]/F29),0)</f>
        <v>2.1621329244652782E-2</v>
      </c>
      <c r="M30">
        <f t="shared" si="1"/>
        <v>15</v>
      </c>
      <c r="N30" s="10">
        <f t="shared" si="0"/>
        <v>1.0289524570851197E-2</v>
      </c>
    </row>
    <row r="31" spans="1:14" x14ac:dyDescent="0.2">
      <c r="A31" t="s">
        <v>34</v>
      </c>
      <c r="B31" s="7">
        <v>44999</v>
      </c>
      <c r="C31">
        <v>97.26</v>
      </c>
      <c r="D31">
        <v>0</v>
      </c>
      <c r="E31">
        <v>0</v>
      </c>
      <c r="F31">
        <v>96.64</v>
      </c>
      <c r="G31">
        <v>0.33</v>
      </c>
      <c r="H31">
        <v>5</v>
      </c>
      <c r="I31">
        <v>1208</v>
      </c>
      <c r="J31" s="8">
        <f>IFERROR(LN(Table1[[#This Row],[settle]]/F30),0)</f>
        <v>3.4205786137319425E-3</v>
      </c>
      <c r="M31">
        <f t="shared" si="1"/>
        <v>16</v>
      </c>
      <c r="N31" s="10">
        <f t="shared" si="0"/>
        <v>1.4897043979567958E-2</v>
      </c>
    </row>
    <row r="32" spans="1:14" x14ac:dyDescent="0.2">
      <c r="A32" t="s">
        <v>34</v>
      </c>
      <c r="B32" s="7">
        <v>45000</v>
      </c>
      <c r="C32">
        <v>96</v>
      </c>
      <c r="D32">
        <v>96</v>
      </c>
      <c r="E32">
        <v>95.5</v>
      </c>
      <c r="F32">
        <v>95.25</v>
      </c>
      <c r="G32">
        <v>-1.39</v>
      </c>
      <c r="H32">
        <v>55</v>
      </c>
      <c r="I32">
        <v>1171</v>
      </c>
      <c r="J32" s="8">
        <f>IFERROR(LN(Table1[[#This Row],[settle]]/F31),0)</f>
        <v>-1.4487720179694507E-2</v>
      </c>
      <c r="M32">
        <f t="shared" si="1"/>
        <v>17</v>
      </c>
      <c r="N32" s="10">
        <f t="shared" si="0"/>
        <v>1.9504563388284719E-2</v>
      </c>
    </row>
    <row r="33" spans="1:14" x14ac:dyDescent="0.2">
      <c r="A33" t="s">
        <v>34</v>
      </c>
      <c r="B33" s="7">
        <v>45001</v>
      </c>
      <c r="C33">
        <v>95.25</v>
      </c>
      <c r="D33">
        <v>0</v>
      </c>
      <c r="E33">
        <v>0</v>
      </c>
      <c r="F33">
        <v>95.25</v>
      </c>
      <c r="G33">
        <v>0</v>
      </c>
      <c r="H33">
        <v>3</v>
      </c>
      <c r="I33">
        <v>1174</v>
      </c>
      <c r="J33" s="8">
        <f>IFERROR(LN(Table1[[#This Row],[settle]]/F32),0)</f>
        <v>0</v>
      </c>
      <c r="M33">
        <f t="shared" si="1"/>
        <v>18</v>
      </c>
      <c r="N33" s="10">
        <f t="shared" si="0"/>
        <v>2.4112082797001479E-2</v>
      </c>
    </row>
    <row r="34" spans="1:14" x14ac:dyDescent="0.2">
      <c r="A34" t="s">
        <v>34</v>
      </c>
      <c r="B34" s="7">
        <v>45002</v>
      </c>
      <c r="C34">
        <v>95.25</v>
      </c>
      <c r="D34">
        <v>95.25</v>
      </c>
      <c r="E34">
        <v>95</v>
      </c>
      <c r="F34">
        <v>95</v>
      </c>
      <c r="G34">
        <v>-0.25</v>
      </c>
      <c r="H34">
        <v>27</v>
      </c>
      <c r="I34">
        <v>1177</v>
      </c>
      <c r="J34" s="8">
        <f>IFERROR(LN(Table1[[#This Row],[settle]]/F33),0)</f>
        <v>-2.6281224062694691E-3</v>
      </c>
      <c r="M34">
        <f t="shared" si="1"/>
        <v>19</v>
      </c>
      <c r="N34" s="10">
        <f t="shared" si="0"/>
        <v>2.8719602205718238E-2</v>
      </c>
    </row>
    <row r="35" spans="1:14" x14ac:dyDescent="0.2">
      <c r="A35" t="s">
        <v>34</v>
      </c>
      <c r="B35" s="7">
        <v>45005</v>
      </c>
      <c r="C35">
        <v>0</v>
      </c>
      <c r="D35">
        <v>0</v>
      </c>
      <c r="E35">
        <v>0</v>
      </c>
      <c r="F35">
        <v>95</v>
      </c>
      <c r="G35">
        <v>0</v>
      </c>
      <c r="H35">
        <v>0</v>
      </c>
      <c r="I35">
        <v>1158</v>
      </c>
      <c r="J35" s="8">
        <f>IFERROR(LN(Table1[[#This Row],[settle]]/F34),0)</f>
        <v>0</v>
      </c>
      <c r="M35">
        <f t="shared" si="1"/>
        <v>20</v>
      </c>
      <c r="N35" s="10">
        <f t="shared" si="0"/>
        <v>3.3327121614434997E-2</v>
      </c>
    </row>
    <row r="36" spans="1:14" x14ac:dyDescent="0.2">
      <c r="A36" t="s">
        <v>34</v>
      </c>
      <c r="B36" s="7">
        <v>45006</v>
      </c>
      <c r="C36">
        <v>95</v>
      </c>
      <c r="D36">
        <v>0</v>
      </c>
      <c r="E36">
        <v>0</v>
      </c>
      <c r="F36">
        <v>95</v>
      </c>
      <c r="G36">
        <v>0</v>
      </c>
      <c r="H36">
        <v>6</v>
      </c>
      <c r="I36">
        <v>1164</v>
      </c>
      <c r="J36" s="8">
        <f>IFERROR(LN(Table1[[#This Row],[settle]]/F35),0)</f>
        <v>0</v>
      </c>
      <c r="M36">
        <f t="shared" si="1"/>
        <v>21</v>
      </c>
      <c r="N36" s="10">
        <f t="shared" si="0"/>
        <v>3.7934641023151756E-2</v>
      </c>
    </row>
    <row r="37" spans="1:14" x14ac:dyDescent="0.2">
      <c r="A37" t="s">
        <v>34</v>
      </c>
      <c r="B37" s="7">
        <v>45007</v>
      </c>
      <c r="C37">
        <v>95.21</v>
      </c>
      <c r="D37">
        <v>0</v>
      </c>
      <c r="E37">
        <v>0</v>
      </c>
      <c r="F37">
        <v>95.21</v>
      </c>
      <c r="G37">
        <v>0.21</v>
      </c>
      <c r="H37">
        <v>11</v>
      </c>
      <c r="I37">
        <v>1164</v>
      </c>
      <c r="J37" s="8">
        <f>IFERROR(LN(Table1[[#This Row],[settle]]/F36),0)</f>
        <v>2.2080866970591454E-3</v>
      </c>
      <c r="M37">
        <f t="shared" si="1"/>
        <v>22</v>
      </c>
      <c r="N37" s="10">
        <f t="shared" si="0"/>
        <v>4.2542160431868516E-2</v>
      </c>
    </row>
    <row r="38" spans="1:14" x14ac:dyDescent="0.2">
      <c r="A38" t="s">
        <v>34</v>
      </c>
      <c r="B38" s="7">
        <v>45008</v>
      </c>
      <c r="C38">
        <v>95.25</v>
      </c>
      <c r="D38">
        <v>95.25</v>
      </c>
      <c r="E38">
        <v>95.25</v>
      </c>
      <c r="F38">
        <v>95.25</v>
      </c>
      <c r="G38">
        <v>0.04</v>
      </c>
      <c r="H38">
        <v>8</v>
      </c>
      <c r="I38">
        <v>1172</v>
      </c>
      <c r="J38" s="8">
        <f>IFERROR(LN(Table1[[#This Row],[settle]]/F37),0)</f>
        <v>4.2003570921037015E-4</v>
      </c>
    </row>
    <row r="39" spans="1:14" x14ac:dyDescent="0.2">
      <c r="A39" t="s">
        <v>34</v>
      </c>
      <c r="B39" s="7">
        <v>45009</v>
      </c>
      <c r="C39">
        <v>95.62</v>
      </c>
      <c r="D39">
        <v>0</v>
      </c>
      <c r="E39">
        <v>0</v>
      </c>
      <c r="F39">
        <v>95.49</v>
      </c>
      <c r="G39">
        <v>0.24</v>
      </c>
      <c r="H39">
        <v>20</v>
      </c>
      <c r="I39">
        <v>1170</v>
      </c>
      <c r="J39" s="8">
        <f>IFERROR(LN(Table1[[#This Row],[settle]]/F38),0)</f>
        <v>2.516515955300782E-3</v>
      </c>
    </row>
    <row r="40" spans="1:14" x14ac:dyDescent="0.2">
      <c r="A40" t="s">
        <v>34</v>
      </c>
      <c r="B40" s="7">
        <v>45012</v>
      </c>
      <c r="C40">
        <v>96.92</v>
      </c>
      <c r="D40">
        <v>0</v>
      </c>
      <c r="E40">
        <v>0</v>
      </c>
      <c r="F40">
        <v>99.64</v>
      </c>
      <c r="G40">
        <v>4.1500000000000004</v>
      </c>
      <c r="H40">
        <v>27</v>
      </c>
      <c r="I40">
        <v>1175</v>
      </c>
      <c r="J40" s="8">
        <f>IFERROR(LN(Table1[[#This Row],[settle]]/F39),0)</f>
        <v>4.2542160431868536E-2</v>
      </c>
    </row>
    <row r="41" spans="1:14" x14ac:dyDescent="0.2">
      <c r="A41" t="s">
        <v>34</v>
      </c>
      <c r="B41" s="7">
        <v>45013</v>
      </c>
      <c r="C41">
        <v>101.25</v>
      </c>
      <c r="D41">
        <v>101.25</v>
      </c>
      <c r="E41">
        <v>101.25</v>
      </c>
      <c r="F41">
        <v>101.25</v>
      </c>
      <c r="G41">
        <v>1.61</v>
      </c>
      <c r="H41">
        <v>21</v>
      </c>
      <c r="I41">
        <v>1186</v>
      </c>
      <c r="J41" s="8">
        <f>IFERROR(LN(Table1[[#This Row],[settle]]/F40),0)</f>
        <v>1.6029015592668876E-2</v>
      </c>
    </row>
    <row r="42" spans="1:14" x14ac:dyDescent="0.2">
      <c r="A42" t="s">
        <v>34</v>
      </c>
      <c r="B42" s="7">
        <v>45014</v>
      </c>
      <c r="C42">
        <v>101.25</v>
      </c>
      <c r="D42">
        <v>101.5</v>
      </c>
      <c r="E42">
        <v>101.25</v>
      </c>
      <c r="F42">
        <v>101.5</v>
      </c>
      <c r="G42">
        <v>0.25</v>
      </c>
      <c r="H42">
        <v>15</v>
      </c>
      <c r="I42">
        <v>1192</v>
      </c>
      <c r="J42" s="8">
        <f>IFERROR(LN(Table1[[#This Row],[settle]]/F41),0)</f>
        <v>2.4660924951934683E-3</v>
      </c>
    </row>
    <row r="43" spans="1:14" x14ac:dyDescent="0.2">
      <c r="A43" t="s">
        <v>34</v>
      </c>
      <c r="B43" s="7">
        <v>45015</v>
      </c>
      <c r="C43">
        <v>103.6</v>
      </c>
      <c r="D43">
        <v>105</v>
      </c>
      <c r="E43">
        <v>102.5</v>
      </c>
      <c r="F43">
        <v>102.5</v>
      </c>
      <c r="G43">
        <v>1</v>
      </c>
      <c r="H43">
        <v>20</v>
      </c>
      <c r="I43">
        <v>1199</v>
      </c>
      <c r="J43" s="8">
        <f>IFERROR(LN(Table1[[#This Row],[settle]]/F42),0)</f>
        <v>9.8040000966208348E-3</v>
      </c>
    </row>
    <row r="44" spans="1:14" x14ac:dyDescent="0.2">
      <c r="A44" t="s">
        <v>34</v>
      </c>
      <c r="B44" s="7">
        <v>45016</v>
      </c>
      <c r="C44">
        <v>101.91</v>
      </c>
      <c r="D44">
        <v>0</v>
      </c>
      <c r="E44">
        <v>0</v>
      </c>
      <c r="F44">
        <v>102.5</v>
      </c>
      <c r="G44">
        <v>0</v>
      </c>
      <c r="H44">
        <v>44</v>
      </c>
      <c r="I44">
        <v>1209</v>
      </c>
      <c r="J44" s="8">
        <f>IFERROR(LN(Table1[[#This Row],[settle]]/F43),0)</f>
        <v>0</v>
      </c>
    </row>
    <row r="45" spans="1:14" x14ac:dyDescent="0.2">
      <c r="A45" t="s">
        <v>34</v>
      </c>
      <c r="B45" s="7">
        <v>45019</v>
      </c>
      <c r="C45">
        <v>106.1</v>
      </c>
      <c r="D45">
        <v>107</v>
      </c>
      <c r="E45">
        <v>106.1</v>
      </c>
      <c r="F45">
        <v>105.43</v>
      </c>
      <c r="G45">
        <v>2.93</v>
      </c>
      <c r="H45">
        <v>67</v>
      </c>
      <c r="I45">
        <v>1225</v>
      </c>
      <c r="J45" s="8">
        <f>IFERROR(LN(Table1[[#This Row],[settle]]/F44),0)</f>
        <v>2.8184427010395446E-2</v>
      </c>
    </row>
    <row r="46" spans="1:14" x14ac:dyDescent="0.2">
      <c r="A46" t="s">
        <v>34</v>
      </c>
      <c r="B46" s="7">
        <v>45020</v>
      </c>
      <c r="C46">
        <v>103.14</v>
      </c>
      <c r="D46">
        <v>0</v>
      </c>
      <c r="E46">
        <v>0</v>
      </c>
      <c r="F46">
        <v>103.02</v>
      </c>
      <c r="G46">
        <v>-2.41</v>
      </c>
      <c r="H46">
        <v>30</v>
      </c>
      <c r="I46">
        <v>1235</v>
      </c>
      <c r="J46" s="8">
        <f>IFERROR(LN(Table1[[#This Row],[settle]]/F45),0)</f>
        <v>-2.3124081451419278E-2</v>
      </c>
    </row>
    <row r="47" spans="1:14" x14ac:dyDescent="0.2">
      <c r="A47" t="s">
        <v>34</v>
      </c>
      <c r="B47" s="7">
        <v>45021</v>
      </c>
      <c r="C47">
        <v>0</v>
      </c>
      <c r="D47">
        <v>0</v>
      </c>
      <c r="E47">
        <v>0</v>
      </c>
      <c r="F47">
        <v>103.02</v>
      </c>
      <c r="G47">
        <v>0</v>
      </c>
      <c r="H47">
        <v>5</v>
      </c>
      <c r="I47">
        <v>1235</v>
      </c>
      <c r="J47" s="8">
        <f>IFERROR(LN(Table1[[#This Row],[settle]]/F46),0)</f>
        <v>0</v>
      </c>
    </row>
    <row r="48" spans="1:14" x14ac:dyDescent="0.2">
      <c r="A48" t="s">
        <v>34</v>
      </c>
      <c r="B48" s="7">
        <v>45022</v>
      </c>
      <c r="C48">
        <v>103</v>
      </c>
      <c r="D48">
        <v>103</v>
      </c>
      <c r="E48">
        <v>103</v>
      </c>
      <c r="F48">
        <v>103</v>
      </c>
      <c r="G48">
        <v>-0.02</v>
      </c>
      <c r="H48">
        <v>12</v>
      </c>
      <c r="I48">
        <v>1233</v>
      </c>
      <c r="J48" s="8">
        <f>IFERROR(LN(Table1[[#This Row],[settle]]/F47),0)</f>
        <v>-1.9415590780336937E-4</v>
      </c>
    </row>
    <row r="49" spans="1:10" x14ac:dyDescent="0.2">
      <c r="A49" t="s">
        <v>34</v>
      </c>
      <c r="B49" s="7">
        <v>45027</v>
      </c>
      <c r="C49">
        <v>0</v>
      </c>
      <c r="D49">
        <v>0</v>
      </c>
      <c r="E49">
        <v>0</v>
      </c>
      <c r="F49">
        <v>103</v>
      </c>
      <c r="G49">
        <v>0</v>
      </c>
      <c r="H49">
        <v>0</v>
      </c>
      <c r="I49">
        <v>1233</v>
      </c>
      <c r="J49" s="8">
        <f>IFERROR(LN(Table1[[#This Row],[settle]]/F48),0)</f>
        <v>0</v>
      </c>
    </row>
    <row r="50" spans="1:10" x14ac:dyDescent="0.2">
      <c r="A50" t="s">
        <v>34</v>
      </c>
      <c r="B50" s="7">
        <v>45028</v>
      </c>
      <c r="C50">
        <v>103.64</v>
      </c>
      <c r="D50">
        <v>0</v>
      </c>
      <c r="E50">
        <v>0</v>
      </c>
      <c r="F50">
        <v>104.17</v>
      </c>
      <c r="G50">
        <v>1.17</v>
      </c>
      <c r="H50">
        <v>5</v>
      </c>
      <c r="I50">
        <v>1233</v>
      </c>
      <c r="J50" s="8">
        <f>IFERROR(LN(Table1[[#This Row],[settle]]/F49),0)</f>
        <v>1.1295191766721719E-2</v>
      </c>
    </row>
    <row r="51" spans="1:10" x14ac:dyDescent="0.2">
      <c r="A51" t="s">
        <v>34</v>
      </c>
      <c r="B51" s="7">
        <v>45029</v>
      </c>
      <c r="C51">
        <v>103.5</v>
      </c>
      <c r="D51">
        <v>103.5</v>
      </c>
      <c r="E51">
        <v>103.5</v>
      </c>
      <c r="F51">
        <v>103.5</v>
      </c>
      <c r="G51">
        <v>-0.67</v>
      </c>
      <c r="H51">
        <v>2</v>
      </c>
      <c r="I51">
        <v>1235</v>
      </c>
      <c r="J51" s="8">
        <f>IFERROR(LN(Table1[[#This Row],[settle]]/F50),0)</f>
        <v>-6.452567290933714E-3</v>
      </c>
    </row>
    <row r="52" spans="1:10" x14ac:dyDescent="0.2">
      <c r="A52" t="s">
        <v>34</v>
      </c>
      <c r="B52" s="7">
        <v>45030</v>
      </c>
      <c r="C52">
        <v>103.5</v>
      </c>
      <c r="D52">
        <v>0</v>
      </c>
      <c r="E52">
        <v>0</v>
      </c>
      <c r="F52">
        <v>102.55</v>
      </c>
      <c r="G52">
        <v>-0.95</v>
      </c>
      <c r="H52">
        <v>22</v>
      </c>
      <c r="I52">
        <v>1256</v>
      </c>
      <c r="J52" s="8">
        <f>IFERROR(LN(Table1[[#This Row],[settle]]/F51),0)</f>
        <v>-9.2211281870341437E-3</v>
      </c>
    </row>
    <row r="53" spans="1:10" x14ac:dyDescent="0.2">
      <c r="A53" t="s">
        <v>34</v>
      </c>
      <c r="B53" s="7">
        <v>45033</v>
      </c>
      <c r="C53">
        <v>103.5</v>
      </c>
      <c r="D53">
        <v>103.5</v>
      </c>
      <c r="E53">
        <v>103.5</v>
      </c>
      <c r="F53">
        <v>103.49</v>
      </c>
      <c r="G53">
        <v>0.94</v>
      </c>
      <c r="H53">
        <v>6</v>
      </c>
      <c r="I53">
        <v>1262</v>
      </c>
      <c r="J53" s="8">
        <f>IFERROR(LN(Table1[[#This Row],[settle]]/F52),0)</f>
        <v>9.1245051616920363E-3</v>
      </c>
    </row>
    <row r="54" spans="1:10" x14ac:dyDescent="0.2">
      <c r="A54" t="s">
        <v>34</v>
      </c>
      <c r="B54" s="7">
        <v>45034</v>
      </c>
      <c r="C54">
        <v>102</v>
      </c>
      <c r="D54">
        <v>102</v>
      </c>
      <c r="E54">
        <v>102</v>
      </c>
      <c r="F54">
        <v>101.6</v>
      </c>
      <c r="G54">
        <v>-1.89</v>
      </c>
      <c r="H54">
        <v>9</v>
      </c>
      <c r="I54">
        <v>1269</v>
      </c>
      <c r="J54" s="8">
        <f>IFERROR(LN(Table1[[#This Row],[settle]]/F53),0)</f>
        <v>-1.8431454535700192E-2</v>
      </c>
    </row>
    <row r="55" spans="1:10" x14ac:dyDescent="0.2">
      <c r="A55" t="s">
        <v>34</v>
      </c>
      <c r="B55" s="7">
        <v>45035</v>
      </c>
      <c r="C55">
        <v>100.52</v>
      </c>
      <c r="D55">
        <v>0</v>
      </c>
      <c r="E55">
        <v>0</v>
      </c>
      <c r="F55">
        <v>101.55</v>
      </c>
      <c r="G55">
        <v>-0.05</v>
      </c>
      <c r="H55">
        <v>24</v>
      </c>
      <c r="I55">
        <v>1256</v>
      </c>
      <c r="J55" s="8">
        <f>IFERROR(LN(Table1[[#This Row],[settle]]/F54),0)</f>
        <v>-4.9224711798782526E-4</v>
      </c>
    </row>
    <row r="56" spans="1:10" x14ac:dyDescent="0.2">
      <c r="A56" t="s">
        <v>34</v>
      </c>
      <c r="B56" s="7">
        <v>45036</v>
      </c>
      <c r="C56">
        <v>0</v>
      </c>
      <c r="D56">
        <v>0</v>
      </c>
      <c r="E56">
        <v>0</v>
      </c>
      <c r="F56">
        <v>101.55</v>
      </c>
      <c r="G56">
        <v>0</v>
      </c>
      <c r="H56">
        <v>0</v>
      </c>
      <c r="I56">
        <v>1256</v>
      </c>
      <c r="J56" s="8">
        <f>IFERROR(LN(Table1[[#This Row],[settle]]/F55),0)</f>
        <v>0</v>
      </c>
    </row>
    <row r="57" spans="1:10" x14ac:dyDescent="0.2">
      <c r="A57" t="s">
        <v>34</v>
      </c>
      <c r="B57" s="7">
        <v>45037</v>
      </c>
      <c r="C57">
        <v>0</v>
      </c>
      <c r="D57">
        <v>0</v>
      </c>
      <c r="E57">
        <v>0</v>
      </c>
      <c r="F57">
        <v>101.55</v>
      </c>
      <c r="G57">
        <v>0</v>
      </c>
      <c r="H57">
        <v>0</v>
      </c>
      <c r="I57">
        <v>1256</v>
      </c>
      <c r="J57" s="8">
        <f>IFERROR(LN(Table1[[#This Row],[settle]]/F56),0)</f>
        <v>0</v>
      </c>
    </row>
    <row r="58" spans="1:10" x14ac:dyDescent="0.2">
      <c r="A58" t="s">
        <v>34</v>
      </c>
      <c r="B58" s="7">
        <v>45040</v>
      </c>
      <c r="C58">
        <v>101.25</v>
      </c>
      <c r="D58">
        <v>101.25</v>
      </c>
      <c r="E58">
        <v>101.25</v>
      </c>
      <c r="F58">
        <v>101.15</v>
      </c>
      <c r="G58">
        <v>-0.4</v>
      </c>
      <c r="H58">
        <v>2</v>
      </c>
      <c r="I58">
        <v>1257</v>
      </c>
      <c r="J58" s="8">
        <f>IFERROR(LN(Table1[[#This Row],[settle]]/F57),0)</f>
        <v>-3.9467244126390865E-3</v>
      </c>
    </row>
    <row r="59" spans="1:10" x14ac:dyDescent="0.2">
      <c r="A59" t="s">
        <v>34</v>
      </c>
      <c r="B59" s="7">
        <v>45042</v>
      </c>
      <c r="C59">
        <v>0</v>
      </c>
      <c r="D59">
        <v>0</v>
      </c>
      <c r="E59">
        <v>0</v>
      </c>
      <c r="F59">
        <v>101.15</v>
      </c>
      <c r="G59">
        <v>0</v>
      </c>
      <c r="H59">
        <v>0</v>
      </c>
      <c r="I59">
        <v>1257</v>
      </c>
      <c r="J59" s="8">
        <f>IFERROR(LN(Table1[[#This Row],[settle]]/F58),0)</f>
        <v>0</v>
      </c>
    </row>
    <row r="60" spans="1:10" x14ac:dyDescent="0.2">
      <c r="A60" t="s">
        <v>34</v>
      </c>
      <c r="B60" s="7">
        <v>45043</v>
      </c>
      <c r="C60">
        <v>102.08</v>
      </c>
      <c r="D60">
        <v>0</v>
      </c>
      <c r="E60">
        <v>0</v>
      </c>
      <c r="F60">
        <v>102.08</v>
      </c>
      <c r="G60">
        <v>0.93</v>
      </c>
      <c r="H60">
        <v>7</v>
      </c>
      <c r="I60">
        <v>1262</v>
      </c>
      <c r="J60" s="8">
        <f>IFERROR(LN(Table1[[#This Row],[settle]]/F59),0)</f>
        <v>9.1522559827251042E-3</v>
      </c>
    </row>
    <row r="61" spans="1:10" x14ac:dyDescent="0.2">
      <c r="A61" t="s">
        <v>34</v>
      </c>
      <c r="B61" s="7">
        <v>45044</v>
      </c>
      <c r="C61">
        <v>0</v>
      </c>
      <c r="D61">
        <v>0</v>
      </c>
      <c r="E61">
        <v>0</v>
      </c>
      <c r="F61">
        <v>103</v>
      </c>
      <c r="G61">
        <v>0.92</v>
      </c>
      <c r="H61">
        <v>0</v>
      </c>
      <c r="I61">
        <v>1262</v>
      </c>
      <c r="J61" s="8">
        <f>IFERROR(LN(Table1[[#This Row],[settle]]/F60),0)</f>
        <v>8.9721686331559712E-3</v>
      </c>
    </row>
    <row r="62" spans="1:10" x14ac:dyDescent="0.2">
      <c r="A62" t="s">
        <v>34</v>
      </c>
      <c r="B62" s="7">
        <v>45047</v>
      </c>
      <c r="C62">
        <v>0</v>
      </c>
      <c r="D62">
        <v>0</v>
      </c>
      <c r="E62">
        <v>0</v>
      </c>
      <c r="F62">
        <v>105.5</v>
      </c>
      <c r="G62">
        <v>2.5</v>
      </c>
      <c r="H62">
        <v>0</v>
      </c>
      <c r="I62">
        <v>1262</v>
      </c>
      <c r="J62" s="8">
        <f>IFERROR(LN(Table1[[#This Row],[settle]]/F61),0)</f>
        <v>2.3981964686485405E-2</v>
      </c>
    </row>
    <row r="63" spans="1:10" x14ac:dyDescent="0.2">
      <c r="A63" t="s">
        <v>34</v>
      </c>
      <c r="B63" s="7">
        <v>45048</v>
      </c>
      <c r="C63">
        <v>108.09</v>
      </c>
      <c r="D63">
        <v>0</v>
      </c>
      <c r="E63">
        <v>0</v>
      </c>
      <c r="F63">
        <v>108.09</v>
      </c>
      <c r="G63">
        <v>2.59</v>
      </c>
      <c r="H63">
        <v>5</v>
      </c>
      <c r="I63">
        <v>1266</v>
      </c>
      <c r="J63" s="8">
        <f>IFERROR(LN(Table1[[#This Row],[settle]]/F62),0)</f>
        <v>2.4253260511990477E-2</v>
      </c>
    </row>
    <row r="64" spans="1:10" x14ac:dyDescent="0.2">
      <c r="A64" t="s">
        <v>34</v>
      </c>
      <c r="B64" s="7">
        <v>45049</v>
      </c>
      <c r="C64">
        <v>110</v>
      </c>
      <c r="D64">
        <v>110</v>
      </c>
      <c r="E64">
        <v>110</v>
      </c>
      <c r="F64">
        <v>110</v>
      </c>
      <c r="G64">
        <v>1.91</v>
      </c>
      <c r="H64">
        <v>30</v>
      </c>
      <c r="I64">
        <v>1258</v>
      </c>
      <c r="J64" s="8">
        <f>IFERROR(LN(Table1[[#This Row],[settle]]/F63),0)</f>
        <v>1.7516152364304594E-2</v>
      </c>
    </row>
    <row r="65" spans="1:10" x14ac:dyDescent="0.2">
      <c r="A65" t="s">
        <v>34</v>
      </c>
      <c r="B65" s="7">
        <v>45050</v>
      </c>
      <c r="C65">
        <v>110.68</v>
      </c>
      <c r="D65">
        <v>0</v>
      </c>
      <c r="E65">
        <v>0</v>
      </c>
      <c r="F65">
        <v>110.68</v>
      </c>
      <c r="G65">
        <v>0.68</v>
      </c>
      <c r="H65">
        <v>2</v>
      </c>
      <c r="I65">
        <v>1260</v>
      </c>
      <c r="J65" s="8">
        <f>IFERROR(LN(Table1[[#This Row],[settle]]/F64),0)</f>
        <v>6.1627891263090345E-3</v>
      </c>
    </row>
    <row r="66" spans="1:10" x14ac:dyDescent="0.2">
      <c r="A66" t="s">
        <v>34</v>
      </c>
      <c r="B66" s="7">
        <v>45051</v>
      </c>
      <c r="C66">
        <v>0</v>
      </c>
      <c r="D66">
        <v>0</v>
      </c>
      <c r="E66">
        <v>0</v>
      </c>
      <c r="F66">
        <v>110.68</v>
      </c>
      <c r="G66">
        <v>0</v>
      </c>
      <c r="H66">
        <v>0</v>
      </c>
      <c r="I66">
        <v>1260</v>
      </c>
      <c r="J66" s="8">
        <f>IFERROR(LN(Table1[[#This Row],[settle]]/F65),0)</f>
        <v>0</v>
      </c>
    </row>
    <row r="67" spans="1:10" x14ac:dyDescent="0.2">
      <c r="A67" t="s">
        <v>34</v>
      </c>
      <c r="B67" s="7">
        <v>45054</v>
      </c>
      <c r="C67">
        <v>111.05</v>
      </c>
      <c r="D67">
        <v>0</v>
      </c>
      <c r="E67">
        <v>0</v>
      </c>
      <c r="F67">
        <v>109.45</v>
      </c>
      <c r="G67">
        <v>-1.23</v>
      </c>
      <c r="H67">
        <v>7</v>
      </c>
      <c r="I67">
        <v>1262</v>
      </c>
      <c r="J67" s="8">
        <f>IFERROR(LN(Table1[[#This Row],[settle]]/F66),0)</f>
        <v>-1.1175330949853284E-2</v>
      </c>
    </row>
    <row r="68" spans="1:10" x14ac:dyDescent="0.2">
      <c r="A68" t="s">
        <v>34</v>
      </c>
      <c r="B68" s="7">
        <v>45055</v>
      </c>
      <c r="C68">
        <v>0</v>
      </c>
      <c r="D68">
        <v>0</v>
      </c>
      <c r="E68">
        <v>0</v>
      </c>
      <c r="F68">
        <v>109.45</v>
      </c>
      <c r="G68">
        <v>0</v>
      </c>
      <c r="H68">
        <v>0</v>
      </c>
      <c r="I68">
        <v>1262</v>
      </c>
      <c r="J68" s="8">
        <f>IFERROR(LN(Table1[[#This Row],[settle]]/F67),0)</f>
        <v>0</v>
      </c>
    </row>
    <row r="69" spans="1:10" x14ac:dyDescent="0.2">
      <c r="A69" t="s">
        <v>34</v>
      </c>
      <c r="B69" s="7">
        <v>45056</v>
      </c>
      <c r="C69">
        <v>0</v>
      </c>
      <c r="D69">
        <v>0</v>
      </c>
      <c r="E69">
        <v>0</v>
      </c>
      <c r="F69">
        <v>109.45</v>
      </c>
      <c r="G69">
        <v>0</v>
      </c>
      <c r="H69">
        <v>0</v>
      </c>
      <c r="I69">
        <v>1262</v>
      </c>
      <c r="J69" s="8">
        <f>IFERROR(LN(Table1[[#This Row],[settle]]/F68),0)</f>
        <v>0</v>
      </c>
    </row>
    <row r="70" spans="1:10" x14ac:dyDescent="0.2">
      <c r="A70" t="s">
        <v>34</v>
      </c>
      <c r="B70" s="7">
        <v>45057</v>
      </c>
      <c r="C70">
        <v>106.74</v>
      </c>
      <c r="D70">
        <v>0</v>
      </c>
      <c r="E70">
        <v>0</v>
      </c>
      <c r="F70">
        <v>106.46</v>
      </c>
      <c r="G70">
        <v>-2.99</v>
      </c>
      <c r="H70">
        <v>4</v>
      </c>
      <c r="I70">
        <v>1262</v>
      </c>
      <c r="J70" s="8">
        <f>IFERROR(LN(Table1[[#This Row],[settle]]/F69),0)</f>
        <v>-2.7698496224260724E-2</v>
      </c>
    </row>
    <row r="71" spans="1:10" x14ac:dyDescent="0.2">
      <c r="A71" t="s">
        <v>34</v>
      </c>
      <c r="B71" s="7">
        <v>45058</v>
      </c>
      <c r="C71">
        <v>106.53</v>
      </c>
      <c r="D71">
        <v>0</v>
      </c>
      <c r="E71">
        <v>0</v>
      </c>
      <c r="F71">
        <v>107.5</v>
      </c>
      <c r="G71">
        <v>1.04</v>
      </c>
      <c r="H71">
        <v>3</v>
      </c>
      <c r="I71">
        <v>1261</v>
      </c>
      <c r="J71" s="8">
        <f>IFERROR(LN(Table1[[#This Row],[settle]]/F70),0)</f>
        <v>9.7215198231061766E-3</v>
      </c>
    </row>
    <row r="72" spans="1:10" x14ac:dyDescent="0.2">
      <c r="A72" t="s">
        <v>34</v>
      </c>
      <c r="B72" s="7">
        <v>45061</v>
      </c>
      <c r="C72">
        <v>109</v>
      </c>
      <c r="D72">
        <v>109</v>
      </c>
      <c r="E72">
        <v>109</v>
      </c>
      <c r="F72">
        <v>109</v>
      </c>
      <c r="G72">
        <v>1.5</v>
      </c>
      <c r="H72">
        <v>1</v>
      </c>
      <c r="I72">
        <v>1261</v>
      </c>
      <c r="J72" s="8">
        <f>IFERROR(LN(Table1[[#This Row],[settle]]/F71),0)</f>
        <v>1.3857034661426281E-2</v>
      </c>
    </row>
    <row r="73" spans="1:10" x14ac:dyDescent="0.2">
      <c r="A73" t="s">
        <v>34</v>
      </c>
      <c r="B73" s="7">
        <v>45062</v>
      </c>
      <c r="C73">
        <v>109</v>
      </c>
      <c r="D73">
        <v>0</v>
      </c>
      <c r="E73">
        <v>0</v>
      </c>
      <c r="F73">
        <v>109</v>
      </c>
      <c r="G73">
        <v>0</v>
      </c>
      <c r="H73">
        <v>10</v>
      </c>
      <c r="I73">
        <v>1266</v>
      </c>
      <c r="J73" s="8">
        <f>IFERROR(LN(Table1[[#This Row],[settle]]/F72),0)</f>
        <v>0</v>
      </c>
    </row>
    <row r="74" spans="1:10" x14ac:dyDescent="0.2">
      <c r="A74" t="s">
        <v>34</v>
      </c>
      <c r="B74" s="7">
        <v>45063</v>
      </c>
      <c r="C74">
        <v>109.1</v>
      </c>
      <c r="D74">
        <v>0</v>
      </c>
      <c r="E74">
        <v>0</v>
      </c>
      <c r="F74">
        <v>109.1</v>
      </c>
      <c r="G74">
        <v>0.1</v>
      </c>
      <c r="H74">
        <v>12</v>
      </c>
      <c r="I74">
        <v>1273</v>
      </c>
      <c r="J74" s="8">
        <f>IFERROR(LN(Table1[[#This Row],[settle]]/F73),0)</f>
        <v>9.1701060988140645E-4</v>
      </c>
    </row>
    <row r="75" spans="1:10" x14ac:dyDescent="0.2">
      <c r="A75" t="s">
        <v>34</v>
      </c>
      <c r="B75" s="7">
        <v>45064</v>
      </c>
      <c r="C75">
        <v>108.5</v>
      </c>
      <c r="D75">
        <v>108.5</v>
      </c>
      <c r="E75">
        <v>108.5</v>
      </c>
      <c r="F75">
        <v>108.5</v>
      </c>
      <c r="G75">
        <v>-0.6</v>
      </c>
      <c r="H75">
        <v>3</v>
      </c>
      <c r="I75">
        <v>1270</v>
      </c>
      <c r="J75" s="8">
        <f>IFERROR(LN(Table1[[#This Row],[settle]]/F74),0)</f>
        <v>-5.5147198585108548E-3</v>
      </c>
    </row>
    <row r="76" spans="1:10" x14ac:dyDescent="0.2">
      <c r="A76" t="s">
        <v>34</v>
      </c>
      <c r="B76" s="7">
        <v>45065</v>
      </c>
      <c r="C76">
        <v>111</v>
      </c>
      <c r="D76">
        <v>111</v>
      </c>
      <c r="E76">
        <v>111</v>
      </c>
      <c r="F76">
        <v>108.49</v>
      </c>
      <c r="G76">
        <v>-0.01</v>
      </c>
      <c r="H76">
        <v>12</v>
      </c>
      <c r="I76">
        <v>1270</v>
      </c>
      <c r="J76" s="8">
        <f>IFERROR(LN(Table1[[#This Row],[settle]]/F75),0)</f>
        <v>-9.2170146155023556E-5</v>
      </c>
    </row>
    <row r="77" spans="1:10" x14ac:dyDescent="0.2">
      <c r="A77" t="s">
        <v>34</v>
      </c>
      <c r="B77" s="7">
        <v>45068</v>
      </c>
      <c r="C77">
        <v>108.56</v>
      </c>
      <c r="D77">
        <v>109.25</v>
      </c>
      <c r="E77">
        <v>108.5</v>
      </c>
      <c r="F77">
        <v>109.1</v>
      </c>
      <c r="G77">
        <v>0.61</v>
      </c>
      <c r="H77">
        <v>24</v>
      </c>
      <c r="I77">
        <v>1272</v>
      </c>
      <c r="J77" s="8">
        <f>IFERROR(LN(Table1[[#This Row],[settle]]/F76),0)</f>
        <v>5.6068900046659159E-3</v>
      </c>
    </row>
    <row r="78" spans="1:10" x14ac:dyDescent="0.2">
      <c r="A78" t="s">
        <v>34</v>
      </c>
      <c r="B78" s="7">
        <v>45069</v>
      </c>
      <c r="C78">
        <v>108.76</v>
      </c>
      <c r="D78">
        <v>0</v>
      </c>
      <c r="E78">
        <v>0</v>
      </c>
      <c r="F78">
        <v>108.75</v>
      </c>
      <c r="G78">
        <v>-0.35</v>
      </c>
      <c r="H78">
        <v>19</v>
      </c>
      <c r="I78">
        <v>1290</v>
      </c>
      <c r="J78" s="8">
        <f>IFERROR(LN(Table1[[#This Row],[settle]]/F77),0)</f>
        <v>-3.2132228702316103E-3</v>
      </c>
    </row>
    <row r="79" spans="1:10" x14ac:dyDescent="0.2">
      <c r="A79" t="s">
        <v>34</v>
      </c>
      <c r="B79" s="7">
        <v>45070</v>
      </c>
      <c r="C79">
        <v>109</v>
      </c>
      <c r="D79">
        <v>109</v>
      </c>
      <c r="E79">
        <v>108</v>
      </c>
      <c r="F79">
        <v>107.5</v>
      </c>
      <c r="G79">
        <v>-1.25</v>
      </c>
      <c r="H79">
        <v>21</v>
      </c>
      <c r="I79">
        <v>1305</v>
      </c>
      <c r="J79" s="8">
        <f>IFERROR(LN(Table1[[#This Row],[settle]]/F78),0)</f>
        <v>-1.1560822401075971E-2</v>
      </c>
    </row>
    <row r="80" spans="1:10" x14ac:dyDescent="0.2">
      <c r="A80" t="s">
        <v>34</v>
      </c>
      <c r="B80" s="7">
        <v>45071</v>
      </c>
      <c r="C80">
        <v>109.21</v>
      </c>
      <c r="D80">
        <v>0</v>
      </c>
      <c r="E80">
        <v>0</v>
      </c>
      <c r="F80">
        <v>108.99</v>
      </c>
      <c r="G80">
        <v>1.49</v>
      </c>
      <c r="H80">
        <v>6</v>
      </c>
      <c r="I80">
        <v>1308</v>
      </c>
      <c r="J80" s="8">
        <f>IFERROR(LN(Table1[[#This Row],[settle]]/F79),0)</f>
        <v>1.3765287333502739E-2</v>
      </c>
    </row>
    <row r="81" spans="1:10" x14ac:dyDescent="0.2">
      <c r="A81" t="s">
        <v>34</v>
      </c>
      <c r="B81" s="7">
        <v>45072</v>
      </c>
      <c r="C81">
        <v>108.9</v>
      </c>
      <c r="D81">
        <v>108.9</v>
      </c>
      <c r="E81">
        <v>108.9</v>
      </c>
      <c r="F81">
        <v>108.9</v>
      </c>
      <c r="G81">
        <v>-0.09</v>
      </c>
      <c r="H81">
        <v>10</v>
      </c>
      <c r="I81">
        <v>1316</v>
      </c>
      <c r="J81" s="8">
        <f>IFERROR(LN(Table1[[#This Row],[settle]]/F80),0)</f>
        <v>-8.2610496230539219E-4</v>
      </c>
    </row>
    <row r="82" spans="1:10" x14ac:dyDescent="0.2">
      <c r="A82" t="s">
        <v>34</v>
      </c>
      <c r="B82" s="7">
        <v>45075</v>
      </c>
      <c r="C82">
        <v>0</v>
      </c>
      <c r="D82">
        <v>0</v>
      </c>
      <c r="E82">
        <v>0</v>
      </c>
      <c r="F82">
        <v>108.9</v>
      </c>
      <c r="G82">
        <v>0</v>
      </c>
      <c r="H82">
        <v>0</v>
      </c>
      <c r="I82">
        <v>1316</v>
      </c>
      <c r="J82" s="8">
        <f>IFERROR(LN(Table1[[#This Row],[settle]]/F81),0)</f>
        <v>0</v>
      </c>
    </row>
    <row r="83" spans="1:10" x14ac:dyDescent="0.2">
      <c r="A83" t="s">
        <v>34</v>
      </c>
      <c r="B83" s="7">
        <v>45076</v>
      </c>
      <c r="C83">
        <v>110.5</v>
      </c>
      <c r="D83">
        <v>110.5</v>
      </c>
      <c r="E83">
        <v>110</v>
      </c>
      <c r="F83">
        <v>110.5</v>
      </c>
      <c r="G83">
        <v>1.6</v>
      </c>
      <c r="H83">
        <v>3</v>
      </c>
      <c r="I83">
        <v>1318</v>
      </c>
      <c r="J83" s="8">
        <f>IFERROR(LN(Table1[[#This Row],[settle]]/F82),0)</f>
        <v>1.4585491018892574E-2</v>
      </c>
    </row>
    <row r="84" spans="1:10" x14ac:dyDescent="0.2">
      <c r="A84" t="s">
        <v>34</v>
      </c>
      <c r="B84" s="7">
        <v>45077</v>
      </c>
      <c r="C84">
        <v>112.5</v>
      </c>
      <c r="D84">
        <v>112.5</v>
      </c>
      <c r="E84">
        <v>112.5</v>
      </c>
      <c r="F84">
        <v>112</v>
      </c>
      <c r="G84">
        <v>1.5</v>
      </c>
      <c r="H84">
        <v>1</v>
      </c>
      <c r="I84">
        <v>1318</v>
      </c>
      <c r="J84" s="8">
        <f>IFERROR(LN(Table1[[#This Row],[settle]]/F83),0)</f>
        <v>1.3483350337286988E-2</v>
      </c>
    </row>
    <row r="85" spans="1:10" x14ac:dyDescent="0.2">
      <c r="A85" t="s">
        <v>34</v>
      </c>
      <c r="B85" s="7">
        <v>45078</v>
      </c>
      <c r="C85">
        <v>0</v>
      </c>
      <c r="D85">
        <v>0</v>
      </c>
      <c r="E85">
        <v>0</v>
      </c>
      <c r="F85">
        <v>112</v>
      </c>
      <c r="G85">
        <v>0</v>
      </c>
      <c r="H85">
        <v>0</v>
      </c>
      <c r="I85">
        <v>1318</v>
      </c>
      <c r="J85" s="8">
        <f>IFERROR(LN(Table1[[#This Row],[settle]]/F84),0)</f>
        <v>0</v>
      </c>
    </row>
    <row r="86" spans="1:10" x14ac:dyDescent="0.2">
      <c r="A86" t="s">
        <v>34</v>
      </c>
      <c r="B86" s="7">
        <v>45079</v>
      </c>
      <c r="C86">
        <v>0</v>
      </c>
      <c r="D86">
        <v>0</v>
      </c>
      <c r="E86">
        <v>0</v>
      </c>
      <c r="F86">
        <v>112</v>
      </c>
      <c r="G86">
        <v>0</v>
      </c>
      <c r="H86">
        <v>0</v>
      </c>
      <c r="I86">
        <v>1318</v>
      </c>
      <c r="J86" s="8">
        <f>IFERROR(LN(Table1[[#This Row],[settle]]/F85),0)</f>
        <v>0</v>
      </c>
    </row>
    <row r="87" spans="1:10" x14ac:dyDescent="0.2">
      <c r="A87" t="s">
        <v>34</v>
      </c>
      <c r="B87" s="7">
        <v>45082</v>
      </c>
      <c r="C87">
        <v>0</v>
      </c>
      <c r="D87">
        <v>0</v>
      </c>
      <c r="E87">
        <v>0</v>
      </c>
      <c r="F87">
        <v>112</v>
      </c>
      <c r="G87">
        <v>0</v>
      </c>
      <c r="H87">
        <v>0</v>
      </c>
      <c r="I87">
        <v>1318</v>
      </c>
      <c r="J87" s="8">
        <f>IFERROR(LN(Table1[[#This Row],[settle]]/F86),0)</f>
        <v>0</v>
      </c>
    </row>
    <row r="88" spans="1:10" x14ac:dyDescent="0.2">
      <c r="A88" t="s">
        <v>34</v>
      </c>
      <c r="B88" s="7">
        <v>45083</v>
      </c>
      <c r="C88">
        <v>108.5</v>
      </c>
      <c r="D88">
        <v>110</v>
      </c>
      <c r="E88">
        <v>108.5</v>
      </c>
      <c r="F88">
        <v>110</v>
      </c>
      <c r="G88">
        <v>-2</v>
      </c>
      <c r="H88">
        <v>15</v>
      </c>
      <c r="I88">
        <v>1324</v>
      </c>
      <c r="J88" s="8">
        <f>IFERROR(LN(Table1[[#This Row],[settle]]/F87),0)</f>
        <v>-1.8018505502678365E-2</v>
      </c>
    </row>
    <row r="89" spans="1:10" x14ac:dyDescent="0.2">
      <c r="A89" t="s">
        <v>34</v>
      </c>
      <c r="B89" s="7">
        <v>45084</v>
      </c>
      <c r="C89">
        <v>108.74</v>
      </c>
      <c r="D89">
        <v>0</v>
      </c>
      <c r="E89">
        <v>0</v>
      </c>
      <c r="F89">
        <v>109.28</v>
      </c>
      <c r="G89">
        <v>-0.72</v>
      </c>
      <c r="H89">
        <v>14</v>
      </c>
      <c r="I89">
        <v>1329</v>
      </c>
      <c r="J89" s="8">
        <f>IFERROR(LN(Table1[[#This Row],[settle]]/F88),0)</f>
        <v>-6.5669699699362708E-3</v>
      </c>
    </row>
    <row r="90" spans="1:10" x14ac:dyDescent="0.2">
      <c r="A90" t="s">
        <v>34</v>
      </c>
      <c r="B90" s="7">
        <v>45085</v>
      </c>
      <c r="C90">
        <v>108.92</v>
      </c>
      <c r="D90">
        <v>0</v>
      </c>
      <c r="E90">
        <v>0</v>
      </c>
      <c r="F90">
        <v>108.92</v>
      </c>
      <c r="G90">
        <v>-0.36</v>
      </c>
      <c r="H90">
        <v>3</v>
      </c>
      <c r="I90">
        <v>1326</v>
      </c>
      <c r="J90" s="8">
        <f>IFERROR(LN(Table1[[#This Row],[settle]]/F89),0)</f>
        <v>-3.2997280169211191E-3</v>
      </c>
    </row>
    <row r="91" spans="1:10" x14ac:dyDescent="0.2">
      <c r="A91" t="s">
        <v>34</v>
      </c>
      <c r="B91" s="7">
        <v>45086</v>
      </c>
      <c r="C91">
        <v>0</v>
      </c>
      <c r="D91">
        <v>0</v>
      </c>
      <c r="E91">
        <v>0</v>
      </c>
      <c r="F91">
        <v>108.92</v>
      </c>
      <c r="G91">
        <v>0</v>
      </c>
      <c r="H91">
        <v>0</v>
      </c>
      <c r="I91">
        <v>1326</v>
      </c>
      <c r="J91" s="8">
        <f>IFERROR(LN(Table1[[#This Row],[settle]]/F90),0)</f>
        <v>0</v>
      </c>
    </row>
    <row r="92" spans="1:10" x14ac:dyDescent="0.2">
      <c r="A92" t="s">
        <v>34</v>
      </c>
      <c r="B92" s="7">
        <v>45090</v>
      </c>
      <c r="C92">
        <v>0</v>
      </c>
      <c r="D92">
        <v>0</v>
      </c>
      <c r="E92">
        <v>0</v>
      </c>
      <c r="F92">
        <v>108.92</v>
      </c>
      <c r="G92">
        <v>0</v>
      </c>
      <c r="H92">
        <v>0</v>
      </c>
      <c r="I92">
        <v>1326</v>
      </c>
      <c r="J92" s="8">
        <f>IFERROR(LN(Table1[[#This Row],[settle]]/F91),0)</f>
        <v>0</v>
      </c>
    </row>
    <row r="93" spans="1:10" x14ac:dyDescent="0.2">
      <c r="A93" t="s">
        <v>34</v>
      </c>
      <c r="B93" s="7">
        <v>45091</v>
      </c>
      <c r="C93">
        <v>0</v>
      </c>
      <c r="D93">
        <v>0</v>
      </c>
      <c r="E93">
        <v>0</v>
      </c>
      <c r="F93">
        <v>109</v>
      </c>
      <c r="G93">
        <v>0.08</v>
      </c>
      <c r="H93">
        <v>0</v>
      </c>
      <c r="I93">
        <v>1326</v>
      </c>
      <c r="J93" s="8">
        <f>IFERROR(LN(Table1[[#This Row],[settle]]/F92),0)</f>
        <v>7.3421442358473214E-4</v>
      </c>
    </row>
    <row r="94" spans="1:10" x14ac:dyDescent="0.2">
      <c r="A94" t="s">
        <v>34</v>
      </c>
      <c r="B94" s="7">
        <v>45092</v>
      </c>
      <c r="C94">
        <v>109.5</v>
      </c>
      <c r="D94">
        <v>109.5</v>
      </c>
      <c r="E94">
        <v>109.5</v>
      </c>
      <c r="F94">
        <v>109</v>
      </c>
      <c r="G94">
        <v>0</v>
      </c>
      <c r="H94">
        <v>10</v>
      </c>
      <c r="I94">
        <v>1333</v>
      </c>
      <c r="J94" s="8">
        <f>IFERROR(LN(Table1[[#This Row],[settle]]/F93),0)</f>
        <v>0</v>
      </c>
    </row>
    <row r="95" spans="1:10" x14ac:dyDescent="0.2">
      <c r="A95" t="s">
        <v>34</v>
      </c>
      <c r="B95" s="7">
        <v>45093</v>
      </c>
      <c r="C95">
        <v>109.5</v>
      </c>
      <c r="D95">
        <v>110.5</v>
      </c>
      <c r="E95">
        <v>109.5</v>
      </c>
      <c r="F95">
        <v>110.5</v>
      </c>
      <c r="G95">
        <v>1.5</v>
      </c>
      <c r="H95">
        <v>2</v>
      </c>
      <c r="I95">
        <v>1332</v>
      </c>
      <c r="J95" s="8">
        <f>IFERROR(LN(Table1[[#This Row],[settle]]/F94),0)</f>
        <v>1.3667638728663835E-2</v>
      </c>
    </row>
    <row r="96" spans="1:10" x14ac:dyDescent="0.2">
      <c r="A96" t="s">
        <v>34</v>
      </c>
      <c r="B96" s="7">
        <v>45096</v>
      </c>
      <c r="C96">
        <v>111</v>
      </c>
      <c r="D96">
        <v>111</v>
      </c>
      <c r="E96">
        <v>111</v>
      </c>
      <c r="F96">
        <v>110.66</v>
      </c>
      <c r="G96">
        <v>0.16</v>
      </c>
      <c r="H96">
        <v>19</v>
      </c>
      <c r="I96">
        <v>1336</v>
      </c>
      <c r="J96" s="8">
        <f>IFERROR(LN(Table1[[#This Row],[settle]]/F95),0)</f>
        <v>1.4469165121560469E-3</v>
      </c>
    </row>
    <row r="97" spans="1:10" x14ac:dyDescent="0.2">
      <c r="A97" t="s">
        <v>34</v>
      </c>
      <c r="B97" s="7">
        <v>45097</v>
      </c>
      <c r="C97">
        <v>110</v>
      </c>
      <c r="D97">
        <v>110</v>
      </c>
      <c r="E97">
        <v>109</v>
      </c>
      <c r="F97">
        <v>108.5</v>
      </c>
      <c r="G97">
        <v>-2.16</v>
      </c>
      <c r="H97">
        <v>45</v>
      </c>
      <c r="I97">
        <v>1340</v>
      </c>
      <c r="J97" s="8">
        <f>IFERROR(LN(Table1[[#This Row],[settle]]/F96),0)</f>
        <v>-1.9712264489449426E-2</v>
      </c>
    </row>
    <row r="98" spans="1:10" x14ac:dyDescent="0.2">
      <c r="A98" t="s">
        <v>34</v>
      </c>
      <c r="B98" s="7">
        <v>45098</v>
      </c>
      <c r="C98">
        <v>107.5</v>
      </c>
      <c r="D98">
        <v>107.5</v>
      </c>
      <c r="E98">
        <v>107.5</v>
      </c>
      <c r="F98">
        <v>107.5</v>
      </c>
      <c r="G98">
        <v>-1</v>
      </c>
      <c r="H98">
        <v>4</v>
      </c>
      <c r="I98">
        <v>1342</v>
      </c>
      <c r="J98" s="8">
        <f>IFERROR(LN(Table1[[#This Row],[settle]]/F97),0)</f>
        <v>-9.2593254127967123E-3</v>
      </c>
    </row>
    <row r="99" spans="1:10" x14ac:dyDescent="0.2">
      <c r="A99" t="s">
        <v>34</v>
      </c>
      <c r="B99" s="7">
        <v>45099</v>
      </c>
      <c r="C99">
        <v>108.25</v>
      </c>
      <c r="D99">
        <v>108.25</v>
      </c>
      <c r="E99">
        <v>108</v>
      </c>
      <c r="F99">
        <v>107.64</v>
      </c>
      <c r="G99">
        <v>0.14000000000000001</v>
      </c>
      <c r="H99">
        <v>38</v>
      </c>
      <c r="I99">
        <v>1356</v>
      </c>
      <c r="J99" s="8">
        <f>IFERROR(LN(Table1[[#This Row],[settle]]/F98),0)</f>
        <v>1.3014782909875368E-3</v>
      </c>
    </row>
    <row r="100" spans="1:10" x14ac:dyDescent="0.2">
      <c r="A100" t="s">
        <v>34</v>
      </c>
      <c r="B100" s="7">
        <v>45100</v>
      </c>
      <c r="C100">
        <v>109</v>
      </c>
      <c r="D100">
        <v>109.25</v>
      </c>
      <c r="E100">
        <v>109</v>
      </c>
      <c r="F100">
        <v>109.06</v>
      </c>
      <c r="G100">
        <v>1.42</v>
      </c>
      <c r="H100">
        <v>52</v>
      </c>
      <c r="I100">
        <v>1365</v>
      </c>
      <c r="J100" s="8">
        <f>IFERROR(LN(Table1[[#This Row],[settle]]/F99),0)</f>
        <v>1.3105863639210355E-2</v>
      </c>
    </row>
    <row r="101" spans="1:10" x14ac:dyDescent="0.2">
      <c r="A101" t="s">
        <v>34</v>
      </c>
      <c r="B101" s="7">
        <v>45103</v>
      </c>
      <c r="C101">
        <v>108.8</v>
      </c>
      <c r="D101">
        <v>108.8</v>
      </c>
      <c r="E101">
        <v>108.8</v>
      </c>
      <c r="F101">
        <v>108.54</v>
      </c>
      <c r="G101">
        <v>-0.52</v>
      </c>
      <c r="H101">
        <v>13</v>
      </c>
      <c r="I101">
        <v>1356</v>
      </c>
      <c r="J101" s="8">
        <f>IFERROR(LN(Table1[[#This Row],[settle]]/F100),0)</f>
        <v>-4.7794208626566808E-3</v>
      </c>
    </row>
    <row r="102" spans="1:10" x14ac:dyDescent="0.2">
      <c r="A102" t="s">
        <v>34</v>
      </c>
      <c r="B102" s="7">
        <v>45104</v>
      </c>
      <c r="C102">
        <v>109</v>
      </c>
      <c r="D102">
        <v>110.5</v>
      </c>
      <c r="E102">
        <v>109</v>
      </c>
      <c r="F102">
        <v>110.36</v>
      </c>
      <c r="G102">
        <v>1.82</v>
      </c>
      <c r="H102">
        <v>11</v>
      </c>
      <c r="I102">
        <v>1355</v>
      </c>
      <c r="J102" s="8">
        <f>IFERROR(LN(Table1[[#This Row],[settle]]/F101),0)</f>
        <v>1.6628980713826604E-2</v>
      </c>
    </row>
    <row r="103" spans="1:10" x14ac:dyDescent="0.2">
      <c r="A103" t="s">
        <v>34</v>
      </c>
      <c r="B103" s="7">
        <v>45105</v>
      </c>
      <c r="C103">
        <v>111</v>
      </c>
      <c r="D103">
        <v>112</v>
      </c>
      <c r="E103">
        <v>111</v>
      </c>
      <c r="F103">
        <v>112.25</v>
      </c>
      <c r="G103">
        <v>1.89</v>
      </c>
      <c r="H103">
        <v>5</v>
      </c>
      <c r="I103">
        <v>1356</v>
      </c>
      <c r="J103" s="8">
        <f>IFERROR(LN(Table1[[#This Row],[settle]]/F102),0)</f>
        <v>1.6980777273278305E-2</v>
      </c>
    </row>
    <row r="104" spans="1:10" x14ac:dyDescent="0.2">
      <c r="A104" t="s">
        <v>34</v>
      </c>
      <c r="B104" s="7">
        <v>45106</v>
      </c>
      <c r="C104">
        <v>114.25</v>
      </c>
      <c r="D104">
        <v>120</v>
      </c>
      <c r="E104">
        <v>114.25</v>
      </c>
      <c r="F104">
        <v>116.59</v>
      </c>
      <c r="G104">
        <v>4.34</v>
      </c>
      <c r="H104">
        <v>42</v>
      </c>
      <c r="I104">
        <v>1369</v>
      </c>
      <c r="J104" s="8">
        <f>IFERROR(LN(Table1[[#This Row],[settle]]/F103),0)</f>
        <v>3.7934980322836272E-2</v>
      </c>
    </row>
    <row r="105" spans="1:10" x14ac:dyDescent="0.2">
      <c r="A105" t="s">
        <v>34</v>
      </c>
      <c r="B105" s="7">
        <v>45107</v>
      </c>
      <c r="C105">
        <v>118</v>
      </c>
      <c r="D105">
        <v>118.25</v>
      </c>
      <c r="E105">
        <v>118</v>
      </c>
      <c r="F105">
        <v>118.25</v>
      </c>
      <c r="G105">
        <v>1.66</v>
      </c>
      <c r="H105">
        <v>18</v>
      </c>
      <c r="I105">
        <v>1367</v>
      </c>
      <c r="J105" s="8">
        <f>IFERROR(LN(Table1[[#This Row],[settle]]/F104),0)</f>
        <v>1.4137520426842356E-2</v>
      </c>
    </row>
    <row r="106" spans="1:10" x14ac:dyDescent="0.2">
      <c r="A106" t="s">
        <v>34</v>
      </c>
      <c r="B106" s="7">
        <v>45110</v>
      </c>
      <c r="C106">
        <v>118.5</v>
      </c>
      <c r="D106">
        <v>119</v>
      </c>
      <c r="E106">
        <v>118.25</v>
      </c>
      <c r="F106">
        <v>118.25</v>
      </c>
      <c r="G106">
        <v>0</v>
      </c>
      <c r="H106">
        <v>5</v>
      </c>
      <c r="I106">
        <v>1369</v>
      </c>
      <c r="J106" s="8">
        <f>IFERROR(LN(Table1[[#This Row],[settle]]/F105),0)</f>
        <v>0</v>
      </c>
    </row>
    <row r="107" spans="1:10" x14ac:dyDescent="0.2">
      <c r="A107" t="s">
        <v>34</v>
      </c>
      <c r="B107" s="7">
        <v>45111</v>
      </c>
      <c r="C107">
        <v>117.3</v>
      </c>
      <c r="D107">
        <v>117.3</v>
      </c>
      <c r="E107">
        <v>117.25</v>
      </c>
      <c r="F107">
        <v>117.25</v>
      </c>
      <c r="G107">
        <v>-1</v>
      </c>
      <c r="H107">
        <v>3</v>
      </c>
      <c r="I107">
        <v>1369</v>
      </c>
      <c r="J107" s="8">
        <f>IFERROR(LN(Table1[[#This Row],[settle]]/F106),0)</f>
        <v>-8.4926200456535879E-3</v>
      </c>
    </row>
    <row r="108" spans="1:10" x14ac:dyDescent="0.2">
      <c r="A108" t="s">
        <v>34</v>
      </c>
      <c r="B108" s="7">
        <v>45112</v>
      </c>
      <c r="C108">
        <v>117.25</v>
      </c>
      <c r="D108">
        <v>119.25</v>
      </c>
      <c r="E108">
        <v>117.25</v>
      </c>
      <c r="F108">
        <v>119.07</v>
      </c>
      <c r="G108">
        <v>1.82</v>
      </c>
      <c r="H108">
        <v>23</v>
      </c>
      <c r="I108">
        <v>1380</v>
      </c>
      <c r="J108" s="8">
        <f>IFERROR(LN(Table1[[#This Row],[settle]]/F107),0)</f>
        <v>1.540314813669498E-2</v>
      </c>
    </row>
    <row r="109" spans="1:10" x14ac:dyDescent="0.2">
      <c r="A109" t="s">
        <v>34</v>
      </c>
      <c r="B109" s="7">
        <v>45113</v>
      </c>
      <c r="C109">
        <v>120</v>
      </c>
      <c r="D109">
        <v>121</v>
      </c>
      <c r="E109">
        <v>119.5</v>
      </c>
      <c r="F109">
        <v>119.5</v>
      </c>
      <c r="G109">
        <v>0.43</v>
      </c>
      <c r="H109">
        <v>13</v>
      </c>
      <c r="I109">
        <v>1385</v>
      </c>
      <c r="J109" s="8">
        <f>IFERROR(LN(Table1[[#This Row],[settle]]/F108),0)</f>
        <v>3.6048159084817663E-3</v>
      </c>
    </row>
    <row r="110" spans="1:10" x14ac:dyDescent="0.2">
      <c r="A110" t="s">
        <v>34</v>
      </c>
      <c r="B110" s="7">
        <v>45114</v>
      </c>
      <c r="C110">
        <v>0</v>
      </c>
      <c r="D110">
        <v>0</v>
      </c>
      <c r="E110">
        <v>0</v>
      </c>
      <c r="F110">
        <v>119.5</v>
      </c>
      <c r="G110">
        <v>0</v>
      </c>
      <c r="H110">
        <v>0</v>
      </c>
      <c r="I110">
        <v>1385</v>
      </c>
      <c r="J110" s="8">
        <f>IFERROR(LN(Table1[[#This Row],[settle]]/F109),0)</f>
        <v>0</v>
      </c>
    </row>
    <row r="111" spans="1:10" x14ac:dyDescent="0.2">
      <c r="A111" t="s">
        <v>34</v>
      </c>
      <c r="B111" s="7">
        <v>45117</v>
      </c>
      <c r="C111">
        <v>116</v>
      </c>
      <c r="D111">
        <v>116</v>
      </c>
      <c r="E111">
        <v>116</v>
      </c>
      <c r="F111">
        <v>115.7</v>
      </c>
      <c r="G111">
        <v>-3.8</v>
      </c>
      <c r="H111">
        <v>1</v>
      </c>
      <c r="I111">
        <v>1385</v>
      </c>
      <c r="J111" s="8">
        <f>IFERROR(LN(Table1[[#This Row],[settle]]/F110),0)</f>
        <v>-3.2315737171934415E-2</v>
      </c>
    </row>
    <row r="112" spans="1:10" x14ac:dyDescent="0.2">
      <c r="A112" t="s">
        <v>34</v>
      </c>
      <c r="B112" s="7">
        <v>45118</v>
      </c>
      <c r="C112">
        <v>116.5</v>
      </c>
      <c r="D112">
        <v>116.5</v>
      </c>
      <c r="E112">
        <v>115</v>
      </c>
      <c r="F112">
        <v>115</v>
      </c>
      <c r="G112">
        <v>-0.7</v>
      </c>
      <c r="H112">
        <v>35</v>
      </c>
      <c r="I112">
        <v>1394</v>
      </c>
      <c r="J112" s="8">
        <f>IFERROR(LN(Table1[[#This Row],[settle]]/F111),0)</f>
        <v>-6.0685058363809004E-3</v>
      </c>
    </row>
    <row r="113" spans="1:10" x14ac:dyDescent="0.2">
      <c r="A113" t="s">
        <v>34</v>
      </c>
      <c r="B113" s="7">
        <v>45119</v>
      </c>
      <c r="C113">
        <v>113.25</v>
      </c>
      <c r="D113">
        <v>113.25</v>
      </c>
      <c r="E113">
        <v>113</v>
      </c>
      <c r="F113">
        <v>113</v>
      </c>
      <c r="G113">
        <v>-2</v>
      </c>
      <c r="H113">
        <v>80</v>
      </c>
      <c r="I113">
        <v>1403</v>
      </c>
      <c r="J113" s="8">
        <f>IFERROR(LN(Table1[[#This Row],[settle]]/F112),0)</f>
        <v>-1.7544309650909508E-2</v>
      </c>
    </row>
    <row r="114" spans="1:10" x14ac:dyDescent="0.2">
      <c r="A114" t="s">
        <v>34</v>
      </c>
      <c r="B114" s="7">
        <v>45120</v>
      </c>
      <c r="C114">
        <v>110</v>
      </c>
      <c r="D114">
        <v>110.75</v>
      </c>
      <c r="E114">
        <v>109</v>
      </c>
      <c r="F114">
        <v>109.88</v>
      </c>
      <c r="G114">
        <v>-3.12</v>
      </c>
      <c r="H114">
        <v>26</v>
      </c>
      <c r="I114">
        <v>1420</v>
      </c>
      <c r="J114" s="8">
        <f>IFERROR(LN(Table1[[#This Row],[settle]]/F113),0)</f>
        <v>-2.7998957485267449E-2</v>
      </c>
    </row>
    <row r="115" spans="1:10" x14ac:dyDescent="0.2">
      <c r="A115" t="s">
        <v>34</v>
      </c>
      <c r="B115" s="7">
        <v>45121</v>
      </c>
      <c r="C115">
        <v>109.88</v>
      </c>
      <c r="D115">
        <v>0</v>
      </c>
      <c r="E115">
        <v>0</v>
      </c>
      <c r="F115">
        <v>108.12</v>
      </c>
      <c r="G115">
        <v>-1.76</v>
      </c>
      <c r="H115">
        <v>6</v>
      </c>
      <c r="I115">
        <v>1426</v>
      </c>
      <c r="J115" s="8">
        <f>IFERROR(LN(Table1[[#This Row],[settle]]/F114),0)</f>
        <v>-1.6147139818826133E-2</v>
      </c>
    </row>
    <row r="116" spans="1:10" x14ac:dyDescent="0.2">
      <c r="A116" t="s">
        <v>34</v>
      </c>
      <c r="B116" s="7">
        <v>45124</v>
      </c>
      <c r="C116">
        <v>108.24</v>
      </c>
      <c r="D116">
        <v>0</v>
      </c>
      <c r="E116">
        <v>0</v>
      </c>
      <c r="F116">
        <v>109.5</v>
      </c>
      <c r="G116">
        <v>1.38</v>
      </c>
      <c r="H116">
        <v>27</v>
      </c>
      <c r="I116">
        <v>1436</v>
      </c>
      <c r="J116" s="8">
        <f>IFERROR(LN(Table1[[#This Row],[settle]]/F115),0)</f>
        <v>1.268282784830858E-2</v>
      </c>
    </row>
    <row r="117" spans="1:10" x14ac:dyDescent="0.2">
      <c r="A117" t="s">
        <v>34</v>
      </c>
      <c r="B117" s="7">
        <v>45125</v>
      </c>
      <c r="C117">
        <v>112.7</v>
      </c>
      <c r="D117">
        <v>113</v>
      </c>
      <c r="E117">
        <v>112.7</v>
      </c>
      <c r="F117">
        <v>113</v>
      </c>
      <c r="G117">
        <v>3.5</v>
      </c>
      <c r="H117">
        <v>36</v>
      </c>
      <c r="I117">
        <v>1453</v>
      </c>
      <c r="J117" s="8">
        <f>IFERROR(LN(Table1[[#This Row],[settle]]/F116),0)</f>
        <v>3.1463269455785106E-2</v>
      </c>
    </row>
    <row r="118" spans="1:10" x14ac:dyDescent="0.2">
      <c r="A118" t="s">
        <v>34</v>
      </c>
      <c r="B118" s="7">
        <v>45126</v>
      </c>
      <c r="C118">
        <v>113.75</v>
      </c>
      <c r="D118">
        <v>113.99</v>
      </c>
      <c r="E118">
        <v>112.25</v>
      </c>
      <c r="F118">
        <v>112.75</v>
      </c>
      <c r="G118">
        <v>-0.25</v>
      </c>
      <c r="H118">
        <v>11</v>
      </c>
      <c r="I118">
        <v>1416</v>
      </c>
      <c r="J118" s="8">
        <f>IFERROR(LN(Table1[[#This Row],[settle]]/F117),0)</f>
        <v>-2.2148403295527874E-3</v>
      </c>
    </row>
    <row r="119" spans="1:10" x14ac:dyDescent="0.2">
      <c r="A119" t="s">
        <v>34</v>
      </c>
      <c r="B119" s="7">
        <v>45127</v>
      </c>
      <c r="C119">
        <v>113</v>
      </c>
      <c r="D119">
        <v>114.75</v>
      </c>
      <c r="E119">
        <v>113</v>
      </c>
      <c r="F119">
        <v>114.04</v>
      </c>
      <c r="G119">
        <v>1.29</v>
      </c>
      <c r="H119">
        <v>21</v>
      </c>
      <c r="I119">
        <v>1425</v>
      </c>
      <c r="J119" s="8">
        <f>IFERROR(LN(Table1[[#This Row],[settle]]/F118),0)</f>
        <v>1.1376285661683545E-2</v>
      </c>
    </row>
    <row r="120" spans="1:10" x14ac:dyDescent="0.2">
      <c r="A120" t="s">
        <v>34</v>
      </c>
      <c r="B120" s="7">
        <v>45128</v>
      </c>
      <c r="C120">
        <v>113.5</v>
      </c>
      <c r="D120">
        <v>113.5</v>
      </c>
      <c r="E120">
        <v>113.5</v>
      </c>
      <c r="F120">
        <v>113.5</v>
      </c>
      <c r="G120">
        <v>-0.54</v>
      </c>
      <c r="H120">
        <v>10</v>
      </c>
      <c r="I120">
        <v>1427</v>
      </c>
      <c r="J120" s="8">
        <f>IFERROR(LN(Table1[[#This Row],[settle]]/F119),0)</f>
        <v>-4.7464271230139039E-3</v>
      </c>
    </row>
    <row r="121" spans="1:10" x14ac:dyDescent="0.2">
      <c r="A121" t="s">
        <v>34</v>
      </c>
      <c r="B121" s="7">
        <v>45131</v>
      </c>
      <c r="C121">
        <v>112.75</v>
      </c>
      <c r="D121">
        <v>112.85</v>
      </c>
      <c r="E121">
        <v>112.75</v>
      </c>
      <c r="F121">
        <v>112.85</v>
      </c>
      <c r="G121">
        <v>-0.65</v>
      </c>
      <c r="H121">
        <v>68</v>
      </c>
      <c r="I121">
        <v>1412</v>
      </c>
      <c r="J121" s="8">
        <f>IFERROR(LN(Table1[[#This Row],[settle]]/F120),0)</f>
        <v>-5.7433336579127327E-3</v>
      </c>
    </row>
    <row r="122" spans="1:10" x14ac:dyDescent="0.2">
      <c r="A122" t="s">
        <v>34</v>
      </c>
      <c r="B122" s="7">
        <v>45132</v>
      </c>
      <c r="C122">
        <v>0</v>
      </c>
      <c r="D122">
        <v>0</v>
      </c>
      <c r="E122">
        <v>0</v>
      </c>
      <c r="F122">
        <v>112.85</v>
      </c>
      <c r="G122">
        <v>0</v>
      </c>
      <c r="H122">
        <v>0</v>
      </c>
      <c r="I122">
        <v>1412</v>
      </c>
      <c r="J122" s="8">
        <f>IFERROR(LN(Table1[[#This Row],[settle]]/F121),0)</f>
        <v>0</v>
      </c>
    </row>
    <row r="123" spans="1:10" x14ac:dyDescent="0.2">
      <c r="A123" t="s">
        <v>34</v>
      </c>
      <c r="B123" s="7">
        <v>45133</v>
      </c>
      <c r="C123">
        <v>109.95</v>
      </c>
      <c r="D123">
        <v>0</v>
      </c>
      <c r="E123">
        <v>0</v>
      </c>
      <c r="F123">
        <v>109.39</v>
      </c>
      <c r="G123">
        <v>-3.46</v>
      </c>
      <c r="H123">
        <v>9</v>
      </c>
      <c r="I123">
        <v>1412</v>
      </c>
      <c r="J123" s="8">
        <f>IFERROR(LN(Table1[[#This Row],[settle]]/F122),0)</f>
        <v>-3.11400251318452E-2</v>
      </c>
    </row>
    <row r="124" spans="1:10" x14ac:dyDescent="0.2">
      <c r="A124" t="s">
        <v>34</v>
      </c>
      <c r="B124" s="7">
        <v>45134</v>
      </c>
      <c r="C124">
        <v>0</v>
      </c>
      <c r="D124">
        <v>0</v>
      </c>
      <c r="E124">
        <v>0</v>
      </c>
      <c r="F124">
        <v>109.34</v>
      </c>
      <c r="G124">
        <v>-0.05</v>
      </c>
      <c r="H124">
        <v>0</v>
      </c>
      <c r="I124">
        <v>1412</v>
      </c>
      <c r="J124" s="8">
        <f>IFERROR(LN(Table1[[#This Row],[settle]]/F123),0)</f>
        <v>-4.5718466484616067E-4</v>
      </c>
    </row>
    <row r="125" spans="1:10" x14ac:dyDescent="0.2">
      <c r="A125" t="s">
        <v>34</v>
      </c>
      <c r="B125" s="7">
        <v>45135</v>
      </c>
      <c r="C125">
        <v>112</v>
      </c>
      <c r="D125">
        <v>112</v>
      </c>
      <c r="E125">
        <v>111.5</v>
      </c>
      <c r="F125">
        <v>111.5</v>
      </c>
      <c r="G125">
        <v>2.16</v>
      </c>
      <c r="H125">
        <v>9</v>
      </c>
      <c r="I125">
        <v>1412</v>
      </c>
      <c r="J125" s="8">
        <f>IFERROR(LN(Table1[[#This Row],[settle]]/F124),0)</f>
        <v>1.9562297433320264E-2</v>
      </c>
    </row>
    <row r="126" spans="1:10" x14ac:dyDescent="0.2">
      <c r="A126" t="s">
        <v>34</v>
      </c>
      <c r="B126" s="7">
        <v>45138</v>
      </c>
      <c r="C126">
        <v>0</v>
      </c>
      <c r="D126">
        <v>0</v>
      </c>
      <c r="E126">
        <v>0</v>
      </c>
      <c r="F126">
        <v>111.27</v>
      </c>
      <c r="G126">
        <v>-0.23</v>
      </c>
      <c r="H126">
        <v>0</v>
      </c>
      <c r="I126">
        <v>1412</v>
      </c>
      <c r="J126" s="8">
        <f>IFERROR(LN(Table1[[#This Row],[settle]]/F125),0)</f>
        <v>-2.0649107305643999E-3</v>
      </c>
    </row>
    <row r="127" spans="1:10" x14ac:dyDescent="0.2">
      <c r="A127" t="s">
        <v>34</v>
      </c>
      <c r="B127" s="7">
        <v>45139</v>
      </c>
      <c r="C127">
        <v>111</v>
      </c>
      <c r="D127">
        <v>111</v>
      </c>
      <c r="E127">
        <v>110</v>
      </c>
      <c r="F127">
        <v>110</v>
      </c>
      <c r="G127">
        <v>-1.27</v>
      </c>
      <c r="H127">
        <v>5</v>
      </c>
      <c r="I127">
        <v>1416</v>
      </c>
      <c r="J127" s="8">
        <f>IFERROR(LN(Table1[[#This Row],[settle]]/F126),0)</f>
        <v>-1.1479314377192844E-2</v>
      </c>
    </row>
    <row r="128" spans="1:10" x14ac:dyDescent="0.2">
      <c r="A128" t="s">
        <v>34</v>
      </c>
      <c r="B128" s="7">
        <v>45140</v>
      </c>
      <c r="C128">
        <v>110.5</v>
      </c>
      <c r="D128">
        <v>111</v>
      </c>
      <c r="E128">
        <v>110.25</v>
      </c>
      <c r="F128">
        <v>111</v>
      </c>
      <c r="G128">
        <v>1</v>
      </c>
      <c r="H128">
        <v>32</v>
      </c>
      <c r="I128">
        <v>1418</v>
      </c>
      <c r="J128" s="8">
        <f>IFERROR(LN(Table1[[#This Row],[settle]]/F127),0)</f>
        <v>9.0498355199178562E-3</v>
      </c>
    </row>
    <row r="129" spans="1:10" x14ac:dyDescent="0.2">
      <c r="A129" t="s">
        <v>34</v>
      </c>
      <c r="B129" s="7">
        <v>45141</v>
      </c>
      <c r="C129">
        <v>111</v>
      </c>
      <c r="D129">
        <v>111</v>
      </c>
      <c r="E129">
        <v>111</v>
      </c>
      <c r="F129">
        <v>110.5</v>
      </c>
      <c r="G129">
        <v>-0.5</v>
      </c>
      <c r="H129">
        <v>5</v>
      </c>
      <c r="I129">
        <v>1421</v>
      </c>
      <c r="J129" s="8">
        <f>IFERROR(LN(Table1[[#This Row],[settle]]/F128),0)</f>
        <v>-4.5146803545265827E-3</v>
      </c>
    </row>
    <row r="130" spans="1:10" x14ac:dyDescent="0.2">
      <c r="A130" t="s">
        <v>34</v>
      </c>
      <c r="B130" s="7">
        <v>45142</v>
      </c>
      <c r="C130">
        <v>110.5</v>
      </c>
      <c r="D130">
        <v>110.62</v>
      </c>
      <c r="E130">
        <v>110.5</v>
      </c>
      <c r="F130">
        <v>110.62</v>
      </c>
      <c r="G130">
        <v>0.12</v>
      </c>
      <c r="H130">
        <v>13</v>
      </c>
      <c r="I130">
        <v>1423</v>
      </c>
      <c r="J130" s="8">
        <f>IFERROR(LN(Table1[[#This Row],[settle]]/F129),0)</f>
        <v>1.085383608724405E-3</v>
      </c>
    </row>
    <row r="131" spans="1:10" x14ac:dyDescent="0.2">
      <c r="A131" t="s">
        <v>34</v>
      </c>
      <c r="B131" s="7">
        <v>45145</v>
      </c>
      <c r="C131">
        <v>0</v>
      </c>
      <c r="D131">
        <v>0</v>
      </c>
      <c r="E131">
        <v>0</v>
      </c>
      <c r="F131">
        <v>110.62</v>
      </c>
      <c r="G131">
        <v>0</v>
      </c>
      <c r="H131">
        <v>0</v>
      </c>
      <c r="I131">
        <v>1423</v>
      </c>
      <c r="J131" s="8">
        <f>IFERROR(LN(Table1[[#This Row],[settle]]/F130),0)</f>
        <v>0</v>
      </c>
    </row>
    <row r="132" spans="1:10" x14ac:dyDescent="0.2">
      <c r="A132" t="s">
        <v>34</v>
      </c>
      <c r="B132" s="7">
        <v>45146</v>
      </c>
      <c r="C132">
        <v>110</v>
      </c>
      <c r="D132">
        <v>110</v>
      </c>
      <c r="E132">
        <v>110</v>
      </c>
      <c r="F132">
        <v>109.8</v>
      </c>
      <c r="G132">
        <v>-0.82</v>
      </c>
      <c r="H132">
        <v>5</v>
      </c>
      <c r="I132">
        <v>1418</v>
      </c>
      <c r="J132" s="8">
        <f>IFERROR(LN(Table1[[#This Row],[settle]]/F131),0)</f>
        <v>-7.4403754911017573E-3</v>
      </c>
    </row>
    <row r="133" spans="1:10" x14ac:dyDescent="0.2">
      <c r="A133" t="s">
        <v>34</v>
      </c>
      <c r="B133" s="7">
        <v>45147</v>
      </c>
      <c r="C133">
        <v>108.61</v>
      </c>
      <c r="D133">
        <v>0</v>
      </c>
      <c r="E133">
        <v>0</v>
      </c>
      <c r="F133">
        <v>109.33</v>
      </c>
      <c r="G133">
        <v>-0.47</v>
      </c>
      <c r="H133">
        <v>16</v>
      </c>
      <c r="I133">
        <v>1418</v>
      </c>
      <c r="J133" s="8">
        <f>IFERROR(LN(Table1[[#This Row],[settle]]/F132),0)</f>
        <v>-4.2896976290368429E-3</v>
      </c>
    </row>
    <row r="134" spans="1:10" x14ac:dyDescent="0.2">
      <c r="A134" t="s">
        <v>34</v>
      </c>
      <c r="B134" s="7">
        <v>45148</v>
      </c>
      <c r="C134">
        <v>110.33</v>
      </c>
      <c r="D134">
        <v>0</v>
      </c>
      <c r="E134">
        <v>0</v>
      </c>
      <c r="F134">
        <v>110.62</v>
      </c>
      <c r="G134">
        <v>1.29</v>
      </c>
      <c r="H134">
        <v>7</v>
      </c>
      <c r="I134">
        <v>1413</v>
      </c>
      <c r="J134" s="8">
        <f>IFERROR(LN(Table1[[#This Row],[settle]]/F133),0)</f>
        <v>1.1730073120138549E-2</v>
      </c>
    </row>
    <row r="135" spans="1:10" x14ac:dyDescent="0.2">
      <c r="A135" t="s">
        <v>34</v>
      </c>
      <c r="B135" s="7">
        <v>45149</v>
      </c>
      <c r="C135">
        <v>111.46</v>
      </c>
      <c r="D135">
        <v>0</v>
      </c>
      <c r="E135">
        <v>0</v>
      </c>
      <c r="F135">
        <v>111.5</v>
      </c>
      <c r="G135">
        <v>0.88</v>
      </c>
      <c r="H135">
        <v>2</v>
      </c>
      <c r="I135">
        <v>1411</v>
      </c>
      <c r="J135" s="8">
        <f>IFERROR(LN(Table1[[#This Row],[settle]]/F134),0)</f>
        <v>7.9236863336413586E-3</v>
      </c>
    </row>
    <row r="136" spans="1:10" x14ac:dyDescent="0.2">
      <c r="A136" t="s">
        <v>34</v>
      </c>
      <c r="B136" s="7">
        <v>45152</v>
      </c>
      <c r="C136">
        <v>112</v>
      </c>
      <c r="D136">
        <v>112</v>
      </c>
      <c r="E136">
        <v>112</v>
      </c>
      <c r="F136">
        <v>112</v>
      </c>
      <c r="G136">
        <v>0.5</v>
      </c>
      <c r="H136">
        <v>1</v>
      </c>
      <c r="I136">
        <v>1411</v>
      </c>
      <c r="J136" s="8">
        <f>IFERROR(LN(Table1[[#This Row],[settle]]/F135),0)</f>
        <v>4.4742803949211069E-3</v>
      </c>
    </row>
    <row r="137" spans="1:10" x14ac:dyDescent="0.2">
      <c r="A137" t="s">
        <v>34</v>
      </c>
      <c r="B137" s="7">
        <v>45153</v>
      </c>
      <c r="C137">
        <v>113.5</v>
      </c>
      <c r="D137">
        <v>114</v>
      </c>
      <c r="E137">
        <v>113.5</v>
      </c>
      <c r="F137">
        <v>114</v>
      </c>
      <c r="G137">
        <v>2</v>
      </c>
      <c r="H137">
        <v>2</v>
      </c>
      <c r="I137">
        <v>1411</v>
      </c>
      <c r="J137" s="8">
        <f>IFERROR(LN(Table1[[#This Row],[settle]]/F136),0)</f>
        <v>1.7699577099400857E-2</v>
      </c>
    </row>
    <row r="138" spans="1:10" x14ac:dyDescent="0.2">
      <c r="A138" t="s">
        <v>34</v>
      </c>
      <c r="B138" s="7">
        <v>45154</v>
      </c>
      <c r="C138">
        <v>114.87</v>
      </c>
      <c r="D138">
        <v>0</v>
      </c>
      <c r="E138">
        <v>0</v>
      </c>
      <c r="F138">
        <v>114.08</v>
      </c>
      <c r="G138">
        <v>0.08</v>
      </c>
      <c r="H138">
        <v>27</v>
      </c>
      <c r="I138">
        <v>1412</v>
      </c>
      <c r="J138" s="8">
        <f>IFERROR(LN(Table1[[#This Row],[settle]]/F137),0)</f>
        <v>7.0150827149030332E-4</v>
      </c>
    </row>
    <row r="139" spans="1:10" x14ac:dyDescent="0.2">
      <c r="A139" t="s">
        <v>34</v>
      </c>
      <c r="B139" s="7">
        <v>45155</v>
      </c>
      <c r="C139">
        <v>114.75</v>
      </c>
      <c r="D139">
        <v>116</v>
      </c>
      <c r="E139">
        <v>114.75</v>
      </c>
      <c r="F139">
        <v>115.74</v>
      </c>
      <c r="G139">
        <v>1.66</v>
      </c>
      <c r="H139">
        <v>22</v>
      </c>
      <c r="I139">
        <v>1408</v>
      </c>
      <c r="J139" s="8">
        <f>IFERROR(LN(Table1[[#This Row],[settle]]/F138),0)</f>
        <v>1.4446339479706888E-2</v>
      </c>
    </row>
    <row r="140" spans="1:10" x14ac:dyDescent="0.2">
      <c r="A140" t="s">
        <v>34</v>
      </c>
      <c r="B140" s="7">
        <v>45156</v>
      </c>
      <c r="C140">
        <v>117.5</v>
      </c>
      <c r="D140">
        <v>118</v>
      </c>
      <c r="E140">
        <v>117.5</v>
      </c>
      <c r="F140">
        <v>118</v>
      </c>
      <c r="G140">
        <v>2.2599999999999998</v>
      </c>
      <c r="H140">
        <v>3</v>
      </c>
      <c r="I140">
        <v>1406</v>
      </c>
      <c r="J140" s="8">
        <f>IFERROR(LN(Table1[[#This Row],[settle]]/F139),0)</f>
        <v>1.9338328319972061E-2</v>
      </c>
    </row>
    <row r="141" spans="1:10" x14ac:dyDescent="0.2">
      <c r="A141" t="s">
        <v>34</v>
      </c>
      <c r="B141" s="7">
        <v>45159</v>
      </c>
      <c r="C141">
        <v>0</v>
      </c>
      <c r="D141">
        <v>0</v>
      </c>
      <c r="E141">
        <v>0</v>
      </c>
      <c r="F141">
        <v>118</v>
      </c>
      <c r="G141">
        <v>0</v>
      </c>
      <c r="H141">
        <v>0</v>
      </c>
      <c r="I141">
        <v>1406</v>
      </c>
      <c r="J141" s="8">
        <f>IFERROR(LN(Table1[[#This Row],[settle]]/F140),0)</f>
        <v>0</v>
      </c>
    </row>
    <row r="142" spans="1:10" x14ac:dyDescent="0.2">
      <c r="A142" t="s">
        <v>34</v>
      </c>
      <c r="B142" s="7">
        <v>45160</v>
      </c>
      <c r="C142">
        <v>0</v>
      </c>
      <c r="D142">
        <v>0</v>
      </c>
      <c r="E142">
        <v>0</v>
      </c>
      <c r="F142">
        <v>118</v>
      </c>
      <c r="G142">
        <v>0</v>
      </c>
      <c r="H142">
        <v>0</v>
      </c>
      <c r="I142">
        <v>1406</v>
      </c>
      <c r="J142" s="8">
        <f>IFERROR(LN(Table1[[#This Row],[settle]]/F141),0)</f>
        <v>0</v>
      </c>
    </row>
    <row r="143" spans="1:10" x14ac:dyDescent="0.2">
      <c r="A143" t="s">
        <v>34</v>
      </c>
      <c r="B143" s="7">
        <v>45161</v>
      </c>
      <c r="C143">
        <v>118</v>
      </c>
      <c r="D143">
        <v>0</v>
      </c>
      <c r="E143">
        <v>0</v>
      </c>
      <c r="F143">
        <v>118.09</v>
      </c>
      <c r="G143">
        <v>0.09</v>
      </c>
      <c r="H143">
        <v>7</v>
      </c>
      <c r="I143">
        <v>1410</v>
      </c>
      <c r="J143" s="8">
        <f>IFERROR(LN(Table1[[#This Row],[settle]]/F142),0)</f>
        <v>7.6242114752560425E-4</v>
      </c>
    </row>
    <row r="144" spans="1:10" x14ac:dyDescent="0.2">
      <c r="A144" t="s">
        <v>34</v>
      </c>
      <c r="B144" s="7">
        <v>45162</v>
      </c>
      <c r="C144">
        <v>118.25</v>
      </c>
      <c r="D144">
        <v>118.25</v>
      </c>
      <c r="E144">
        <v>118.25</v>
      </c>
      <c r="F144">
        <v>118.25</v>
      </c>
      <c r="G144">
        <v>0.16</v>
      </c>
      <c r="H144">
        <v>32</v>
      </c>
      <c r="I144">
        <v>1450</v>
      </c>
      <c r="J144" s="8">
        <f>IFERROR(LN(Table1[[#This Row],[settle]]/F143),0)</f>
        <v>1.3539817588521697E-3</v>
      </c>
    </row>
    <row r="145" spans="1:10" x14ac:dyDescent="0.2">
      <c r="A145" t="s">
        <v>34</v>
      </c>
      <c r="B145" s="7">
        <v>45163</v>
      </c>
      <c r="C145">
        <v>118</v>
      </c>
      <c r="D145">
        <v>119</v>
      </c>
      <c r="E145">
        <v>118</v>
      </c>
      <c r="F145">
        <v>119</v>
      </c>
      <c r="G145">
        <v>0.75</v>
      </c>
      <c r="H145">
        <v>18</v>
      </c>
      <c r="I145">
        <v>1453</v>
      </c>
      <c r="J145" s="8">
        <f>IFERROR(LN(Table1[[#This Row],[settle]]/F144),0)</f>
        <v>6.322465739487108E-3</v>
      </c>
    </row>
    <row r="146" spans="1:10" x14ac:dyDescent="0.2">
      <c r="A146" t="s">
        <v>34</v>
      </c>
      <c r="B146" s="7">
        <v>45166</v>
      </c>
      <c r="C146">
        <v>118.53</v>
      </c>
      <c r="D146">
        <v>0</v>
      </c>
      <c r="E146">
        <v>0</v>
      </c>
      <c r="F146">
        <v>118</v>
      </c>
      <c r="G146">
        <v>-1</v>
      </c>
      <c r="H146">
        <v>12</v>
      </c>
      <c r="I146">
        <v>1465</v>
      </c>
      <c r="J146" s="8">
        <f>IFERROR(LN(Table1[[#This Row],[settle]]/F145),0)</f>
        <v>-8.4388686458645949E-3</v>
      </c>
    </row>
    <row r="147" spans="1:10" x14ac:dyDescent="0.2">
      <c r="A147" t="s">
        <v>34</v>
      </c>
      <c r="B147" s="7">
        <v>45167</v>
      </c>
      <c r="C147">
        <v>117</v>
      </c>
      <c r="D147">
        <v>117</v>
      </c>
      <c r="E147">
        <v>116.9</v>
      </c>
      <c r="F147">
        <v>116.68</v>
      </c>
      <c r="G147">
        <v>-1.32</v>
      </c>
      <c r="H147">
        <v>15</v>
      </c>
      <c r="I147">
        <v>1468</v>
      </c>
      <c r="J147" s="8">
        <f>IFERROR(LN(Table1[[#This Row],[settle]]/F146),0)</f>
        <v>-1.1249479466144024E-2</v>
      </c>
    </row>
    <row r="148" spans="1:10" x14ac:dyDescent="0.2">
      <c r="A148" t="s">
        <v>34</v>
      </c>
      <c r="B148" s="7">
        <v>45168</v>
      </c>
      <c r="C148">
        <v>117.76</v>
      </c>
      <c r="D148">
        <v>0</v>
      </c>
      <c r="E148">
        <v>0</v>
      </c>
      <c r="F148">
        <v>117.63</v>
      </c>
      <c r="G148">
        <v>0.95</v>
      </c>
      <c r="H148">
        <v>26</v>
      </c>
      <c r="I148">
        <v>1485</v>
      </c>
      <c r="J148" s="8">
        <f>IFERROR(LN(Table1[[#This Row],[settle]]/F147),0)</f>
        <v>8.1089599728293039E-3</v>
      </c>
    </row>
    <row r="149" spans="1:10" x14ac:dyDescent="0.2">
      <c r="A149" t="s">
        <v>34</v>
      </c>
      <c r="B149" s="7">
        <v>45169</v>
      </c>
      <c r="C149">
        <v>119.5</v>
      </c>
      <c r="D149">
        <v>119.5</v>
      </c>
      <c r="E149">
        <v>119.5</v>
      </c>
      <c r="F149">
        <v>117.51</v>
      </c>
      <c r="G149">
        <v>-0.12</v>
      </c>
      <c r="H149">
        <v>6</v>
      </c>
      <c r="I149">
        <v>1487</v>
      </c>
      <c r="J149" s="8">
        <f>IFERROR(LN(Table1[[#This Row],[settle]]/F148),0)</f>
        <v>-1.0206686265002794E-3</v>
      </c>
    </row>
    <row r="150" spans="1:10" x14ac:dyDescent="0.2">
      <c r="A150" t="s">
        <v>34</v>
      </c>
      <c r="B150" s="7">
        <v>45170</v>
      </c>
      <c r="C150">
        <v>116.81</v>
      </c>
      <c r="D150">
        <v>0</v>
      </c>
      <c r="E150">
        <v>0</v>
      </c>
      <c r="F150">
        <v>116.81</v>
      </c>
      <c r="G150">
        <v>-0.7</v>
      </c>
      <c r="H150">
        <v>2</v>
      </c>
      <c r="I150">
        <v>1489</v>
      </c>
      <c r="J150" s="8">
        <f>IFERROR(LN(Table1[[#This Row],[settle]]/F149),0)</f>
        <v>-5.9747531782448288E-3</v>
      </c>
    </row>
    <row r="151" spans="1:10" x14ac:dyDescent="0.2">
      <c r="A151" t="s">
        <v>34</v>
      </c>
      <c r="B151" s="7">
        <v>45173</v>
      </c>
      <c r="C151">
        <v>115.4</v>
      </c>
      <c r="D151">
        <v>0</v>
      </c>
      <c r="E151">
        <v>0</v>
      </c>
      <c r="F151">
        <v>116.81</v>
      </c>
      <c r="G151">
        <v>0</v>
      </c>
      <c r="H151">
        <v>3</v>
      </c>
      <c r="I151">
        <v>1491</v>
      </c>
      <c r="J151" s="8">
        <f>IFERROR(LN(Table1[[#This Row],[settle]]/F150),0)</f>
        <v>0</v>
      </c>
    </row>
    <row r="152" spans="1:10" x14ac:dyDescent="0.2">
      <c r="A152" t="s">
        <v>34</v>
      </c>
      <c r="B152" s="7">
        <v>45174</v>
      </c>
      <c r="C152">
        <v>0</v>
      </c>
      <c r="D152">
        <v>0</v>
      </c>
      <c r="E152">
        <v>0</v>
      </c>
      <c r="F152">
        <v>116.81</v>
      </c>
      <c r="G152">
        <v>0</v>
      </c>
      <c r="H152">
        <v>0</v>
      </c>
      <c r="I152">
        <v>1491</v>
      </c>
      <c r="J152" s="8">
        <f>IFERROR(LN(Table1[[#This Row],[settle]]/F151),0)</f>
        <v>0</v>
      </c>
    </row>
    <row r="153" spans="1:10" x14ac:dyDescent="0.2">
      <c r="A153" t="s">
        <v>34</v>
      </c>
      <c r="B153" s="7">
        <v>45175</v>
      </c>
      <c r="C153">
        <v>119</v>
      </c>
      <c r="D153">
        <v>119.5</v>
      </c>
      <c r="E153">
        <v>119</v>
      </c>
      <c r="F153">
        <v>119.76</v>
      </c>
      <c r="G153">
        <v>2.95</v>
      </c>
      <c r="H153">
        <v>7</v>
      </c>
      <c r="I153">
        <v>1494</v>
      </c>
      <c r="J153" s="8">
        <f>IFERROR(LN(Table1[[#This Row],[settle]]/F152),0)</f>
        <v>2.4941056943768216E-2</v>
      </c>
    </row>
    <row r="154" spans="1:10" x14ac:dyDescent="0.2">
      <c r="A154" t="s">
        <v>34</v>
      </c>
      <c r="B154" s="7">
        <v>45176</v>
      </c>
      <c r="C154">
        <v>120.92</v>
      </c>
      <c r="D154">
        <v>0</v>
      </c>
      <c r="E154">
        <v>0</v>
      </c>
      <c r="F154">
        <v>121.09</v>
      </c>
      <c r="G154">
        <v>1.33</v>
      </c>
      <c r="H154">
        <v>13</v>
      </c>
      <c r="I154">
        <v>1492</v>
      </c>
      <c r="J154" s="8">
        <f>IFERROR(LN(Table1[[#This Row],[settle]]/F153),0)</f>
        <v>1.1044330654902018E-2</v>
      </c>
    </row>
    <row r="155" spans="1:10" x14ac:dyDescent="0.2">
      <c r="A155" t="s">
        <v>34</v>
      </c>
      <c r="B155" s="7">
        <v>45177</v>
      </c>
      <c r="C155">
        <v>0</v>
      </c>
      <c r="D155">
        <v>0</v>
      </c>
      <c r="E155">
        <v>0</v>
      </c>
      <c r="F155">
        <v>121.09</v>
      </c>
      <c r="G155">
        <v>0</v>
      </c>
      <c r="H155">
        <v>0</v>
      </c>
      <c r="I155">
        <v>1492</v>
      </c>
      <c r="J155" s="8">
        <f>IFERROR(LN(Table1[[#This Row],[settle]]/F154),0)</f>
        <v>0</v>
      </c>
    </row>
    <row r="156" spans="1:10" x14ac:dyDescent="0.2">
      <c r="A156" t="s">
        <v>34</v>
      </c>
      <c r="B156" s="7">
        <v>45180</v>
      </c>
      <c r="C156">
        <v>120.07</v>
      </c>
      <c r="D156">
        <v>0</v>
      </c>
      <c r="E156">
        <v>0</v>
      </c>
      <c r="F156">
        <v>120.77</v>
      </c>
      <c r="G156">
        <v>-0.32</v>
      </c>
      <c r="H156">
        <v>1</v>
      </c>
      <c r="I156">
        <v>1493</v>
      </c>
      <c r="J156" s="8">
        <f>IFERROR(LN(Table1[[#This Row],[settle]]/F155),0)</f>
        <v>-2.6461604789911166E-3</v>
      </c>
    </row>
    <row r="157" spans="1:10" x14ac:dyDescent="0.2">
      <c r="A157" t="s">
        <v>34</v>
      </c>
      <c r="B157" s="7">
        <v>45181</v>
      </c>
      <c r="C157">
        <v>120.77</v>
      </c>
      <c r="D157">
        <v>120.77</v>
      </c>
      <c r="E157">
        <v>120.77</v>
      </c>
      <c r="F157">
        <v>122</v>
      </c>
      <c r="G157">
        <v>1.23</v>
      </c>
      <c r="H157">
        <v>5</v>
      </c>
      <c r="I157">
        <v>1498</v>
      </c>
      <c r="J157" s="8">
        <f>IFERROR(LN(Table1[[#This Row],[settle]]/F156),0)</f>
        <v>1.0133134445972695E-2</v>
      </c>
    </row>
    <row r="158" spans="1:10" x14ac:dyDescent="0.2">
      <c r="A158" t="s">
        <v>34</v>
      </c>
      <c r="B158" s="7">
        <v>45182</v>
      </c>
      <c r="C158">
        <v>123.5</v>
      </c>
      <c r="D158">
        <v>123.5</v>
      </c>
      <c r="E158">
        <v>123.5</v>
      </c>
      <c r="F158">
        <v>123.57</v>
      </c>
      <c r="G158">
        <v>1.57</v>
      </c>
      <c r="H158">
        <v>5</v>
      </c>
      <c r="I158">
        <v>1496</v>
      </c>
      <c r="J158" s="8">
        <f>IFERROR(LN(Table1[[#This Row],[settle]]/F157),0)</f>
        <v>1.278675238284248E-2</v>
      </c>
    </row>
    <row r="159" spans="1:10" x14ac:dyDescent="0.2">
      <c r="A159" t="s">
        <v>34</v>
      </c>
      <c r="B159" s="7">
        <v>45183</v>
      </c>
      <c r="C159">
        <v>124.5</v>
      </c>
      <c r="D159">
        <v>124.5</v>
      </c>
      <c r="E159">
        <v>124.5</v>
      </c>
      <c r="F159">
        <v>123.63</v>
      </c>
      <c r="G159">
        <v>0.06</v>
      </c>
      <c r="H159">
        <v>22</v>
      </c>
      <c r="I159">
        <v>1491</v>
      </c>
      <c r="J159" s="8">
        <f>IFERROR(LN(Table1[[#This Row],[settle]]/F158),0)</f>
        <v>4.8543690273659837E-4</v>
      </c>
    </row>
    <row r="160" spans="1:10" x14ac:dyDescent="0.2">
      <c r="A160" t="s">
        <v>34</v>
      </c>
      <c r="B160" s="7">
        <v>45184</v>
      </c>
      <c r="C160">
        <v>122.49</v>
      </c>
      <c r="D160">
        <v>0</v>
      </c>
      <c r="E160">
        <v>0</v>
      </c>
      <c r="F160">
        <v>123.41</v>
      </c>
      <c r="G160">
        <v>-0.22</v>
      </c>
      <c r="H160">
        <v>4</v>
      </c>
      <c r="I160">
        <v>1493</v>
      </c>
      <c r="J160" s="8">
        <f>IFERROR(LN(Table1[[#This Row],[settle]]/F159),0)</f>
        <v>-1.7810885537435323E-3</v>
      </c>
    </row>
    <row r="161" spans="1:10" x14ac:dyDescent="0.2">
      <c r="A161" t="s">
        <v>34</v>
      </c>
      <c r="B161" s="7">
        <v>45187</v>
      </c>
      <c r="C161">
        <v>121.78</v>
      </c>
      <c r="D161">
        <v>0</v>
      </c>
      <c r="E161">
        <v>0</v>
      </c>
      <c r="F161">
        <v>123.33</v>
      </c>
      <c r="G161">
        <v>-0.08</v>
      </c>
      <c r="H161">
        <v>11</v>
      </c>
      <c r="I161">
        <v>1495</v>
      </c>
      <c r="J161" s="8">
        <f>IFERROR(LN(Table1[[#This Row],[settle]]/F160),0)</f>
        <v>-6.4845588719545072E-4</v>
      </c>
    </row>
    <row r="162" spans="1:10" x14ac:dyDescent="0.2">
      <c r="A162" t="s">
        <v>34</v>
      </c>
      <c r="B162" s="7">
        <v>45188</v>
      </c>
      <c r="C162">
        <v>124</v>
      </c>
      <c r="D162">
        <v>124</v>
      </c>
      <c r="E162">
        <v>124</v>
      </c>
      <c r="F162">
        <v>124.5</v>
      </c>
      <c r="G162">
        <v>1.17</v>
      </c>
      <c r="H162">
        <v>5</v>
      </c>
      <c r="I162">
        <v>1481</v>
      </c>
      <c r="J162" s="8">
        <f>IFERROR(LN(Table1[[#This Row],[settle]]/F161),0)</f>
        <v>9.442026326865513E-3</v>
      </c>
    </row>
    <row r="163" spans="1:10" x14ac:dyDescent="0.2">
      <c r="A163" t="s">
        <v>34</v>
      </c>
      <c r="B163" s="7">
        <v>45189</v>
      </c>
      <c r="C163">
        <v>126.5</v>
      </c>
      <c r="D163">
        <v>126.5</v>
      </c>
      <c r="E163">
        <v>126.5</v>
      </c>
      <c r="F163">
        <v>126.5</v>
      </c>
      <c r="G163">
        <v>2</v>
      </c>
      <c r="H163">
        <v>6</v>
      </c>
      <c r="I163">
        <v>1486</v>
      </c>
      <c r="J163" s="8">
        <f>IFERROR(LN(Table1[[#This Row],[settle]]/F162),0)</f>
        <v>1.5936592262812597E-2</v>
      </c>
    </row>
    <row r="164" spans="1:10" x14ac:dyDescent="0.2">
      <c r="A164" t="s">
        <v>34</v>
      </c>
      <c r="B164" s="7">
        <v>45190</v>
      </c>
      <c r="C164">
        <v>127</v>
      </c>
      <c r="D164">
        <v>128.5</v>
      </c>
      <c r="E164">
        <v>127</v>
      </c>
      <c r="F164">
        <v>128.5</v>
      </c>
      <c r="G164">
        <v>2</v>
      </c>
      <c r="H164">
        <v>26</v>
      </c>
      <c r="I164">
        <v>1498</v>
      </c>
      <c r="J164" s="8">
        <f>IFERROR(LN(Table1[[#This Row],[settle]]/F163),0)</f>
        <v>1.5686596167699473E-2</v>
      </c>
    </row>
    <row r="165" spans="1:10" x14ac:dyDescent="0.2">
      <c r="A165" t="s">
        <v>34</v>
      </c>
      <c r="B165" s="7">
        <v>45191</v>
      </c>
      <c r="C165">
        <v>129</v>
      </c>
      <c r="D165">
        <v>129</v>
      </c>
      <c r="E165">
        <v>129</v>
      </c>
      <c r="F165">
        <v>129</v>
      </c>
      <c r="G165">
        <v>0.5</v>
      </c>
      <c r="H165">
        <v>1</v>
      </c>
      <c r="I165">
        <v>1497</v>
      </c>
      <c r="J165" s="8">
        <f>IFERROR(LN(Table1[[#This Row],[settle]]/F164),0)</f>
        <v>3.8835000263976122E-3</v>
      </c>
    </row>
    <row r="166" spans="1:10" x14ac:dyDescent="0.2">
      <c r="A166" t="s">
        <v>34</v>
      </c>
      <c r="B166" s="7">
        <v>45194</v>
      </c>
      <c r="C166">
        <v>127</v>
      </c>
      <c r="D166">
        <v>127.25</v>
      </c>
      <c r="E166">
        <v>127</v>
      </c>
      <c r="F166">
        <v>127.3</v>
      </c>
      <c r="G166">
        <v>-1.7</v>
      </c>
      <c r="H166">
        <v>9</v>
      </c>
      <c r="I166">
        <v>1499</v>
      </c>
      <c r="J166" s="8">
        <f>IFERROR(LN(Table1[[#This Row],[settle]]/F165),0)</f>
        <v>-1.3265898798311257E-2</v>
      </c>
    </row>
    <row r="167" spans="1:10" x14ac:dyDescent="0.2">
      <c r="A167" t="s">
        <v>34</v>
      </c>
      <c r="B167" s="7">
        <v>45195</v>
      </c>
      <c r="C167">
        <v>126</v>
      </c>
      <c r="D167">
        <v>126.75</v>
      </c>
      <c r="E167">
        <v>126</v>
      </c>
      <c r="F167">
        <v>126.7</v>
      </c>
      <c r="G167">
        <v>-0.6</v>
      </c>
      <c r="H167">
        <v>2</v>
      </c>
      <c r="I167">
        <v>1499</v>
      </c>
      <c r="J167" s="8">
        <f>IFERROR(LN(Table1[[#This Row],[settle]]/F166),0)</f>
        <v>-4.7244182362673991E-3</v>
      </c>
    </row>
    <row r="168" spans="1:10" x14ac:dyDescent="0.2">
      <c r="A168" t="s">
        <v>34</v>
      </c>
      <c r="B168" s="7">
        <v>45196</v>
      </c>
      <c r="C168">
        <v>125</v>
      </c>
      <c r="D168">
        <v>125</v>
      </c>
      <c r="E168">
        <v>125</v>
      </c>
      <c r="F168">
        <v>125</v>
      </c>
      <c r="G168">
        <v>-1.7</v>
      </c>
      <c r="H168">
        <v>8</v>
      </c>
      <c r="I168">
        <v>1500</v>
      </c>
      <c r="J168" s="8">
        <f>IFERROR(LN(Table1[[#This Row],[settle]]/F167),0)</f>
        <v>-1.3508350024792306E-2</v>
      </c>
    </row>
    <row r="169" spans="1:10" x14ac:dyDescent="0.2">
      <c r="A169" t="s">
        <v>34</v>
      </c>
      <c r="B169" s="7">
        <v>45197</v>
      </c>
      <c r="C169">
        <v>124.5</v>
      </c>
      <c r="D169">
        <v>125</v>
      </c>
      <c r="E169">
        <v>124.5</v>
      </c>
      <c r="F169">
        <v>125</v>
      </c>
      <c r="G169">
        <v>0</v>
      </c>
      <c r="H169">
        <v>5</v>
      </c>
      <c r="I169">
        <v>1501</v>
      </c>
      <c r="J169" s="8">
        <f>IFERROR(LN(Table1[[#This Row],[settle]]/F168),0)</f>
        <v>0</v>
      </c>
    </row>
    <row r="170" spans="1:10" x14ac:dyDescent="0.2">
      <c r="A170" t="s">
        <v>34</v>
      </c>
      <c r="B170" s="7">
        <v>45198</v>
      </c>
      <c r="C170">
        <v>127</v>
      </c>
      <c r="D170">
        <v>127</v>
      </c>
      <c r="E170">
        <v>125</v>
      </c>
      <c r="F170">
        <v>125</v>
      </c>
      <c r="G170">
        <v>0</v>
      </c>
      <c r="H170">
        <v>3</v>
      </c>
      <c r="I170">
        <v>1501</v>
      </c>
      <c r="J170" s="8">
        <f>IFERROR(LN(Table1[[#This Row],[settle]]/F169),0)</f>
        <v>0</v>
      </c>
    </row>
    <row r="171" spans="1:10" x14ac:dyDescent="0.2">
      <c r="A171" t="s">
        <v>34</v>
      </c>
      <c r="B171" s="7">
        <v>45201</v>
      </c>
      <c r="C171">
        <v>122</v>
      </c>
      <c r="D171">
        <v>122</v>
      </c>
      <c r="E171">
        <v>122</v>
      </c>
      <c r="F171">
        <v>122</v>
      </c>
      <c r="G171">
        <v>-3</v>
      </c>
      <c r="H171">
        <v>1</v>
      </c>
      <c r="I171">
        <v>1501</v>
      </c>
      <c r="J171" s="8">
        <f>IFERROR(LN(Table1[[#This Row],[settle]]/F170),0)</f>
        <v>-2.4292692569044587E-2</v>
      </c>
    </row>
    <row r="172" spans="1:10" x14ac:dyDescent="0.2">
      <c r="A172" t="s">
        <v>34</v>
      </c>
      <c r="B172" s="7">
        <v>45202</v>
      </c>
      <c r="C172">
        <v>119.5</v>
      </c>
      <c r="D172">
        <v>120</v>
      </c>
      <c r="E172">
        <v>118.5</v>
      </c>
      <c r="F172">
        <v>120</v>
      </c>
      <c r="G172">
        <v>-2</v>
      </c>
      <c r="H172">
        <v>35</v>
      </c>
      <c r="I172">
        <v>1499</v>
      </c>
      <c r="J172" s="8">
        <f>IFERROR(LN(Table1[[#This Row],[settle]]/F171),0)</f>
        <v>-1.6529301951210582E-2</v>
      </c>
    </row>
    <row r="173" spans="1:10" x14ac:dyDescent="0.2">
      <c r="A173" t="s">
        <v>34</v>
      </c>
      <c r="B173" s="7">
        <v>45203</v>
      </c>
      <c r="C173">
        <v>121</v>
      </c>
      <c r="D173">
        <v>121</v>
      </c>
      <c r="E173">
        <v>120.8</v>
      </c>
      <c r="F173">
        <v>120.22</v>
      </c>
      <c r="G173">
        <v>0.22</v>
      </c>
      <c r="H173">
        <v>19</v>
      </c>
      <c r="I173">
        <v>1515</v>
      </c>
      <c r="J173" s="8">
        <f>IFERROR(LN(Table1[[#This Row],[settle]]/F172),0)</f>
        <v>1.8316548289700125E-3</v>
      </c>
    </row>
    <row r="174" spans="1:10" x14ac:dyDescent="0.2">
      <c r="A174" t="s">
        <v>34</v>
      </c>
      <c r="B174" s="7">
        <v>45204</v>
      </c>
      <c r="C174">
        <v>120</v>
      </c>
      <c r="D174">
        <v>120</v>
      </c>
      <c r="E174">
        <v>120</v>
      </c>
      <c r="F174">
        <v>120.22</v>
      </c>
      <c r="G174">
        <v>0</v>
      </c>
      <c r="H174">
        <v>8</v>
      </c>
      <c r="I174">
        <v>1521</v>
      </c>
      <c r="J174" s="8">
        <f>IFERROR(LN(Table1[[#This Row],[settle]]/F173),0)</f>
        <v>0</v>
      </c>
    </row>
    <row r="175" spans="1:10" x14ac:dyDescent="0.2">
      <c r="A175" t="s">
        <v>34</v>
      </c>
      <c r="B175" s="7">
        <v>45205</v>
      </c>
      <c r="C175">
        <v>119.5</v>
      </c>
      <c r="D175">
        <v>119.5</v>
      </c>
      <c r="E175">
        <v>119.25</v>
      </c>
      <c r="F175">
        <v>119.16</v>
      </c>
      <c r="G175">
        <v>-1.06</v>
      </c>
      <c r="H175">
        <v>28</v>
      </c>
      <c r="I175">
        <v>1523</v>
      </c>
      <c r="J175" s="8">
        <f>IFERROR(LN(Table1[[#This Row],[settle]]/F174),0)</f>
        <v>-8.8562697659344443E-3</v>
      </c>
    </row>
    <row r="176" spans="1:10" x14ac:dyDescent="0.2">
      <c r="A176" t="s">
        <v>34</v>
      </c>
      <c r="B176" s="7">
        <v>45208</v>
      </c>
      <c r="C176">
        <v>118</v>
      </c>
      <c r="D176">
        <v>118</v>
      </c>
      <c r="E176">
        <v>117.75</v>
      </c>
      <c r="F176">
        <v>117.5</v>
      </c>
      <c r="G176">
        <v>-1.66</v>
      </c>
      <c r="H176">
        <v>11</v>
      </c>
      <c r="I176">
        <v>1525</v>
      </c>
      <c r="J176" s="8">
        <f>IFERROR(LN(Table1[[#This Row],[settle]]/F175),0)</f>
        <v>-1.4028794260867833E-2</v>
      </c>
    </row>
    <row r="177" spans="1:10" x14ac:dyDescent="0.2">
      <c r="A177" t="s">
        <v>34</v>
      </c>
      <c r="B177" s="7">
        <v>45209</v>
      </c>
      <c r="C177">
        <v>115.5</v>
      </c>
      <c r="D177">
        <v>116</v>
      </c>
      <c r="E177">
        <v>115.5</v>
      </c>
      <c r="F177">
        <v>115.75</v>
      </c>
      <c r="G177">
        <v>-1.75</v>
      </c>
      <c r="H177">
        <v>22</v>
      </c>
      <c r="I177">
        <v>1535</v>
      </c>
      <c r="J177" s="8">
        <f>IFERROR(LN(Table1[[#This Row],[settle]]/F176),0)</f>
        <v>-1.5005640617870162E-2</v>
      </c>
    </row>
    <row r="178" spans="1:10" x14ac:dyDescent="0.2">
      <c r="A178" t="s">
        <v>34</v>
      </c>
      <c r="B178" s="7">
        <v>45210</v>
      </c>
      <c r="C178">
        <v>117</v>
      </c>
      <c r="D178">
        <v>117</v>
      </c>
      <c r="E178">
        <v>117</v>
      </c>
      <c r="F178">
        <v>116.75</v>
      </c>
      <c r="G178">
        <v>1</v>
      </c>
      <c r="H178">
        <v>14</v>
      </c>
      <c r="I178">
        <v>1537</v>
      </c>
      <c r="J178" s="8">
        <f>IFERROR(LN(Table1[[#This Row],[settle]]/F177),0)</f>
        <v>8.6022035826632884E-3</v>
      </c>
    </row>
    <row r="179" spans="1:10" x14ac:dyDescent="0.2">
      <c r="A179" t="s">
        <v>34</v>
      </c>
      <c r="B179" s="7">
        <v>45211</v>
      </c>
      <c r="C179">
        <v>117.21</v>
      </c>
      <c r="D179">
        <v>119</v>
      </c>
      <c r="E179">
        <v>117.21</v>
      </c>
      <c r="F179">
        <v>119</v>
      </c>
      <c r="G179">
        <v>2.25</v>
      </c>
      <c r="H179">
        <v>11</v>
      </c>
      <c r="I179">
        <v>1540</v>
      </c>
      <c r="J179" s="8">
        <f>IFERROR(LN(Table1[[#This Row],[settle]]/F178),0)</f>
        <v>1.9088596562522618E-2</v>
      </c>
    </row>
    <row r="180" spans="1:10" x14ac:dyDescent="0.2">
      <c r="A180" t="s">
        <v>34</v>
      </c>
      <c r="B180" s="7">
        <v>45212</v>
      </c>
      <c r="C180">
        <v>120.37</v>
      </c>
      <c r="D180">
        <v>0</v>
      </c>
      <c r="E180">
        <v>0</v>
      </c>
      <c r="F180">
        <v>118.56</v>
      </c>
      <c r="G180">
        <v>-0.44</v>
      </c>
      <c r="H180">
        <v>5</v>
      </c>
      <c r="I180">
        <v>1540</v>
      </c>
      <c r="J180" s="8">
        <f>IFERROR(LN(Table1[[#This Row],[settle]]/F179),0)</f>
        <v>-3.7043315637526595E-3</v>
      </c>
    </row>
    <row r="181" spans="1:10" x14ac:dyDescent="0.2">
      <c r="A181" t="s">
        <v>34</v>
      </c>
      <c r="B181" s="7">
        <v>45215</v>
      </c>
      <c r="C181">
        <v>0</v>
      </c>
      <c r="D181">
        <v>0</v>
      </c>
      <c r="E181">
        <v>0</v>
      </c>
      <c r="F181">
        <v>118</v>
      </c>
      <c r="G181">
        <v>-0.56000000000000005</v>
      </c>
      <c r="H181">
        <v>0</v>
      </c>
      <c r="I181">
        <v>1540</v>
      </c>
      <c r="J181" s="8">
        <f>IFERROR(LN(Table1[[#This Row],[settle]]/F180),0)</f>
        <v>-4.7345370821119861E-3</v>
      </c>
    </row>
    <row r="182" spans="1:10" x14ac:dyDescent="0.2">
      <c r="A182" t="s">
        <v>34</v>
      </c>
      <c r="B182" s="7">
        <v>45216</v>
      </c>
      <c r="C182">
        <v>118</v>
      </c>
      <c r="D182">
        <v>118.5</v>
      </c>
      <c r="E182">
        <v>118</v>
      </c>
      <c r="F182">
        <v>118.5</v>
      </c>
      <c r="G182">
        <v>0.5</v>
      </c>
      <c r="H182">
        <v>9</v>
      </c>
      <c r="I182">
        <v>1547</v>
      </c>
      <c r="J182" s="8">
        <f>IFERROR(LN(Table1[[#This Row],[settle]]/F181),0)</f>
        <v>4.2283361095211049E-3</v>
      </c>
    </row>
    <row r="183" spans="1:10" x14ac:dyDescent="0.2">
      <c r="A183" t="s">
        <v>34</v>
      </c>
      <c r="B183" s="7">
        <v>45217</v>
      </c>
      <c r="C183">
        <v>119.45</v>
      </c>
      <c r="D183">
        <v>0</v>
      </c>
      <c r="E183">
        <v>0</v>
      </c>
      <c r="F183">
        <v>119.45</v>
      </c>
      <c r="G183">
        <v>0.95</v>
      </c>
      <c r="H183">
        <v>2</v>
      </c>
      <c r="I183">
        <v>1549</v>
      </c>
      <c r="J183" s="8">
        <f>IFERROR(LN(Table1[[#This Row],[settle]]/F182),0)</f>
        <v>7.9849131966326335E-3</v>
      </c>
    </row>
    <row r="184" spans="1:10" x14ac:dyDescent="0.2">
      <c r="A184" t="s">
        <v>34</v>
      </c>
      <c r="B184" s="7">
        <v>45218</v>
      </c>
      <c r="C184">
        <v>120.95</v>
      </c>
      <c r="D184">
        <v>120.95</v>
      </c>
      <c r="E184">
        <v>120</v>
      </c>
      <c r="F184">
        <v>119.83</v>
      </c>
      <c r="G184">
        <v>0.38</v>
      </c>
      <c r="H184">
        <v>52</v>
      </c>
      <c r="I184">
        <v>1572</v>
      </c>
      <c r="J184" s="8">
        <f>IFERROR(LN(Table1[[#This Row],[settle]]/F183),0)</f>
        <v>3.176197922606711E-3</v>
      </c>
    </row>
    <row r="185" spans="1:10" x14ac:dyDescent="0.2">
      <c r="A185" t="s">
        <v>34</v>
      </c>
      <c r="B185" s="7">
        <v>45219</v>
      </c>
      <c r="C185">
        <v>121</v>
      </c>
      <c r="D185">
        <v>121</v>
      </c>
      <c r="E185">
        <v>121</v>
      </c>
      <c r="F185">
        <v>121</v>
      </c>
      <c r="G185">
        <v>1.17</v>
      </c>
      <c r="H185">
        <v>10</v>
      </c>
      <c r="I185">
        <v>1577</v>
      </c>
      <c r="J185" s="8">
        <f>IFERROR(LN(Table1[[#This Row],[settle]]/F184),0)</f>
        <v>9.7164739023157618E-3</v>
      </c>
    </row>
    <row r="186" spans="1:10" x14ac:dyDescent="0.2">
      <c r="A186" t="s">
        <v>34</v>
      </c>
      <c r="B186" s="7">
        <v>45222</v>
      </c>
      <c r="C186">
        <v>119</v>
      </c>
      <c r="D186">
        <v>119.75</v>
      </c>
      <c r="E186">
        <v>118.5</v>
      </c>
      <c r="F186">
        <v>118.75</v>
      </c>
      <c r="G186">
        <v>-2.25</v>
      </c>
      <c r="H186">
        <v>45</v>
      </c>
      <c r="I186">
        <v>1562</v>
      </c>
      <c r="J186" s="8">
        <f>IFERROR(LN(Table1[[#This Row],[settle]]/F185),0)</f>
        <v>-1.8770102681990492E-2</v>
      </c>
    </row>
    <row r="187" spans="1:10" x14ac:dyDescent="0.2">
      <c r="A187" t="s">
        <v>34</v>
      </c>
      <c r="B187" s="7">
        <v>45223</v>
      </c>
      <c r="C187">
        <v>117.5</v>
      </c>
      <c r="D187">
        <v>117.75</v>
      </c>
      <c r="E187">
        <v>117</v>
      </c>
      <c r="F187">
        <v>117.75</v>
      </c>
      <c r="G187">
        <v>-1</v>
      </c>
      <c r="H187">
        <v>106</v>
      </c>
      <c r="I187">
        <v>1550</v>
      </c>
      <c r="J187" s="8">
        <f>IFERROR(LN(Table1[[#This Row],[settle]]/F186),0)</f>
        <v>-8.4567100182235087E-3</v>
      </c>
    </row>
    <row r="188" spans="1:10" x14ac:dyDescent="0.2">
      <c r="A188" t="s">
        <v>34</v>
      </c>
      <c r="B188" s="7">
        <v>45224</v>
      </c>
      <c r="C188">
        <v>117.25</v>
      </c>
      <c r="D188">
        <v>118.25</v>
      </c>
      <c r="E188">
        <v>117</v>
      </c>
      <c r="F188">
        <v>117.5</v>
      </c>
      <c r="G188">
        <v>-0.25</v>
      </c>
      <c r="H188">
        <v>30</v>
      </c>
      <c r="I188">
        <v>1562</v>
      </c>
      <c r="J188" s="8">
        <f>IFERROR(LN(Table1[[#This Row],[settle]]/F187),0)</f>
        <v>-2.1253993123134776E-3</v>
      </c>
    </row>
    <row r="189" spans="1:10" x14ac:dyDescent="0.2">
      <c r="A189" t="s">
        <v>34</v>
      </c>
      <c r="B189" s="7">
        <v>45225</v>
      </c>
      <c r="C189">
        <v>116.5</v>
      </c>
      <c r="D189">
        <v>116.5</v>
      </c>
      <c r="E189">
        <v>116.5</v>
      </c>
      <c r="F189">
        <v>117</v>
      </c>
      <c r="G189">
        <v>-0.5</v>
      </c>
      <c r="H189">
        <v>14</v>
      </c>
      <c r="I189">
        <v>1558</v>
      </c>
      <c r="J189" s="8">
        <f>IFERROR(LN(Table1[[#This Row],[settle]]/F188),0)</f>
        <v>-4.2643987864575397E-3</v>
      </c>
    </row>
    <row r="190" spans="1:10" x14ac:dyDescent="0.2">
      <c r="A190" t="s">
        <v>34</v>
      </c>
      <c r="B190" s="7">
        <v>45226</v>
      </c>
      <c r="C190">
        <v>117</v>
      </c>
      <c r="D190">
        <v>117</v>
      </c>
      <c r="E190">
        <v>116.5</v>
      </c>
      <c r="F190">
        <v>116.5</v>
      </c>
      <c r="G190">
        <v>-0.5</v>
      </c>
      <c r="H190">
        <v>16</v>
      </c>
      <c r="I190">
        <v>1562</v>
      </c>
      <c r="J190" s="8">
        <f>IFERROR(LN(Table1[[#This Row],[settle]]/F189),0)</f>
        <v>-4.2826617920008478E-3</v>
      </c>
    </row>
    <row r="191" spans="1:10" x14ac:dyDescent="0.2">
      <c r="A191" t="s">
        <v>34</v>
      </c>
      <c r="B191" s="7">
        <v>45229</v>
      </c>
      <c r="C191">
        <v>115</v>
      </c>
      <c r="D191">
        <v>115</v>
      </c>
      <c r="E191">
        <v>113.75</v>
      </c>
      <c r="F191">
        <v>114</v>
      </c>
      <c r="G191">
        <v>-2.5</v>
      </c>
      <c r="H191">
        <v>7</v>
      </c>
      <c r="I191">
        <v>1565</v>
      </c>
      <c r="J191" s="8">
        <f>IFERROR(LN(Table1[[#This Row],[settle]]/F190),0)</f>
        <v>-2.1692824611259785E-2</v>
      </c>
    </row>
    <row r="192" spans="1:10" x14ac:dyDescent="0.2">
      <c r="A192" t="s">
        <v>34</v>
      </c>
      <c r="B192" s="7">
        <v>45230</v>
      </c>
      <c r="C192">
        <v>112</v>
      </c>
      <c r="D192">
        <v>113</v>
      </c>
      <c r="E192">
        <v>112</v>
      </c>
      <c r="F192">
        <v>113</v>
      </c>
      <c r="G192">
        <v>-1</v>
      </c>
      <c r="H192">
        <v>23</v>
      </c>
      <c r="I192">
        <v>1553</v>
      </c>
      <c r="J192" s="8">
        <f>IFERROR(LN(Table1[[#This Row],[settle]]/F191),0)</f>
        <v>-8.8106296821549197E-3</v>
      </c>
    </row>
    <row r="193" spans="1:10" x14ac:dyDescent="0.2">
      <c r="A193" t="s">
        <v>34</v>
      </c>
      <c r="B193" s="7">
        <v>45231</v>
      </c>
      <c r="C193">
        <v>112.91</v>
      </c>
      <c r="D193">
        <v>0</v>
      </c>
      <c r="E193">
        <v>0</v>
      </c>
      <c r="F193">
        <v>114.96</v>
      </c>
      <c r="G193">
        <v>1.96</v>
      </c>
      <c r="H193">
        <v>46</v>
      </c>
      <c r="I193">
        <v>1537</v>
      </c>
      <c r="J193" s="8">
        <f>IFERROR(LN(Table1[[#This Row],[settle]]/F192),0)</f>
        <v>1.7196423058428778E-2</v>
      </c>
    </row>
    <row r="194" spans="1:10" x14ac:dyDescent="0.2">
      <c r="A194" t="s">
        <v>34</v>
      </c>
      <c r="B194" s="7">
        <v>45232</v>
      </c>
      <c r="C194">
        <v>115.26</v>
      </c>
      <c r="D194">
        <v>0</v>
      </c>
      <c r="E194">
        <v>0</v>
      </c>
      <c r="F194">
        <v>114.66</v>
      </c>
      <c r="G194">
        <v>-0.3</v>
      </c>
      <c r="H194">
        <v>24</v>
      </c>
      <c r="I194">
        <v>1539</v>
      </c>
      <c r="J194" s="8">
        <f>IFERROR(LN(Table1[[#This Row],[settle]]/F193),0)</f>
        <v>-2.6130142905327952E-3</v>
      </c>
    </row>
    <row r="195" spans="1:10" x14ac:dyDescent="0.2">
      <c r="A195" t="s">
        <v>34</v>
      </c>
      <c r="B195" s="7">
        <v>45233</v>
      </c>
      <c r="C195">
        <v>114.25</v>
      </c>
      <c r="D195">
        <v>114.25</v>
      </c>
      <c r="E195">
        <v>114.25</v>
      </c>
      <c r="F195">
        <v>115.31</v>
      </c>
      <c r="G195">
        <v>0.65</v>
      </c>
      <c r="H195">
        <v>27</v>
      </c>
      <c r="I195">
        <v>1542</v>
      </c>
      <c r="J195" s="8">
        <f>IFERROR(LN(Table1[[#This Row],[settle]]/F194),0)</f>
        <v>5.6529263027882311E-3</v>
      </c>
    </row>
    <row r="196" spans="1:10" x14ac:dyDescent="0.2">
      <c r="A196" t="s">
        <v>34</v>
      </c>
      <c r="B196" s="7">
        <v>45236</v>
      </c>
      <c r="C196">
        <v>116.12</v>
      </c>
      <c r="D196">
        <v>0</v>
      </c>
      <c r="E196">
        <v>0</v>
      </c>
      <c r="F196">
        <v>116.12</v>
      </c>
      <c r="G196">
        <v>0.81</v>
      </c>
      <c r="H196">
        <v>10</v>
      </c>
      <c r="I196">
        <v>1549</v>
      </c>
      <c r="J196" s="8">
        <f>IFERROR(LN(Table1[[#This Row],[settle]]/F195),0)</f>
        <v>6.9999853734042019E-3</v>
      </c>
    </row>
    <row r="197" spans="1:10" x14ac:dyDescent="0.2">
      <c r="A197" t="s">
        <v>34</v>
      </c>
      <c r="B197" s="7">
        <v>45237</v>
      </c>
      <c r="C197">
        <v>116.12</v>
      </c>
      <c r="D197">
        <v>0</v>
      </c>
      <c r="E197">
        <v>0</v>
      </c>
      <c r="F197">
        <v>118.2</v>
      </c>
      <c r="G197">
        <v>2.08</v>
      </c>
      <c r="H197">
        <v>12</v>
      </c>
      <c r="I197">
        <v>1561</v>
      </c>
      <c r="J197" s="8">
        <f>IFERROR(LN(Table1[[#This Row],[settle]]/F196),0)</f>
        <v>1.7753965815568751E-2</v>
      </c>
    </row>
    <row r="198" spans="1:10" x14ac:dyDescent="0.2">
      <c r="A198" t="s">
        <v>34</v>
      </c>
      <c r="B198" s="7">
        <v>45238</v>
      </c>
      <c r="C198">
        <v>119</v>
      </c>
      <c r="D198">
        <v>119</v>
      </c>
      <c r="E198">
        <v>118.5</v>
      </c>
      <c r="F198">
        <v>118.5</v>
      </c>
      <c r="G198">
        <v>0.3</v>
      </c>
      <c r="H198">
        <v>10</v>
      </c>
      <c r="I198">
        <v>1563</v>
      </c>
      <c r="J198" s="8">
        <f>IFERROR(LN(Table1[[#This Row],[settle]]/F197),0)</f>
        <v>2.5348556031881157E-3</v>
      </c>
    </row>
    <row r="199" spans="1:10" x14ac:dyDescent="0.2">
      <c r="A199" t="s">
        <v>34</v>
      </c>
      <c r="B199" s="7">
        <v>45239</v>
      </c>
      <c r="C199">
        <v>118</v>
      </c>
      <c r="D199">
        <v>118</v>
      </c>
      <c r="E199">
        <v>118</v>
      </c>
      <c r="F199">
        <v>118</v>
      </c>
      <c r="G199">
        <v>-0.5</v>
      </c>
      <c r="H199">
        <v>7</v>
      </c>
      <c r="I199">
        <v>1566</v>
      </c>
      <c r="J199" s="8">
        <f>IFERROR(LN(Table1[[#This Row],[settle]]/F198),0)</f>
        <v>-4.2283361095210642E-3</v>
      </c>
    </row>
    <row r="200" spans="1:10" x14ac:dyDescent="0.2">
      <c r="A200" t="s">
        <v>34</v>
      </c>
      <c r="B200" s="7">
        <v>45240</v>
      </c>
      <c r="C200">
        <v>117</v>
      </c>
      <c r="D200">
        <v>117</v>
      </c>
      <c r="E200">
        <v>117</v>
      </c>
      <c r="F200">
        <v>117</v>
      </c>
      <c r="G200">
        <v>-1</v>
      </c>
      <c r="H200">
        <v>20</v>
      </c>
      <c r="I200">
        <v>1566</v>
      </c>
      <c r="J200" s="8">
        <f>IFERROR(LN(Table1[[#This Row],[settle]]/F199),0)</f>
        <v>-8.5106896679086191E-3</v>
      </c>
    </row>
    <row r="201" spans="1:10" x14ac:dyDescent="0.2">
      <c r="A201" t="s">
        <v>34</v>
      </c>
      <c r="B201" s="7">
        <v>45243</v>
      </c>
      <c r="C201">
        <v>116</v>
      </c>
      <c r="D201">
        <v>117.6</v>
      </c>
      <c r="E201">
        <v>116</v>
      </c>
      <c r="F201">
        <v>116.27</v>
      </c>
      <c r="G201">
        <v>-0.73</v>
      </c>
      <c r="H201">
        <v>41</v>
      </c>
      <c r="I201">
        <v>1580</v>
      </c>
      <c r="J201" s="8">
        <f>IFERROR(LN(Table1[[#This Row],[settle]]/F200),0)</f>
        <v>-6.2588621172393532E-3</v>
      </c>
    </row>
    <row r="202" spans="1:10" x14ac:dyDescent="0.2">
      <c r="A202" t="s">
        <v>34</v>
      </c>
      <c r="B202" s="7">
        <v>45244</v>
      </c>
      <c r="C202">
        <v>115.8</v>
      </c>
      <c r="D202">
        <v>0</v>
      </c>
      <c r="E202">
        <v>0</v>
      </c>
      <c r="F202">
        <v>115.74</v>
      </c>
      <c r="G202">
        <v>-0.53</v>
      </c>
      <c r="H202">
        <v>2</v>
      </c>
      <c r="I202">
        <v>1582</v>
      </c>
      <c r="J202" s="8">
        <f>IFERROR(LN(Table1[[#This Row],[settle]]/F201),0)</f>
        <v>-4.5687765348240697E-3</v>
      </c>
    </row>
    <row r="203" spans="1:10" x14ac:dyDescent="0.2">
      <c r="A203" t="s">
        <v>34</v>
      </c>
      <c r="B203" s="7">
        <v>45245</v>
      </c>
      <c r="C203">
        <v>115</v>
      </c>
      <c r="D203">
        <v>115</v>
      </c>
      <c r="E203">
        <v>114.5</v>
      </c>
      <c r="F203">
        <v>113.54</v>
      </c>
      <c r="G203">
        <v>-2.2000000000000002</v>
      </c>
      <c r="H203">
        <v>10</v>
      </c>
      <c r="I203">
        <v>1589</v>
      </c>
      <c r="J203" s="8">
        <f>IFERROR(LN(Table1[[#This Row],[settle]]/F202),0)</f>
        <v>-1.9191098403112485E-2</v>
      </c>
    </row>
    <row r="204" spans="1:10" x14ac:dyDescent="0.2">
      <c r="A204" t="s">
        <v>34</v>
      </c>
      <c r="B204" s="7">
        <v>45246</v>
      </c>
      <c r="C204">
        <v>111.64</v>
      </c>
      <c r="D204">
        <v>0</v>
      </c>
      <c r="E204">
        <v>0</v>
      </c>
      <c r="F204">
        <v>112.5</v>
      </c>
      <c r="G204">
        <v>-1.04</v>
      </c>
      <c r="H204">
        <v>52</v>
      </c>
      <c r="I204">
        <v>1589</v>
      </c>
      <c r="J204" s="8">
        <f>IFERROR(LN(Table1[[#This Row],[settle]]/F203),0)</f>
        <v>-9.2019760981054532E-3</v>
      </c>
    </row>
    <row r="205" spans="1:10" x14ac:dyDescent="0.2">
      <c r="A205" t="s">
        <v>34</v>
      </c>
      <c r="B205" s="7">
        <v>45247</v>
      </c>
      <c r="C205">
        <v>112.5</v>
      </c>
      <c r="D205">
        <v>0</v>
      </c>
      <c r="E205">
        <v>0</v>
      </c>
      <c r="F205">
        <v>114.22</v>
      </c>
      <c r="G205">
        <v>1.72</v>
      </c>
      <c r="H205">
        <v>6</v>
      </c>
      <c r="I205">
        <v>1589</v>
      </c>
      <c r="J205" s="8">
        <f>IFERROR(LN(Table1[[#This Row],[settle]]/F204),0)</f>
        <v>1.5173191592242055E-2</v>
      </c>
    </row>
    <row r="206" spans="1:10" x14ac:dyDescent="0.2">
      <c r="A206" t="s">
        <v>34</v>
      </c>
      <c r="B206" s="7">
        <v>45250</v>
      </c>
      <c r="C206">
        <v>115</v>
      </c>
      <c r="D206">
        <v>115</v>
      </c>
      <c r="E206">
        <v>113</v>
      </c>
      <c r="F206">
        <v>113.35</v>
      </c>
      <c r="G206">
        <v>-0.87</v>
      </c>
      <c r="H206">
        <v>17</v>
      </c>
      <c r="I206">
        <v>1592</v>
      </c>
      <c r="J206" s="8">
        <f>IFERROR(LN(Table1[[#This Row],[settle]]/F205),0)</f>
        <v>-7.6460362831789206E-3</v>
      </c>
    </row>
    <row r="207" spans="1:10" x14ac:dyDescent="0.2">
      <c r="A207" t="s">
        <v>34</v>
      </c>
      <c r="B207" s="7">
        <v>45251</v>
      </c>
      <c r="C207">
        <v>112</v>
      </c>
      <c r="D207">
        <v>112</v>
      </c>
      <c r="E207">
        <v>111.5</v>
      </c>
      <c r="F207">
        <v>110.5</v>
      </c>
      <c r="G207">
        <v>-2.85</v>
      </c>
      <c r="H207">
        <v>88</v>
      </c>
      <c r="I207">
        <v>1577</v>
      </c>
      <c r="J207" s="8">
        <f>IFERROR(LN(Table1[[#This Row],[settle]]/F206),0)</f>
        <v>-2.5464855995730482E-2</v>
      </c>
    </row>
    <row r="208" spans="1:10" x14ac:dyDescent="0.2">
      <c r="A208" t="s">
        <v>34</v>
      </c>
      <c r="B208" s="7">
        <v>45252</v>
      </c>
      <c r="C208">
        <v>109</v>
      </c>
      <c r="D208">
        <v>109.25</v>
      </c>
      <c r="E208">
        <v>108</v>
      </c>
      <c r="F208">
        <v>109.25</v>
      </c>
      <c r="G208">
        <v>-1.25</v>
      </c>
      <c r="H208">
        <v>36</v>
      </c>
      <c r="I208">
        <v>1574</v>
      </c>
      <c r="J208" s="8">
        <f>IFERROR(LN(Table1[[#This Row],[settle]]/F207),0)</f>
        <v>-1.1376686982107934E-2</v>
      </c>
    </row>
    <row r="209" spans="1:10" x14ac:dyDescent="0.2">
      <c r="A209" t="s">
        <v>34</v>
      </c>
      <c r="B209" s="7">
        <v>45253</v>
      </c>
      <c r="C209">
        <v>108</v>
      </c>
      <c r="D209">
        <v>111</v>
      </c>
      <c r="E209">
        <v>108</v>
      </c>
      <c r="F209">
        <v>111</v>
      </c>
      <c r="G209">
        <v>1.75</v>
      </c>
      <c r="H209">
        <v>9</v>
      </c>
      <c r="I209">
        <v>1576</v>
      </c>
      <c r="J209" s="8">
        <f>IFERROR(LN(Table1[[#This Row],[settle]]/F208),0)</f>
        <v>1.5891367336634661E-2</v>
      </c>
    </row>
    <row r="210" spans="1:10" x14ac:dyDescent="0.2">
      <c r="A210" t="s">
        <v>34</v>
      </c>
      <c r="B210" s="7">
        <v>45254</v>
      </c>
      <c r="C210">
        <v>112.75</v>
      </c>
      <c r="D210">
        <v>113.5</v>
      </c>
      <c r="E210">
        <v>112.75</v>
      </c>
      <c r="F210">
        <v>113.5</v>
      </c>
      <c r="G210">
        <v>2.5</v>
      </c>
      <c r="H210">
        <v>10</v>
      </c>
      <c r="I210">
        <v>1571</v>
      </c>
      <c r="J210" s="8">
        <f>IFERROR(LN(Table1[[#This Row],[settle]]/F209),0)</f>
        <v>2.2272635609123223E-2</v>
      </c>
    </row>
    <row r="211" spans="1:10" x14ac:dyDescent="0.2">
      <c r="A211" t="s">
        <v>34</v>
      </c>
      <c r="B211" s="7">
        <v>45257</v>
      </c>
      <c r="C211">
        <v>113.5</v>
      </c>
      <c r="D211">
        <v>113.5</v>
      </c>
      <c r="E211">
        <v>112.5</v>
      </c>
      <c r="F211">
        <v>112.5</v>
      </c>
      <c r="G211">
        <v>-1</v>
      </c>
      <c r="H211">
        <v>16</v>
      </c>
      <c r="I211">
        <v>1578</v>
      </c>
      <c r="J211" s="8">
        <f>IFERROR(LN(Table1[[#This Row],[settle]]/F210),0)</f>
        <v>-8.8496152769824993E-3</v>
      </c>
    </row>
    <row r="212" spans="1:10" x14ac:dyDescent="0.2">
      <c r="A212" t="s">
        <v>34</v>
      </c>
      <c r="B212" s="7">
        <v>45258</v>
      </c>
      <c r="C212">
        <v>111</v>
      </c>
      <c r="D212">
        <v>111.5</v>
      </c>
      <c r="E212">
        <v>109.75</v>
      </c>
      <c r="F212">
        <v>111.5</v>
      </c>
      <c r="G212">
        <v>-1</v>
      </c>
      <c r="H212">
        <v>9</v>
      </c>
      <c r="I212">
        <v>1586</v>
      </c>
      <c r="J212" s="8">
        <f>IFERROR(LN(Table1[[#This Row],[settle]]/F211),0)</f>
        <v>-8.9286307443013184E-3</v>
      </c>
    </row>
    <row r="213" spans="1:10" x14ac:dyDescent="0.2">
      <c r="A213" t="s">
        <v>34</v>
      </c>
      <c r="B213" s="7">
        <v>45259</v>
      </c>
      <c r="C213">
        <v>110.5</v>
      </c>
      <c r="D213">
        <v>111</v>
      </c>
      <c r="E213">
        <v>110.5</v>
      </c>
      <c r="F213">
        <v>111</v>
      </c>
      <c r="G213">
        <v>-0.5</v>
      </c>
      <c r="H213">
        <v>44</v>
      </c>
      <c r="I213">
        <v>1620</v>
      </c>
      <c r="J213" s="8">
        <f>IFERROR(LN(Table1[[#This Row],[settle]]/F212),0)</f>
        <v>-4.4943895878393264E-3</v>
      </c>
    </row>
    <row r="214" spans="1:10" x14ac:dyDescent="0.2">
      <c r="A214" t="s">
        <v>34</v>
      </c>
      <c r="B214" s="7">
        <v>45260</v>
      </c>
      <c r="C214">
        <v>111</v>
      </c>
      <c r="D214">
        <v>111</v>
      </c>
      <c r="E214">
        <v>110</v>
      </c>
      <c r="F214">
        <v>110.25</v>
      </c>
      <c r="G214">
        <v>-0.75</v>
      </c>
      <c r="H214">
        <v>24</v>
      </c>
      <c r="I214">
        <v>1636</v>
      </c>
      <c r="J214" s="8">
        <f>IFERROR(LN(Table1[[#This Row],[settle]]/F213),0)</f>
        <v>-6.7796869853788038E-3</v>
      </c>
    </row>
    <row r="215" spans="1:10" x14ac:dyDescent="0.2">
      <c r="A215" t="s">
        <v>34</v>
      </c>
      <c r="B215" s="7">
        <v>45261</v>
      </c>
      <c r="C215">
        <v>108.25</v>
      </c>
      <c r="D215">
        <v>108.5</v>
      </c>
      <c r="E215">
        <v>107.75</v>
      </c>
      <c r="F215">
        <v>107.99</v>
      </c>
      <c r="G215">
        <v>-2.2599999999999998</v>
      </c>
      <c r="H215">
        <v>44</v>
      </c>
      <c r="I215">
        <v>1643</v>
      </c>
      <c r="J215" s="8">
        <f>IFERROR(LN(Table1[[#This Row],[settle]]/F214),0)</f>
        <v>-2.071188408228708E-2</v>
      </c>
    </row>
    <row r="216" spans="1:10" x14ac:dyDescent="0.2">
      <c r="A216" t="s">
        <v>34</v>
      </c>
      <c r="B216" s="7">
        <v>45264</v>
      </c>
      <c r="C216">
        <v>109.13</v>
      </c>
      <c r="D216">
        <v>0</v>
      </c>
      <c r="E216">
        <v>0</v>
      </c>
      <c r="F216">
        <v>108</v>
      </c>
      <c r="G216">
        <v>0.01</v>
      </c>
      <c r="H216">
        <v>6</v>
      </c>
      <c r="I216">
        <v>1646</v>
      </c>
      <c r="J216" s="8">
        <f>IFERROR(LN(Table1[[#This Row],[settle]]/F215),0)</f>
        <v>9.259687955140799E-5</v>
      </c>
    </row>
    <row r="217" spans="1:10" x14ac:dyDescent="0.2">
      <c r="A217" t="s">
        <v>34</v>
      </c>
      <c r="B217" s="7">
        <v>45265</v>
      </c>
      <c r="C217">
        <v>110</v>
      </c>
      <c r="D217">
        <v>111.5</v>
      </c>
      <c r="E217">
        <v>110</v>
      </c>
      <c r="F217">
        <v>111.5</v>
      </c>
      <c r="G217">
        <v>3.5</v>
      </c>
      <c r="H217">
        <v>5</v>
      </c>
      <c r="I217">
        <v>1649</v>
      </c>
      <c r="J217" s="8">
        <f>IFERROR(LN(Table1[[#This Row],[settle]]/F216),0)</f>
        <v>3.1893363775953788E-2</v>
      </c>
    </row>
    <row r="218" spans="1:10" x14ac:dyDescent="0.2">
      <c r="A218" t="s">
        <v>34</v>
      </c>
      <c r="B218" s="7">
        <v>45266</v>
      </c>
      <c r="C218">
        <v>111.5</v>
      </c>
      <c r="D218">
        <v>0</v>
      </c>
      <c r="E218">
        <v>0</v>
      </c>
      <c r="F218">
        <v>113</v>
      </c>
      <c r="G218">
        <v>1.5</v>
      </c>
      <c r="H218">
        <v>5</v>
      </c>
      <c r="I218">
        <v>1649</v>
      </c>
      <c r="J218" s="8">
        <f>IFERROR(LN(Table1[[#This Row],[settle]]/F217),0)</f>
        <v>1.3363227812167158E-2</v>
      </c>
    </row>
    <row r="219" spans="1:10" x14ac:dyDescent="0.2">
      <c r="A219" t="s">
        <v>34</v>
      </c>
      <c r="B219" s="7">
        <v>45267</v>
      </c>
      <c r="C219">
        <v>113</v>
      </c>
      <c r="D219">
        <v>0</v>
      </c>
      <c r="E219">
        <v>0</v>
      </c>
      <c r="F219">
        <v>112.52</v>
      </c>
      <c r="G219">
        <v>-0.48</v>
      </c>
      <c r="H219">
        <v>26</v>
      </c>
      <c r="I219">
        <v>1655</v>
      </c>
      <c r="J219" s="8">
        <f>IFERROR(LN(Table1[[#This Row],[settle]]/F218),0)</f>
        <v>-4.2568350906845021E-3</v>
      </c>
    </row>
    <row r="220" spans="1:10" x14ac:dyDescent="0.2">
      <c r="A220" t="s">
        <v>34</v>
      </c>
      <c r="B220" s="7">
        <v>45268</v>
      </c>
      <c r="C220">
        <v>114</v>
      </c>
      <c r="D220">
        <v>115</v>
      </c>
      <c r="E220">
        <v>114</v>
      </c>
      <c r="F220">
        <v>114.75</v>
      </c>
      <c r="G220">
        <v>2.23</v>
      </c>
      <c r="H220">
        <v>14</v>
      </c>
      <c r="I220">
        <v>1665</v>
      </c>
      <c r="J220" s="8">
        <f>IFERROR(LN(Table1[[#This Row],[settle]]/F219),0)</f>
        <v>1.9624865318998569E-2</v>
      </c>
    </row>
    <row r="221" spans="1:10" x14ac:dyDescent="0.2">
      <c r="A221" t="s">
        <v>34</v>
      </c>
      <c r="B221" s="7">
        <v>45271</v>
      </c>
      <c r="C221">
        <v>116</v>
      </c>
      <c r="D221">
        <v>116</v>
      </c>
      <c r="E221">
        <v>116</v>
      </c>
      <c r="F221">
        <v>116</v>
      </c>
      <c r="G221">
        <v>1.25</v>
      </c>
      <c r="H221">
        <v>18</v>
      </c>
      <c r="I221">
        <v>1667</v>
      </c>
      <c r="J221" s="8">
        <f>IFERROR(LN(Table1[[#This Row],[settle]]/F220),0)</f>
        <v>1.0834342165710146E-2</v>
      </c>
    </row>
    <row r="222" spans="1:10" x14ac:dyDescent="0.2">
      <c r="A222" t="s">
        <v>34</v>
      </c>
      <c r="B222" s="7">
        <v>45272</v>
      </c>
      <c r="C222">
        <v>118</v>
      </c>
      <c r="D222">
        <v>118</v>
      </c>
      <c r="E222">
        <v>118</v>
      </c>
      <c r="F222">
        <v>116.81</v>
      </c>
      <c r="G222">
        <v>0.81</v>
      </c>
      <c r="H222">
        <v>90</v>
      </c>
      <c r="I222">
        <v>1615</v>
      </c>
      <c r="J222" s="8">
        <f>IFERROR(LN(Table1[[#This Row],[settle]]/F221),0)</f>
        <v>6.958492061240113E-3</v>
      </c>
    </row>
    <row r="223" spans="1:10" x14ac:dyDescent="0.2">
      <c r="A223" t="s">
        <v>34</v>
      </c>
      <c r="B223" s="7">
        <v>45273</v>
      </c>
      <c r="C223">
        <v>116.22</v>
      </c>
      <c r="D223">
        <v>0</v>
      </c>
      <c r="E223">
        <v>0</v>
      </c>
      <c r="F223">
        <v>116.23</v>
      </c>
      <c r="G223">
        <v>-0.57999999999999996</v>
      </c>
      <c r="H223">
        <v>14</v>
      </c>
      <c r="I223">
        <v>1649</v>
      </c>
      <c r="J223" s="8">
        <f>IFERROR(LN(Table1[[#This Row],[settle]]/F222),0)</f>
        <v>-4.9776965119881127E-3</v>
      </c>
    </row>
    <row r="224" spans="1:10" x14ac:dyDescent="0.2">
      <c r="A224" t="s">
        <v>34</v>
      </c>
      <c r="B224" s="7">
        <v>45274</v>
      </c>
      <c r="C224">
        <v>114.25</v>
      </c>
      <c r="D224">
        <v>114.25</v>
      </c>
      <c r="E224">
        <v>112</v>
      </c>
      <c r="F224">
        <v>112.5</v>
      </c>
      <c r="G224">
        <v>-3.73</v>
      </c>
      <c r="H224">
        <v>38</v>
      </c>
      <c r="I224">
        <v>1670</v>
      </c>
      <c r="J224" s="8">
        <f>IFERROR(LN(Table1[[#This Row],[settle]]/F223),0)</f>
        <v>-3.2617765011141837E-2</v>
      </c>
    </row>
    <row r="225" spans="1:10" x14ac:dyDescent="0.2">
      <c r="A225" t="s">
        <v>34</v>
      </c>
      <c r="B225" s="7">
        <v>45275</v>
      </c>
      <c r="C225">
        <v>110</v>
      </c>
      <c r="D225">
        <v>111</v>
      </c>
      <c r="E225">
        <v>110</v>
      </c>
      <c r="F225">
        <v>111.25</v>
      </c>
      <c r="G225">
        <v>-1.25</v>
      </c>
      <c r="H225">
        <v>3</v>
      </c>
      <c r="I225">
        <v>1664</v>
      </c>
      <c r="J225" s="8">
        <f>IFERROR(LN(Table1[[#This Row],[settle]]/F224),0)</f>
        <v>-1.1173300598125189E-2</v>
      </c>
    </row>
    <row r="226" spans="1:10" x14ac:dyDescent="0.2">
      <c r="A226" t="s">
        <v>34</v>
      </c>
      <c r="B226" s="7">
        <v>45278</v>
      </c>
      <c r="C226">
        <v>109.5</v>
      </c>
      <c r="D226">
        <v>109.5</v>
      </c>
      <c r="E226">
        <v>108.25</v>
      </c>
      <c r="F226">
        <v>108.5</v>
      </c>
      <c r="G226">
        <v>-2.75</v>
      </c>
      <c r="H226">
        <v>14</v>
      </c>
      <c r="I226">
        <v>1674</v>
      </c>
      <c r="J226" s="8">
        <f>IFERROR(LN(Table1[[#This Row],[settle]]/F225),0)</f>
        <v>-2.502974806583539E-2</v>
      </c>
    </row>
    <row r="227" spans="1:10" x14ac:dyDescent="0.2">
      <c r="A227" t="s">
        <v>34</v>
      </c>
      <c r="B227" s="7">
        <v>45279</v>
      </c>
      <c r="C227">
        <v>106</v>
      </c>
      <c r="D227">
        <v>108.5</v>
      </c>
      <c r="E227">
        <v>106</v>
      </c>
      <c r="F227">
        <v>107.5</v>
      </c>
      <c r="G227">
        <v>-1</v>
      </c>
      <c r="H227">
        <v>13</v>
      </c>
      <c r="I227">
        <v>1678</v>
      </c>
      <c r="J227" s="8">
        <f>IFERROR(LN(Table1[[#This Row],[settle]]/F226),0)</f>
        <v>-9.2593254127967123E-3</v>
      </c>
    </row>
    <row r="228" spans="1:10" x14ac:dyDescent="0.2">
      <c r="A228" t="s">
        <v>34</v>
      </c>
      <c r="B228" s="7">
        <v>45280</v>
      </c>
      <c r="C228">
        <v>108.5</v>
      </c>
      <c r="D228">
        <v>110</v>
      </c>
      <c r="E228">
        <v>107</v>
      </c>
      <c r="F228">
        <v>109.5</v>
      </c>
      <c r="G228">
        <v>2</v>
      </c>
      <c r="H228">
        <v>20</v>
      </c>
      <c r="I228">
        <v>1691</v>
      </c>
      <c r="J228" s="8">
        <f>IFERROR(LN(Table1[[#This Row],[settle]]/F227),0)</f>
        <v>1.8433701688837966E-2</v>
      </c>
    </row>
    <row r="229" spans="1:10" x14ac:dyDescent="0.2">
      <c r="A229" t="s">
        <v>34</v>
      </c>
      <c r="B229" s="7">
        <v>45281</v>
      </c>
      <c r="C229">
        <v>109.62</v>
      </c>
      <c r="D229">
        <v>0</v>
      </c>
      <c r="E229">
        <v>0</v>
      </c>
      <c r="F229">
        <v>109.5</v>
      </c>
      <c r="G229">
        <v>0</v>
      </c>
      <c r="H229">
        <v>39</v>
      </c>
      <c r="I229">
        <v>1726</v>
      </c>
      <c r="J229" s="8">
        <f>IFERROR(LN(Table1[[#This Row],[settle]]/F228),0)</f>
        <v>0</v>
      </c>
    </row>
    <row r="230" spans="1:10" x14ac:dyDescent="0.2">
      <c r="A230" t="s">
        <v>34</v>
      </c>
      <c r="B230" s="7">
        <v>45282</v>
      </c>
      <c r="C230">
        <v>109</v>
      </c>
      <c r="D230">
        <v>109</v>
      </c>
      <c r="E230">
        <v>109</v>
      </c>
      <c r="F230">
        <v>109</v>
      </c>
      <c r="G230">
        <v>-0.5</v>
      </c>
      <c r="H230">
        <v>1</v>
      </c>
      <c r="I230">
        <v>1727</v>
      </c>
      <c r="J230" s="8">
        <f>IFERROR(LN(Table1[[#This Row],[settle]]/F229),0)</f>
        <v>-4.5766670274118666E-3</v>
      </c>
    </row>
    <row r="231" spans="1:10" x14ac:dyDescent="0.2">
      <c r="A231" t="s">
        <v>34</v>
      </c>
      <c r="B231" s="7">
        <v>45287</v>
      </c>
      <c r="C231">
        <v>108</v>
      </c>
      <c r="D231">
        <v>108</v>
      </c>
      <c r="E231">
        <v>107</v>
      </c>
      <c r="F231">
        <v>107</v>
      </c>
      <c r="G231">
        <v>-2</v>
      </c>
      <c r="H231">
        <v>8</v>
      </c>
      <c r="I231">
        <v>1733</v>
      </c>
      <c r="J231" s="8">
        <f>IFERROR(LN(Table1[[#This Row],[settle]]/F230),0)</f>
        <v>-1.8519047767237527E-2</v>
      </c>
    </row>
    <row r="232" spans="1:10" x14ac:dyDescent="0.2">
      <c r="A232" t="s">
        <v>34</v>
      </c>
      <c r="B232" s="7">
        <v>45288</v>
      </c>
      <c r="C232">
        <v>106.25</v>
      </c>
      <c r="D232">
        <v>106.25</v>
      </c>
      <c r="E232">
        <v>106</v>
      </c>
      <c r="F232">
        <v>106.35</v>
      </c>
      <c r="G232">
        <v>-0.65</v>
      </c>
      <c r="H232">
        <v>7</v>
      </c>
      <c r="I232">
        <v>1740</v>
      </c>
      <c r="J232" s="8">
        <f>IFERROR(LN(Table1[[#This Row],[settle]]/F231),0)</f>
        <v>-6.0932928156600492E-3</v>
      </c>
    </row>
    <row r="233" spans="1:10" x14ac:dyDescent="0.2">
      <c r="A233" t="s">
        <v>34</v>
      </c>
      <c r="B233" s="7">
        <v>45289</v>
      </c>
      <c r="C233">
        <v>108</v>
      </c>
      <c r="D233">
        <v>108</v>
      </c>
      <c r="E233">
        <v>108</v>
      </c>
      <c r="F233">
        <v>108</v>
      </c>
      <c r="G233">
        <v>1.65</v>
      </c>
      <c r="H233">
        <v>9</v>
      </c>
      <c r="I233">
        <v>1742</v>
      </c>
      <c r="J233" s="8">
        <f>IFERROR(LN(Table1[[#This Row],[settle]]/F232),0)</f>
        <v>1.5395685477973473E-2</v>
      </c>
    </row>
    <row r="234" spans="1:10" x14ac:dyDescent="0.2">
      <c r="A234" t="s">
        <v>34</v>
      </c>
      <c r="B234" s="7">
        <v>45293</v>
      </c>
      <c r="C234">
        <v>105</v>
      </c>
      <c r="D234">
        <v>106.25</v>
      </c>
      <c r="E234">
        <v>105</v>
      </c>
      <c r="F234">
        <v>106.25</v>
      </c>
      <c r="G234">
        <v>-1.75</v>
      </c>
      <c r="H234">
        <v>42</v>
      </c>
      <c r="I234">
        <v>1784</v>
      </c>
      <c r="J234" s="8">
        <f>IFERROR(LN(Table1[[#This Row],[settle]]/F233),0)</f>
        <v>-1.6336419319693499E-2</v>
      </c>
    </row>
    <row r="235" spans="1:10" x14ac:dyDescent="0.2">
      <c r="A235" t="s">
        <v>34</v>
      </c>
      <c r="B235" s="7">
        <v>45294</v>
      </c>
      <c r="C235">
        <v>104.5</v>
      </c>
      <c r="D235">
        <v>104.5</v>
      </c>
      <c r="E235">
        <v>104.5</v>
      </c>
      <c r="F235">
        <v>104.51</v>
      </c>
      <c r="G235">
        <v>-1.74</v>
      </c>
      <c r="H235">
        <v>10</v>
      </c>
      <c r="I235">
        <v>1792</v>
      </c>
      <c r="J235" s="8">
        <f>IFERROR(LN(Table1[[#This Row],[settle]]/F234),0)</f>
        <v>-1.6512047198113809E-2</v>
      </c>
    </row>
    <row r="236" spans="1:10" x14ac:dyDescent="0.2">
      <c r="A236" t="s">
        <v>34</v>
      </c>
      <c r="B236" s="7">
        <v>45295</v>
      </c>
      <c r="C236">
        <v>104.77</v>
      </c>
      <c r="D236">
        <v>0</v>
      </c>
      <c r="E236">
        <v>0</v>
      </c>
      <c r="F236">
        <v>106.75</v>
      </c>
      <c r="G236">
        <v>2.2400000000000002</v>
      </c>
      <c r="H236">
        <v>56</v>
      </c>
      <c r="I236">
        <v>1773</v>
      </c>
      <c r="J236" s="8">
        <f>IFERROR(LN(Table1[[#This Row],[settle]]/F235),0)</f>
        <v>2.1206891502321603E-2</v>
      </c>
    </row>
    <row r="237" spans="1:10" x14ac:dyDescent="0.2">
      <c r="A237" t="s">
        <v>34</v>
      </c>
      <c r="B237" s="7">
        <v>45296</v>
      </c>
      <c r="C237">
        <v>108</v>
      </c>
      <c r="D237">
        <v>108.75</v>
      </c>
      <c r="E237">
        <v>108</v>
      </c>
      <c r="F237">
        <v>108.02</v>
      </c>
      <c r="G237">
        <v>1.27</v>
      </c>
      <c r="H237">
        <v>26</v>
      </c>
      <c r="I237">
        <v>1785</v>
      </c>
      <c r="J237" s="8">
        <f>IFERROR(LN(Table1[[#This Row],[settle]]/F236),0)</f>
        <v>1.1826743056011134E-2</v>
      </c>
    </row>
    <row r="238" spans="1:10" x14ac:dyDescent="0.2">
      <c r="A238" t="s">
        <v>34</v>
      </c>
      <c r="B238" s="7">
        <v>45299</v>
      </c>
      <c r="C238">
        <v>108.02</v>
      </c>
      <c r="D238">
        <v>0</v>
      </c>
      <c r="E238">
        <v>0</v>
      </c>
      <c r="F238">
        <v>108.02</v>
      </c>
      <c r="G238">
        <v>0</v>
      </c>
      <c r="H238">
        <v>29</v>
      </c>
      <c r="I238">
        <v>1799</v>
      </c>
      <c r="J238" s="8">
        <f>IFERROR(LN(Table1[[#This Row],[settle]]/F237),0)</f>
        <v>0</v>
      </c>
    </row>
    <row r="239" spans="1:10" x14ac:dyDescent="0.2">
      <c r="A239" t="s">
        <v>34</v>
      </c>
      <c r="B239" s="7">
        <v>45300</v>
      </c>
      <c r="C239">
        <v>107.4</v>
      </c>
      <c r="D239">
        <v>108.15</v>
      </c>
      <c r="E239">
        <v>107.4</v>
      </c>
      <c r="F239">
        <v>108.15</v>
      </c>
      <c r="G239">
        <v>0.13</v>
      </c>
      <c r="H239">
        <v>10</v>
      </c>
      <c r="I239">
        <v>1806</v>
      </c>
      <c r="J239" s="8">
        <f>IFERROR(LN(Table1[[#This Row],[settle]]/F238),0)</f>
        <v>1.2027572343228043E-3</v>
      </c>
    </row>
    <row r="240" spans="1:10" x14ac:dyDescent="0.2">
      <c r="A240" t="s">
        <v>34</v>
      </c>
      <c r="B240" s="7">
        <v>45301</v>
      </c>
      <c r="C240">
        <v>107.5</v>
      </c>
      <c r="D240">
        <v>108</v>
      </c>
      <c r="E240">
        <v>107.5</v>
      </c>
      <c r="F240">
        <v>107.67</v>
      </c>
      <c r="G240">
        <v>-0.48</v>
      </c>
      <c r="H240">
        <v>39</v>
      </c>
      <c r="I240">
        <v>1819</v>
      </c>
      <c r="J240" s="8">
        <f>IFERROR(LN(Table1[[#This Row],[settle]]/F239),0)</f>
        <v>-4.4481585714422267E-3</v>
      </c>
    </row>
    <row r="241" spans="1:10" x14ac:dyDescent="0.2">
      <c r="A241" t="s">
        <v>34</v>
      </c>
      <c r="B241" s="7">
        <v>45302</v>
      </c>
      <c r="C241">
        <v>108</v>
      </c>
      <c r="D241">
        <v>108</v>
      </c>
      <c r="E241">
        <v>107.67</v>
      </c>
      <c r="F241">
        <v>107.67</v>
      </c>
      <c r="G241">
        <v>0</v>
      </c>
      <c r="H241">
        <v>2</v>
      </c>
      <c r="I241">
        <v>1820</v>
      </c>
      <c r="J241" s="8">
        <f>IFERROR(LN(Table1[[#This Row],[settle]]/F240),0)</f>
        <v>0</v>
      </c>
    </row>
    <row r="242" spans="1:10" x14ac:dyDescent="0.2">
      <c r="A242" t="s">
        <v>34</v>
      </c>
      <c r="B242" s="7">
        <v>45303</v>
      </c>
      <c r="C242">
        <v>107.67</v>
      </c>
      <c r="D242">
        <v>0</v>
      </c>
      <c r="E242">
        <v>0</v>
      </c>
      <c r="F242">
        <v>107.67</v>
      </c>
      <c r="G242">
        <v>0</v>
      </c>
      <c r="H242">
        <v>48</v>
      </c>
      <c r="I242">
        <v>1829</v>
      </c>
      <c r="J242" s="8">
        <f>IFERROR(LN(Table1[[#This Row],[settle]]/F241),0)</f>
        <v>0</v>
      </c>
    </row>
    <row r="243" spans="1:10" x14ac:dyDescent="0.2">
      <c r="A243" t="s">
        <v>34</v>
      </c>
      <c r="B243" s="7">
        <v>45306</v>
      </c>
      <c r="C243">
        <v>108.7</v>
      </c>
      <c r="D243">
        <v>111.5</v>
      </c>
      <c r="E243">
        <v>108.7</v>
      </c>
      <c r="F243">
        <v>110</v>
      </c>
      <c r="G243">
        <v>2.33</v>
      </c>
      <c r="H243">
        <v>68</v>
      </c>
      <c r="I243">
        <v>1867</v>
      </c>
      <c r="J243" s="8">
        <f>IFERROR(LN(Table1[[#This Row],[settle]]/F242),0)</f>
        <v>2.1409371964790515E-2</v>
      </c>
    </row>
    <row r="244" spans="1:10" x14ac:dyDescent="0.2">
      <c r="A244" t="s">
        <v>34</v>
      </c>
      <c r="B244" s="7">
        <v>45307</v>
      </c>
      <c r="C244">
        <v>111.95</v>
      </c>
      <c r="D244">
        <v>112</v>
      </c>
      <c r="E244">
        <v>111.5</v>
      </c>
      <c r="F244">
        <v>111.75</v>
      </c>
      <c r="G244">
        <v>1.75</v>
      </c>
      <c r="H244">
        <v>15</v>
      </c>
      <c r="I244">
        <v>1873</v>
      </c>
      <c r="J244" s="8">
        <f>IFERROR(LN(Table1[[#This Row],[settle]]/F243),0)</f>
        <v>1.5783867701261951E-2</v>
      </c>
    </row>
    <row r="245" spans="1:10" x14ac:dyDescent="0.2">
      <c r="A245" t="s">
        <v>34</v>
      </c>
      <c r="B245" s="7">
        <v>45308</v>
      </c>
      <c r="C245">
        <v>112</v>
      </c>
      <c r="D245">
        <v>112</v>
      </c>
      <c r="E245">
        <v>110</v>
      </c>
      <c r="F245">
        <v>111</v>
      </c>
      <c r="G245">
        <v>-0.75</v>
      </c>
      <c r="H245">
        <v>34</v>
      </c>
      <c r="I245">
        <v>1878</v>
      </c>
      <c r="J245" s="8">
        <f>IFERROR(LN(Table1[[#This Row],[settle]]/F244),0)</f>
        <v>-6.7340321813440683E-3</v>
      </c>
    </row>
    <row r="246" spans="1:10" x14ac:dyDescent="0.2">
      <c r="A246" t="s">
        <v>34</v>
      </c>
      <c r="B246" s="7">
        <v>45309</v>
      </c>
      <c r="C246">
        <v>111.75</v>
      </c>
      <c r="D246">
        <v>111.75</v>
      </c>
      <c r="E246">
        <v>111.25</v>
      </c>
      <c r="F246">
        <v>110.5</v>
      </c>
      <c r="G246">
        <v>-0.5</v>
      </c>
      <c r="H246">
        <v>21</v>
      </c>
      <c r="I246">
        <v>1864</v>
      </c>
      <c r="J246" s="8">
        <f>IFERROR(LN(Table1[[#This Row],[settle]]/F245),0)</f>
        <v>-4.5146803545265827E-3</v>
      </c>
    </row>
    <row r="247" spans="1:10" x14ac:dyDescent="0.2">
      <c r="A247" t="s">
        <v>34</v>
      </c>
      <c r="B247" s="7">
        <v>45310</v>
      </c>
      <c r="C247">
        <v>113</v>
      </c>
      <c r="D247">
        <v>113.5</v>
      </c>
      <c r="E247">
        <v>111.5</v>
      </c>
      <c r="F247">
        <v>111.5</v>
      </c>
      <c r="G247">
        <v>1</v>
      </c>
      <c r="H247">
        <v>18</v>
      </c>
      <c r="I247">
        <v>1871</v>
      </c>
      <c r="J247" s="8">
        <f>IFERROR(LN(Table1[[#This Row],[settle]]/F246),0)</f>
        <v>9.0090699423659108E-3</v>
      </c>
    </row>
    <row r="248" spans="1:10" x14ac:dyDescent="0.2">
      <c r="A248" t="s">
        <v>34</v>
      </c>
      <c r="B248" s="7">
        <v>45313</v>
      </c>
      <c r="C248">
        <v>116</v>
      </c>
      <c r="D248">
        <v>116</v>
      </c>
      <c r="E248">
        <v>115</v>
      </c>
      <c r="F248">
        <v>115</v>
      </c>
      <c r="G248">
        <v>3.5</v>
      </c>
      <c r="H248">
        <v>11</v>
      </c>
      <c r="I248">
        <v>1876</v>
      </c>
      <c r="J248" s="8">
        <f>IFERROR(LN(Table1[[#This Row],[settle]]/F247),0)</f>
        <v>3.0907537463076704E-2</v>
      </c>
    </row>
    <row r="249" spans="1:10" x14ac:dyDescent="0.2">
      <c r="A249" t="s">
        <v>34</v>
      </c>
      <c r="B249" s="7">
        <v>45314</v>
      </c>
      <c r="C249">
        <v>114</v>
      </c>
      <c r="D249">
        <v>114.75</v>
      </c>
      <c r="E249">
        <v>114</v>
      </c>
      <c r="F249">
        <v>114.59</v>
      </c>
      <c r="G249">
        <v>-0.41</v>
      </c>
      <c r="H249">
        <v>23</v>
      </c>
      <c r="I249">
        <v>1885</v>
      </c>
      <c r="J249" s="8">
        <f>IFERROR(LN(Table1[[#This Row],[settle]]/F248),0)</f>
        <v>-3.5715879248932087E-3</v>
      </c>
    </row>
    <row r="250" spans="1:10" x14ac:dyDescent="0.2">
      <c r="A250" t="s">
        <v>34</v>
      </c>
      <c r="B250" s="7">
        <v>45315</v>
      </c>
      <c r="C250">
        <v>116.5</v>
      </c>
      <c r="D250">
        <v>116.5</v>
      </c>
      <c r="E250">
        <v>114.25</v>
      </c>
      <c r="F250">
        <v>116.25</v>
      </c>
      <c r="G250">
        <v>1.66</v>
      </c>
      <c r="H250">
        <v>27</v>
      </c>
      <c r="I250">
        <v>1895</v>
      </c>
      <c r="J250" s="8">
        <f>IFERROR(LN(Table1[[#This Row],[settle]]/F249),0)</f>
        <v>1.4382504029108775E-2</v>
      </c>
    </row>
    <row r="251" spans="1:10" x14ac:dyDescent="0.2">
      <c r="A251" t="s">
        <v>34</v>
      </c>
      <c r="B251" s="7">
        <v>45316</v>
      </c>
      <c r="C251">
        <v>115.25</v>
      </c>
      <c r="D251">
        <v>115.25</v>
      </c>
      <c r="E251">
        <v>114.5</v>
      </c>
      <c r="F251">
        <v>114.5</v>
      </c>
      <c r="G251">
        <v>-1.75</v>
      </c>
      <c r="H251">
        <v>25</v>
      </c>
      <c r="I251">
        <v>1898</v>
      </c>
      <c r="J251" s="8">
        <f>IFERROR(LN(Table1[[#This Row],[settle]]/F250),0)</f>
        <v>-1.5168221473171317E-2</v>
      </c>
    </row>
    <row r="252" spans="1:10" x14ac:dyDescent="0.2">
      <c r="A252" t="s">
        <v>34</v>
      </c>
      <c r="B252" s="7">
        <v>45320</v>
      </c>
      <c r="C252">
        <v>112.5</v>
      </c>
      <c r="D252">
        <v>112.75</v>
      </c>
      <c r="E252">
        <v>112</v>
      </c>
      <c r="F252">
        <v>112</v>
      </c>
      <c r="G252">
        <v>-2.5</v>
      </c>
      <c r="H252">
        <v>25</v>
      </c>
      <c r="I252">
        <v>1898</v>
      </c>
      <c r="J252" s="8">
        <f>IFERROR(LN(Table1[[#This Row],[settle]]/F251),0)</f>
        <v>-2.2075951699199847E-2</v>
      </c>
    </row>
    <row r="253" spans="1:10" x14ac:dyDescent="0.2">
      <c r="A253" t="s">
        <v>34</v>
      </c>
      <c r="B253" s="7">
        <v>45321</v>
      </c>
      <c r="C253">
        <v>111.25</v>
      </c>
      <c r="D253">
        <v>111.25</v>
      </c>
      <c r="E253">
        <v>109.75</v>
      </c>
      <c r="F253">
        <v>110.2</v>
      </c>
      <c r="G253">
        <v>-1.8</v>
      </c>
      <c r="H253">
        <v>29</v>
      </c>
      <c r="I253">
        <v>1894</v>
      </c>
      <c r="J253" s="8">
        <f>IFERROR(LN(Table1[[#This Row],[settle]]/F252),0)</f>
        <v>-1.6201974576280372E-2</v>
      </c>
    </row>
    <row r="254" spans="1:10" x14ac:dyDescent="0.2">
      <c r="A254" t="s">
        <v>34</v>
      </c>
      <c r="B254" s="7">
        <v>45322</v>
      </c>
      <c r="C254">
        <v>109.8</v>
      </c>
      <c r="D254">
        <v>109.8</v>
      </c>
      <c r="E254">
        <v>109.8</v>
      </c>
      <c r="F254">
        <v>109.8</v>
      </c>
      <c r="G254">
        <v>-0.4</v>
      </c>
      <c r="H254">
        <v>6</v>
      </c>
      <c r="I254">
        <v>1892</v>
      </c>
      <c r="J254" s="8">
        <f>IFERROR(LN(Table1[[#This Row],[settle]]/F253),0)</f>
        <v>-3.6363676433838745E-3</v>
      </c>
    </row>
    <row r="255" spans="1:10" x14ac:dyDescent="0.2">
      <c r="A255" t="s">
        <v>34</v>
      </c>
      <c r="B255" s="7">
        <v>45323</v>
      </c>
      <c r="C255">
        <v>109.35</v>
      </c>
      <c r="D255">
        <v>109.35</v>
      </c>
      <c r="E255">
        <v>105</v>
      </c>
      <c r="F255">
        <v>104.86</v>
      </c>
      <c r="G255">
        <v>-4.9400000000000004</v>
      </c>
      <c r="H255">
        <v>52</v>
      </c>
      <c r="I255">
        <v>1879</v>
      </c>
      <c r="J255" s="8">
        <f>IFERROR(LN(Table1[[#This Row],[settle]]/F254),0)</f>
        <v>-4.603440193104355E-2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C002-44D2-4DA0-87C0-83EA4D2A8726}">
  <dimension ref="A1:I28"/>
  <sheetViews>
    <sheetView tabSelected="1" topLeftCell="A7" workbookViewId="0">
      <selection activeCell="F29" sqref="F29"/>
    </sheetView>
  </sheetViews>
  <sheetFormatPr defaultRowHeight="14.25" x14ac:dyDescent="0.2"/>
  <cols>
    <col min="2" max="2" width="10.125" bestFit="1" customWidth="1"/>
    <col min="3" max="3" width="17.5" bestFit="1" customWidth="1"/>
    <col min="7" max="7" width="34.5" customWidth="1"/>
    <col min="8" max="8" width="11.625" customWidth="1"/>
  </cols>
  <sheetData>
    <row r="1" spans="1:9" x14ac:dyDescent="0.2">
      <c r="A1" s="14" t="s">
        <v>43</v>
      </c>
      <c r="B1" s="14" t="s">
        <v>45</v>
      </c>
      <c r="C1" s="22" t="s">
        <v>68</v>
      </c>
      <c r="D1" t="s">
        <v>49</v>
      </c>
      <c r="E1" t="s">
        <v>59</v>
      </c>
    </row>
    <row r="2" spans="1:9" x14ac:dyDescent="0.2">
      <c r="A2" s="11">
        <v>-5.4215747151183442E-2</v>
      </c>
      <c r="B2" s="12">
        <v>1</v>
      </c>
      <c r="C2" s="21">
        <f>B2/$B$25</f>
        <v>3.937007874015748E-3</v>
      </c>
      <c r="D2">
        <f t="shared" ref="D2:D23" si="0">_xlfn.NORM.DIST(A2,Mean,std_dev,FALSE)</f>
        <v>1.2771577801419487E-2</v>
      </c>
      <c r="E2" s="19">
        <f t="shared" ref="E2:E23" si="1">(1+A2)*Current_price</f>
        <v>94.578425284881646</v>
      </c>
      <c r="G2" t="s">
        <v>46</v>
      </c>
      <c r="H2" s="9">
        <f>Mean</f>
        <v>-2.8980545993365569E-4</v>
      </c>
    </row>
    <row r="3" spans="1:9" x14ac:dyDescent="0.2">
      <c r="A3" s="11">
        <v>-4.9608227742466683E-2</v>
      </c>
      <c r="B3" s="12">
        <v>0</v>
      </c>
      <c r="C3" s="21">
        <f t="shared" ref="C3:C24" si="2">B3/$B$25</f>
        <v>0</v>
      </c>
      <c r="D3">
        <f t="shared" si="0"/>
        <v>4.5234947126305755E-2</v>
      </c>
      <c r="E3" s="19">
        <f t="shared" si="1"/>
        <v>95.039177225753335</v>
      </c>
      <c r="G3" t="s">
        <v>48</v>
      </c>
      <c r="H3" s="9">
        <f>std_dev</f>
        <v>1.3714089513613876E-2</v>
      </c>
    </row>
    <row r="4" spans="1:9" x14ac:dyDescent="0.2">
      <c r="A4" s="11">
        <v>-4.5000708333749924E-2</v>
      </c>
      <c r="B4" s="12">
        <v>1</v>
      </c>
      <c r="C4" s="21">
        <f t="shared" si="2"/>
        <v>3.937007874015748E-3</v>
      </c>
      <c r="D4">
        <f t="shared" si="0"/>
        <v>0.14311407071710411</v>
      </c>
      <c r="E4" s="19">
        <f t="shared" si="1"/>
        <v>95.499929166625009</v>
      </c>
      <c r="G4" t="s">
        <v>50</v>
      </c>
      <c r="H4">
        <f>1.645</f>
        <v>1.645</v>
      </c>
    </row>
    <row r="5" spans="1:9" x14ac:dyDescent="0.2">
      <c r="A5" s="11">
        <v>-4.0393188925033165E-2</v>
      </c>
      <c r="B5" s="12">
        <v>0</v>
      </c>
      <c r="C5" s="21">
        <f t="shared" si="2"/>
        <v>0</v>
      </c>
      <c r="D5">
        <f t="shared" si="0"/>
        <v>0.4044541509762507</v>
      </c>
      <c r="E5" s="19">
        <f t="shared" si="1"/>
        <v>95.960681107496683</v>
      </c>
      <c r="G5" t="s">
        <v>61</v>
      </c>
      <c r="H5" s="16">
        <f>H2-H3*H4</f>
        <v>-2.2849482709828482E-2</v>
      </c>
    </row>
    <row r="6" spans="1:9" x14ac:dyDescent="0.2">
      <c r="A6" s="11">
        <v>-3.5785669516316405E-2</v>
      </c>
      <c r="B6" s="12">
        <v>0</v>
      </c>
      <c r="C6" s="21">
        <f t="shared" si="2"/>
        <v>0</v>
      </c>
      <c r="D6">
        <f t="shared" si="0"/>
        <v>1.0210217022923378</v>
      </c>
      <c r="E6" s="19">
        <f t="shared" si="1"/>
        <v>96.421433048368357</v>
      </c>
      <c r="G6" t="s">
        <v>64</v>
      </c>
      <c r="H6" s="16">
        <f>H2+H3*H4</f>
        <v>2.2269871789961173E-2</v>
      </c>
    </row>
    <row r="7" spans="1:9" x14ac:dyDescent="0.2">
      <c r="A7" s="11">
        <v>-3.1178150107599646E-2</v>
      </c>
      <c r="B7" s="12">
        <v>3</v>
      </c>
      <c r="C7" s="21">
        <f t="shared" si="2"/>
        <v>1.1811023622047244E-2</v>
      </c>
      <c r="D7">
        <f t="shared" si="0"/>
        <v>2.3023925103253751</v>
      </c>
      <c r="E7" s="19">
        <f t="shared" si="1"/>
        <v>96.882184989240045</v>
      </c>
      <c r="G7" t="s">
        <v>8</v>
      </c>
      <c r="H7">
        <v>30</v>
      </c>
      <c r="I7" t="s">
        <v>9</v>
      </c>
    </row>
    <row r="8" spans="1:9" x14ac:dyDescent="0.2">
      <c r="A8" s="11">
        <v>-2.6570630698882887E-2</v>
      </c>
      <c r="B8" s="12">
        <v>4</v>
      </c>
      <c r="C8" s="21">
        <f t="shared" si="2"/>
        <v>1.5748031496062992E-2</v>
      </c>
      <c r="D8">
        <f t="shared" si="0"/>
        <v>4.6376980422331897</v>
      </c>
      <c r="E8" s="19">
        <f t="shared" si="1"/>
        <v>97.342936930111705</v>
      </c>
      <c r="G8" t="s">
        <v>51</v>
      </c>
      <c r="H8">
        <v>365</v>
      </c>
    </row>
    <row r="9" spans="1:9" x14ac:dyDescent="0.2">
      <c r="A9" s="11">
        <v>-2.1963111290166128E-2</v>
      </c>
      <c r="B9" s="12">
        <v>5</v>
      </c>
      <c r="C9" s="21">
        <f t="shared" si="2"/>
        <v>1.968503937007874E-2</v>
      </c>
      <c r="D9">
        <f t="shared" si="0"/>
        <v>8.3445762509970702</v>
      </c>
      <c r="E9" s="19">
        <f t="shared" si="1"/>
        <v>97.803688870983379</v>
      </c>
      <c r="G9" t="s">
        <v>52</v>
      </c>
      <c r="H9">
        <f>H4*SQRT(h/Days_in_year)</f>
        <v>0.47160684229411909</v>
      </c>
    </row>
    <row r="10" spans="1:9" x14ac:dyDescent="0.2">
      <c r="A10" s="11">
        <v>-1.7355591881449368E-2</v>
      </c>
      <c r="B10" s="12">
        <v>11</v>
      </c>
      <c r="C10" s="20">
        <f t="shared" si="2"/>
        <v>4.3307086614173228E-2</v>
      </c>
      <c r="D10">
        <f t="shared" si="0"/>
        <v>13.411730582718095</v>
      </c>
      <c r="E10" s="19">
        <f t="shared" si="1"/>
        <v>98.264440811855053</v>
      </c>
    </row>
    <row r="11" spans="1:9" x14ac:dyDescent="0.2">
      <c r="A11" s="11">
        <v>-1.2748072472732607E-2</v>
      </c>
      <c r="B11" s="12">
        <v>14</v>
      </c>
      <c r="C11" s="20">
        <f t="shared" si="2"/>
        <v>5.5118110236220472E-2</v>
      </c>
      <c r="D11">
        <f t="shared" si="0"/>
        <v>19.255024165965416</v>
      </c>
      <c r="E11" s="19">
        <f t="shared" si="1"/>
        <v>98.725192752726741</v>
      </c>
      <c r="G11" t="s">
        <v>62</v>
      </c>
      <c r="H11" s="16">
        <f>H2-H3*H9</f>
        <v>-6.7574639103879872E-3</v>
      </c>
    </row>
    <row r="12" spans="1:9" x14ac:dyDescent="0.2">
      <c r="A12" s="11">
        <v>-8.1405530640158465E-3</v>
      </c>
      <c r="B12" s="12">
        <v>22</v>
      </c>
      <c r="C12" s="20">
        <f t="shared" si="2"/>
        <v>8.6614173228346455E-2</v>
      </c>
      <c r="D12">
        <f t="shared" si="0"/>
        <v>24.693464713019992</v>
      </c>
      <c r="E12" s="19">
        <f t="shared" si="1"/>
        <v>99.185944693598415</v>
      </c>
      <c r="G12" t="s">
        <v>63</v>
      </c>
      <c r="H12" s="15">
        <f>H2+H3*H9</f>
        <v>6.1778529905206752E-3</v>
      </c>
    </row>
    <row r="13" spans="1:9" x14ac:dyDescent="0.2">
      <c r="A13" s="11">
        <v>-3.5330336552990855E-3</v>
      </c>
      <c r="B13" s="12">
        <v>33</v>
      </c>
      <c r="C13" s="20">
        <f t="shared" si="2"/>
        <v>0.12992125984251968</v>
      </c>
      <c r="D13">
        <f t="shared" si="0"/>
        <v>28.287769554046903</v>
      </c>
      <c r="E13" s="19">
        <f t="shared" si="1"/>
        <v>99.646696634470089</v>
      </c>
      <c r="G13" t="s">
        <v>3</v>
      </c>
      <c r="H13" s="17">
        <v>130</v>
      </c>
      <c r="I13" s="2" t="s">
        <v>4</v>
      </c>
    </row>
    <row r="14" spans="1:9" x14ac:dyDescent="0.2">
      <c r="A14" s="11">
        <v>1.0744857534176755E-3</v>
      </c>
      <c r="B14" s="12">
        <v>66</v>
      </c>
      <c r="C14" s="20">
        <f t="shared" si="2"/>
        <v>0.25984251968503935</v>
      </c>
      <c r="D14">
        <f t="shared" si="0"/>
        <v>28.946369086462823</v>
      </c>
      <c r="E14" s="19">
        <f t="shared" si="1"/>
        <v>100.10744857534178</v>
      </c>
    </row>
    <row r="15" spans="1:9" x14ac:dyDescent="0.2">
      <c r="A15" s="11">
        <v>5.6820051621344365E-3</v>
      </c>
      <c r="B15" s="12">
        <v>22</v>
      </c>
      <c r="C15" s="20">
        <f t="shared" si="2"/>
        <v>8.6614173228346455E-2</v>
      </c>
      <c r="D15">
        <f t="shared" si="0"/>
        <v>26.458681568263401</v>
      </c>
      <c r="E15" s="19">
        <f t="shared" si="1"/>
        <v>100.56820051621345</v>
      </c>
    </row>
    <row r="16" spans="1:9" x14ac:dyDescent="0.2">
      <c r="A16" s="11">
        <v>1.0289524570851197E-2</v>
      </c>
      <c r="B16" s="12">
        <v>19</v>
      </c>
      <c r="C16" s="20">
        <f t="shared" si="2"/>
        <v>7.4803149606299218E-2</v>
      </c>
      <c r="D16">
        <f t="shared" si="0"/>
        <v>21.603345831297219</v>
      </c>
      <c r="E16" s="19">
        <f t="shared" si="1"/>
        <v>101.02895245708513</v>
      </c>
      <c r="G16" t="s">
        <v>54</v>
      </c>
      <c r="H16">
        <v>2160</v>
      </c>
      <c r="I16" t="s">
        <v>55</v>
      </c>
    </row>
    <row r="17" spans="1:9" x14ac:dyDescent="0.2">
      <c r="A17" s="11">
        <v>1.4897043979567958E-2</v>
      </c>
      <c r="B17" s="12">
        <v>18</v>
      </c>
      <c r="C17" s="20">
        <f t="shared" si="2"/>
        <v>7.0866141732283464E-2</v>
      </c>
      <c r="D17">
        <f t="shared" si="0"/>
        <v>15.756238665542288</v>
      </c>
      <c r="E17" s="19">
        <f t="shared" si="1"/>
        <v>101.48970439795679</v>
      </c>
    </row>
    <row r="18" spans="1:9" x14ac:dyDescent="0.2">
      <c r="A18" s="11">
        <v>1.9504563388284719E-2</v>
      </c>
      <c r="B18" s="12">
        <v>18</v>
      </c>
      <c r="C18" s="20">
        <f t="shared" si="2"/>
        <v>7.0866141732283464E-2</v>
      </c>
      <c r="D18">
        <f t="shared" si="0"/>
        <v>10.265090851004429</v>
      </c>
      <c r="E18" s="19">
        <f t="shared" si="1"/>
        <v>101.95045633882846</v>
      </c>
      <c r="G18" t="s">
        <v>56</v>
      </c>
      <c r="H18">
        <v>90</v>
      </c>
    </row>
    <row r="19" spans="1:9" x14ac:dyDescent="0.2">
      <c r="A19" s="11">
        <v>2.4112082797001479E-2</v>
      </c>
      <c r="B19" s="12">
        <v>8</v>
      </c>
      <c r="C19" s="21">
        <f t="shared" si="2"/>
        <v>3.1496062992125984E-2</v>
      </c>
      <c r="D19">
        <f t="shared" si="0"/>
        <v>5.9738148548747398</v>
      </c>
      <c r="E19" s="19">
        <f t="shared" si="1"/>
        <v>102.41120827970013</v>
      </c>
      <c r="G19" t="s">
        <v>11</v>
      </c>
      <c r="H19">
        <v>24</v>
      </c>
    </row>
    <row r="20" spans="1:9" x14ac:dyDescent="0.2">
      <c r="A20" s="11">
        <v>2.8719602205718238E-2</v>
      </c>
      <c r="B20" s="12">
        <v>4</v>
      </c>
      <c r="C20" s="21">
        <f t="shared" si="2"/>
        <v>1.5748031496062992E-2</v>
      </c>
      <c r="D20">
        <f t="shared" si="0"/>
        <v>3.1054134791235688</v>
      </c>
      <c r="E20" s="19">
        <f t="shared" si="1"/>
        <v>102.87196022057184</v>
      </c>
      <c r="G20" t="s">
        <v>57</v>
      </c>
      <c r="H20">
        <f>H18*H19</f>
        <v>2160</v>
      </c>
    </row>
    <row r="21" spans="1:9" x14ac:dyDescent="0.2">
      <c r="A21" s="11">
        <v>3.3327121614434997E-2</v>
      </c>
      <c r="B21" s="12">
        <v>3</v>
      </c>
      <c r="C21" s="21">
        <f t="shared" si="2"/>
        <v>1.1811023622047244E-2</v>
      </c>
      <c r="D21">
        <f t="shared" si="0"/>
        <v>1.4420018687491096</v>
      </c>
      <c r="E21" s="19">
        <f t="shared" si="1"/>
        <v>103.33271216144351</v>
      </c>
    </row>
    <row r="22" spans="1:9" x14ac:dyDescent="0.2">
      <c r="A22" s="11">
        <v>3.7934641023151756E-2</v>
      </c>
      <c r="B22" s="12">
        <v>0</v>
      </c>
      <c r="C22" s="21">
        <f t="shared" si="2"/>
        <v>0</v>
      </c>
      <c r="D22">
        <f t="shared" si="0"/>
        <v>0.59812358387273201</v>
      </c>
      <c r="E22" s="19">
        <f t="shared" si="1"/>
        <v>103.79346410231518</v>
      </c>
      <c r="G22" t="s">
        <v>58</v>
      </c>
      <c r="H22">
        <f>h*H19</f>
        <v>720</v>
      </c>
    </row>
    <row r="23" spans="1:9" x14ac:dyDescent="0.2">
      <c r="A23" s="11">
        <v>4.2542160431868516E-2</v>
      </c>
      <c r="B23" s="12">
        <v>1</v>
      </c>
      <c r="C23" s="21">
        <f t="shared" si="2"/>
        <v>3.937007874015748E-3</v>
      </c>
      <c r="D23">
        <f t="shared" si="0"/>
        <v>0.22161275092697189</v>
      </c>
      <c r="E23" s="19">
        <f t="shared" si="1"/>
        <v>104.25421604318686</v>
      </c>
    </row>
    <row r="24" spans="1:9" ht="15" thickBot="1" x14ac:dyDescent="0.25">
      <c r="A24" s="13" t="s">
        <v>44</v>
      </c>
      <c r="B24" s="13">
        <v>1</v>
      </c>
      <c r="C24" s="21">
        <f t="shared" si="2"/>
        <v>3.937007874015748E-3</v>
      </c>
      <c r="D24">
        <f>_xlfn.NORM.DIST(2,Mean,std_dev,FALSE)</f>
        <v>0</v>
      </c>
      <c r="E24" s="19">
        <f>(1+0.05)*Current_price</f>
        <v>105</v>
      </c>
      <c r="G24" t="s">
        <v>53</v>
      </c>
      <c r="H24" s="17">
        <v>100</v>
      </c>
      <c r="I24" s="2" t="s">
        <v>4</v>
      </c>
    </row>
    <row r="25" spans="1:9" x14ac:dyDescent="0.2">
      <c r="B25">
        <f>SUM(B2:B24)</f>
        <v>254</v>
      </c>
      <c r="G25" t="s">
        <v>66</v>
      </c>
      <c r="H25" s="18">
        <f>H24*(1+H11)</f>
        <v>99.3242536089612</v>
      </c>
    </row>
    <row r="26" spans="1:9" x14ac:dyDescent="0.2">
      <c r="G26" t="s">
        <v>67</v>
      </c>
    </row>
    <row r="27" spans="1:9" x14ac:dyDescent="0.2">
      <c r="G27" t="s">
        <v>60</v>
      </c>
      <c r="H27" s="5">
        <f>(Strike_price-Current_price)*H22</f>
        <v>21600</v>
      </c>
    </row>
    <row r="28" spans="1:9" x14ac:dyDescent="0.2">
      <c r="G28" t="s">
        <v>65</v>
      </c>
      <c r="H28" s="5">
        <f>(Current_price-Strike_price)*H22</f>
        <v>-21600</v>
      </c>
    </row>
  </sheetData>
  <sortState xmlns:xlrd2="http://schemas.microsoft.com/office/spreadsheetml/2017/richdata2" ref="A2:A23">
    <sortCondition ref="A2"/>
  </sortState>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5754D-DECD-4F06-B1D9-8A219DA0ADD0}">
  <dimension ref="A3:D33"/>
  <sheetViews>
    <sheetView workbookViewId="0">
      <selection activeCell="A31" sqref="A31"/>
    </sheetView>
  </sheetViews>
  <sheetFormatPr defaultRowHeight="14.25" x14ac:dyDescent="0.2"/>
  <cols>
    <col min="1" max="1" width="53.625" customWidth="1"/>
    <col min="2" max="2" width="17.375" bestFit="1" customWidth="1"/>
    <col min="4" max="4" width="12.125" bestFit="1" customWidth="1"/>
  </cols>
  <sheetData>
    <row r="3" spans="1:3" x14ac:dyDescent="0.2">
      <c r="A3" t="s">
        <v>0</v>
      </c>
      <c r="B3">
        <v>1500</v>
      </c>
      <c r="C3" t="s">
        <v>1</v>
      </c>
    </row>
    <row r="4" spans="1:3" x14ac:dyDescent="0.2">
      <c r="A4" t="s">
        <v>2</v>
      </c>
      <c r="B4">
        <v>1000</v>
      </c>
      <c r="C4" t="s">
        <v>1</v>
      </c>
    </row>
    <row r="5" spans="1:3" x14ac:dyDescent="0.2">
      <c r="A5" t="s">
        <v>3</v>
      </c>
      <c r="B5" s="1">
        <v>130</v>
      </c>
      <c r="C5" s="2" t="s">
        <v>4</v>
      </c>
    </row>
    <row r="6" spans="1:3" x14ac:dyDescent="0.2">
      <c r="A6" t="s">
        <v>5</v>
      </c>
      <c r="B6" t="s">
        <v>6</v>
      </c>
    </row>
    <row r="7" spans="1:3" x14ac:dyDescent="0.2">
      <c r="A7" t="s">
        <v>7</v>
      </c>
      <c r="B7">
        <v>2160</v>
      </c>
    </row>
    <row r="8" spans="1:3" x14ac:dyDescent="0.2">
      <c r="A8" t="s">
        <v>8</v>
      </c>
      <c r="B8">
        <v>30</v>
      </c>
      <c r="C8" t="s">
        <v>9</v>
      </c>
    </row>
    <row r="10" spans="1:3" x14ac:dyDescent="0.2">
      <c r="A10" t="s">
        <v>10</v>
      </c>
      <c r="B10">
        <v>80</v>
      </c>
    </row>
    <row r="11" spans="1:3" x14ac:dyDescent="0.2">
      <c r="A11" t="s">
        <v>12</v>
      </c>
      <c r="B11">
        <v>120</v>
      </c>
    </row>
    <row r="13" spans="1:3" x14ac:dyDescent="0.2">
      <c r="A13" t="s">
        <v>11</v>
      </c>
      <c r="B13">
        <v>24</v>
      </c>
    </row>
    <row r="14" spans="1:3" x14ac:dyDescent="0.2">
      <c r="A14" t="s">
        <v>13</v>
      </c>
      <c r="B14">
        <f>Holding_period*Hours_in_day</f>
        <v>720</v>
      </c>
    </row>
    <row r="15" spans="1:3" x14ac:dyDescent="0.2">
      <c r="A15" t="s">
        <v>14</v>
      </c>
      <c r="B15" s="3">
        <v>8760</v>
      </c>
    </row>
    <row r="16" spans="1:3" x14ac:dyDescent="0.2">
      <c r="B16" s="3"/>
    </row>
    <row r="17" spans="1:4" x14ac:dyDescent="0.2">
      <c r="A17" t="s">
        <v>15</v>
      </c>
      <c r="B17">
        <v>1.645</v>
      </c>
    </row>
    <row r="18" spans="1:4" x14ac:dyDescent="0.2">
      <c r="A18" t="s">
        <v>20</v>
      </c>
      <c r="B18" s="4">
        <f>Mean_price-Std_dev_price*z_score_cut_off*SQRT(Holding_period_hours/Hours_in_year)</f>
        <v>23.407178924705704</v>
      </c>
      <c r="D18" s="4">
        <f>Mean_price+Std_dev_price*z_score_cut_off*SQRT(Holding_period_hours/Hours_in_year)</f>
        <v>136.5928210752943</v>
      </c>
    </row>
    <row r="20" spans="1:4" x14ac:dyDescent="0.2">
      <c r="A20" t="s">
        <v>16</v>
      </c>
      <c r="B20">
        <f>B3-B4</f>
        <v>500</v>
      </c>
      <c r="C20" t="s">
        <v>1</v>
      </c>
    </row>
    <row r="21" spans="1:4" x14ac:dyDescent="0.2">
      <c r="A21" t="s">
        <v>17</v>
      </c>
      <c r="B21" s="3">
        <f>B20*Holding_period_hours</f>
        <v>360000</v>
      </c>
      <c r="C21" t="s">
        <v>18</v>
      </c>
    </row>
    <row r="23" spans="1:4" x14ac:dyDescent="0.2">
      <c r="A23" t="s">
        <v>19</v>
      </c>
      <c r="B23" s="5">
        <f>B18*B21</f>
        <v>8426584.4128940534</v>
      </c>
      <c r="D23" s="5">
        <f>D18*B21</f>
        <v>49173415.587105945</v>
      </c>
    </row>
    <row r="25" spans="1:4" x14ac:dyDescent="0.2">
      <c r="A25" t="s">
        <v>23</v>
      </c>
      <c r="B25" s="5">
        <f>Generation_capacity*B18*Holding_period_hours</f>
        <v>25279753.238682158</v>
      </c>
    </row>
    <row r="26" spans="1:4" x14ac:dyDescent="0.2">
      <c r="A26" t="s">
        <v>21</v>
      </c>
      <c r="B26" s="5">
        <f>(Swap_strike_price-B18)*Swap_contract_hours*Flat_Swaps_capacity</f>
        <v>230240493.5226357</v>
      </c>
    </row>
    <row r="27" spans="1:4" ht="15" thickBot="1" x14ac:dyDescent="0.25">
      <c r="B27" s="6">
        <f>SUM(B25:B26)</f>
        <v>255520246.76131785</v>
      </c>
    </row>
    <row r="28" spans="1:4" ht="15" thickTop="1" x14ac:dyDescent="0.2"/>
    <row r="29" spans="1:4" x14ac:dyDescent="0.2">
      <c r="A29" t="s">
        <v>22</v>
      </c>
      <c r="B29" s="5">
        <f>Generation_capacity*D18*Holding_period_hours</f>
        <v>147520246.76131785</v>
      </c>
    </row>
    <row r="30" spans="1:4" x14ac:dyDescent="0.2">
      <c r="A30" t="s">
        <v>24</v>
      </c>
      <c r="B30" s="5">
        <f>(Swap_strike_price-D18)*Swap_contract_hours*Flat_Swaps_capacity</f>
        <v>-14240493.52263568</v>
      </c>
    </row>
    <row r="31" spans="1:4" ht="15" thickBot="1" x14ac:dyDescent="0.25">
      <c r="B31" s="6">
        <f>SUM(B29:B30)</f>
        <v>133279753.23868217</v>
      </c>
    </row>
    <row r="32" spans="1:4" ht="15" thickTop="1" x14ac:dyDescent="0.2"/>
    <row r="33" spans="2:2" x14ac:dyDescent="0.2">
      <c r="B33"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20</vt:i4>
      </vt:variant>
    </vt:vector>
  </HeadingPairs>
  <TitlesOfParts>
    <vt:vector size="23" baseType="lpstr">
      <vt:lpstr>2.prices_BQH2025</vt:lpstr>
      <vt:lpstr>PDF</vt:lpstr>
      <vt:lpstr>Spark Energy</vt:lpstr>
      <vt:lpstr>Current_price</vt:lpstr>
      <vt:lpstr>Days_in_year</vt:lpstr>
      <vt:lpstr>Flat_Swaps_capacity</vt:lpstr>
      <vt:lpstr>Generation_capacity</vt:lpstr>
      <vt:lpstr>h</vt:lpstr>
      <vt:lpstr>Holding_period</vt:lpstr>
      <vt:lpstr>Holding_period_hours</vt:lpstr>
      <vt:lpstr>Hours_in_day</vt:lpstr>
      <vt:lpstr>Hours_in_year</vt:lpstr>
      <vt:lpstr>Increment</vt:lpstr>
      <vt:lpstr>Maximum</vt:lpstr>
      <vt:lpstr>Mean</vt:lpstr>
      <vt:lpstr>Mean_price</vt:lpstr>
      <vt:lpstr>Minimum</vt:lpstr>
      <vt:lpstr>std_dev</vt:lpstr>
      <vt:lpstr>Std_dev_price</vt:lpstr>
      <vt:lpstr>Strike_price</vt:lpstr>
      <vt:lpstr>Swap_contract_hours</vt:lpstr>
      <vt:lpstr>Swap_strike_price</vt:lpstr>
      <vt:lpstr>z_score_cut_off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Coble-Neal</dc:creator>
  <cp:lastModifiedBy>Coble-Neal, Grant</cp:lastModifiedBy>
  <dcterms:created xsi:type="dcterms:W3CDTF">2024-05-28T11:21:59Z</dcterms:created>
  <dcterms:modified xsi:type="dcterms:W3CDTF">2024-05-29T03:14:38Z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43ac1ff-3dbd-40db-82ca-27796aa22133_Enabled">
    <vt:lpwstr>true</vt:lpwstr>
  </property>
  <property fmtid="{D5CDD505-2E9C-101B-9397-08002B2CF9AE}" pid="3" name="MSIP_Label_d43ac1ff-3dbd-40db-82ca-27796aa22133_SetDate">
    <vt:lpwstr>2024-05-29T03:08:04Z</vt:lpwstr>
  </property>
  <property fmtid="{D5CDD505-2E9C-101B-9397-08002B2CF9AE}" pid="4" name="MSIP_Label_d43ac1ff-3dbd-40db-82ca-27796aa22133_Method">
    <vt:lpwstr>Privileged</vt:lpwstr>
  </property>
  <property fmtid="{D5CDD505-2E9C-101B-9397-08002B2CF9AE}" pid="5" name="MSIP_Label_d43ac1ff-3dbd-40db-82ca-27796aa22133_Name">
    <vt:lpwstr>d43ac1ff-3dbd-40db-82ca-27796aa22133</vt:lpwstr>
  </property>
  <property fmtid="{D5CDD505-2E9C-101B-9397-08002B2CF9AE}" pid="6" name="MSIP_Label_d43ac1ff-3dbd-40db-82ca-27796aa22133_SiteId">
    <vt:lpwstr>37247798-f42c-42fd-8a37-d49c7128d36b</vt:lpwstr>
  </property>
  <property fmtid="{D5CDD505-2E9C-101B-9397-08002B2CF9AE}" pid="7" name="MSIP_Label_d43ac1ff-3dbd-40db-82ca-27796aa22133_ActionId">
    <vt:lpwstr>1e3be459-7cbe-4de5-a7d6-f8bbe5d288e1</vt:lpwstr>
  </property>
  <property fmtid="{D5CDD505-2E9C-101B-9397-08002B2CF9AE}" pid="8" name="MSIP_Label_d43ac1ff-3dbd-40db-82ca-27796aa22133_ContentBits">
    <vt:lpwstr>0</vt:lpwstr>
  </property>
</Properties>
</file>