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1"/>
  <workbookPr/>
  <xr:revisionPtr revIDLastSave="625" documentId="11_D68A6E73C15E18DCBA9E1A1515BD29DC205859BF" xr6:coauthVersionLast="46" xr6:coauthVersionMax="46" xr10:uidLastSave="{06C99535-FFBE-4378-BB64-80F747FD7F5E}"/>
  <bookViews>
    <workbookView xWindow="0" yWindow="0" windowWidth="0" windowHeight="0" firstSheet="9" activeTab="9" xr2:uid="{00000000-000D-0000-FFFF-FFFF00000000}"/>
  </bookViews>
  <sheets>
    <sheet name="仕訳" sheetId="1" r:id="rId1"/>
    <sheet name="元帳" sheetId="11" r:id="rId2"/>
    <sheet name="在庫" sheetId="3" r:id="rId3"/>
    <sheet name="集計" sheetId="4" r:id="rId4"/>
    <sheet name="諸表" sheetId="5" r:id="rId5"/>
    <sheet name="月次" sheetId="6" r:id="rId6"/>
    <sheet name="Zaim" sheetId="7" r:id="rId7"/>
    <sheet name="Kamok" sheetId="8" r:id="rId8"/>
    <sheet name="Ex2eTAX" sheetId="9" r:id="rId9"/>
    <sheet name="説明" sheetId="10" r:id="rId10"/>
  </sheets>
  <definedNames>
    <definedName name="科目" localSheetId="1">元帳!$C$2:$C$89</definedName>
    <definedName name="科目">仕訳!$C$2:$C$89</definedName>
    <definedName name="科目設定">集計!$A$2:$K$79</definedName>
    <definedName name="期首残高" localSheetId="1">元帳!$J$2:$J$89</definedName>
    <definedName name="期首残高">仕訳!$J$2:$J$89</definedName>
    <definedName name="項目">集計!$D$2:$D$79</definedName>
    <definedName name="借方" localSheetId="1">元帳!$D$2:$D$89</definedName>
    <definedName name="借方">仕訳!$D$2:$D$89</definedName>
    <definedName name="出庫" localSheetId="1">元帳!$H$2:$H$89</definedName>
    <definedName name="出庫">仕訳!$H$2:$H$89</definedName>
    <definedName name="親子残高">集計!$K$2:$K$79</definedName>
    <definedName name="診断">説明!$A$59</definedName>
    <definedName name="貸方" localSheetId="1">元帳!$E$2:$E$89</definedName>
    <definedName name="貸方">仕訳!$E$2:$E$89</definedName>
    <definedName name="日付" localSheetId="1">元帳!$A$2:$A$89</definedName>
    <definedName name="日付">仕訳!$A$2:$A$89</definedName>
    <definedName name="入庫" localSheetId="1">元帳!$I$2:$I$89</definedName>
    <definedName name="入庫">仕訳!$I$2:$I$89</definedName>
    <definedName name="品番" localSheetId="1">元帳!$G$2:$G$89</definedName>
    <definedName name="品番">仕訳!$G$2:$G$89</definedName>
    <definedName name="品番設定">在庫!$A$2:$B$6</definedName>
    <definedName name="負資収">集計!$A$15:$A$48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cJWg4nk0Z8FGDd5At6wdTKynbKw=="/>
    </ext>
  </extLst>
</workbook>
</file>

<file path=xl/calcChain.xml><?xml version="1.0" encoding="utf-8"?>
<calcChain xmlns="http://schemas.openxmlformats.org/spreadsheetml/2006/main">
  <c r="J1" i="5" l="1"/>
  <c r="I1" i="5"/>
  <c r="I28" i="5" s="1"/>
  <c r="A112" i="7"/>
  <c r="A111" i="7"/>
  <c r="A110" i="7"/>
  <c r="A104" i="7"/>
  <c r="A103" i="7"/>
  <c r="A97" i="7"/>
  <c r="A96" i="7"/>
  <c r="A95" i="7"/>
  <c r="A91" i="7"/>
  <c r="A90" i="7"/>
  <c r="A89" i="7"/>
  <c r="A88" i="7"/>
  <c r="A87" i="7"/>
  <c r="A86" i="7"/>
  <c r="A85" i="7"/>
  <c r="A84" i="7"/>
  <c r="A83" i="7"/>
  <c r="A82" i="7"/>
  <c r="A81" i="7"/>
  <c r="A80" i="7"/>
  <c r="A76" i="7"/>
  <c r="A75" i="7"/>
  <c r="A74" i="7"/>
  <c r="A71" i="7"/>
  <c r="A70" i="7"/>
  <c r="A62" i="7"/>
  <c r="A49" i="7"/>
  <c r="A48" i="7"/>
  <c r="A47" i="7"/>
  <c r="A46" i="7"/>
  <c r="A30" i="7"/>
  <c r="A29" i="7"/>
  <c r="A28" i="7"/>
  <c r="A27" i="7"/>
  <c r="J5" i="3"/>
  <c r="I5" i="3"/>
  <c r="H5" i="3"/>
  <c r="G5" i="3"/>
  <c r="J4" i="3"/>
  <c r="I4" i="3"/>
  <c r="H4" i="3"/>
  <c r="G4" i="3"/>
  <c r="J3" i="3"/>
  <c r="I3" i="3"/>
  <c r="H3" i="3"/>
  <c r="G3" i="3"/>
  <c r="F13" i="4"/>
  <c r="F12" i="4"/>
  <c r="F11" i="4"/>
  <c r="F10" i="4"/>
  <c r="F9" i="4"/>
  <c r="F8" i="4"/>
  <c r="F7" i="4"/>
  <c r="F6" i="4"/>
  <c r="F5" i="4"/>
  <c r="F4" i="4"/>
  <c r="F3" i="4"/>
  <c r="E90" i="11"/>
  <c r="D90" i="11"/>
  <c r="Q88" i="11"/>
  <c r="N88" i="11"/>
  <c r="O88" i="11" s="1"/>
  <c r="K88" i="11"/>
  <c r="Q87" i="11"/>
  <c r="N87" i="11"/>
  <c r="O87" i="11" s="1"/>
  <c r="K87" i="11"/>
  <c r="Q86" i="11"/>
  <c r="N86" i="11"/>
  <c r="O86" i="11" s="1"/>
  <c r="K86" i="11"/>
  <c r="Q85" i="11"/>
  <c r="N85" i="11"/>
  <c r="O85" i="11" s="1"/>
  <c r="K85" i="11"/>
  <c r="Q84" i="11"/>
  <c r="N84" i="11"/>
  <c r="O84" i="11" s="1"/>
  <c r="K84" i="11"/>
  <c r="Q83" i="11"/>
  <c r="N83" i="11"/>
  <c r="O83" i="11" s="1"/>
  <c r="K83" i="11"/>
  <c r="Q82" i="11"/>
  <c r="N82" i="11"/>
  <c r="O82" i="11" s="1"/>
  <c r="K82" i="11"/>
  <c r="Q81" i="11"/>
  <c r="N81" i="11"/>
  <c r="O81" i="11" s="1"/>
  <c r="K81" i="11"/>
  <c r="Q80" i="11"/>
  <c r="N80" i="11"/>
  <c r="O80" i="11" s="1"/>
  <c r="K80" i="11"/>
  <c r="Q79" i="11"/>
  <c r="N79" i="11"/>
  <c r="O79" i="11" s="1"/>
  <c r="K79" i="11"/>
  <c r="Q78" i="11"/>
  <c r="N78" i="11"/>
  <c r="O78" i="11" s="1"/>
  <c r="K78" i="11"/>
  <c r="Q77" i="11"/>
  <c r="N77" i="11"/>
  <c r="O77" i="11" s="1"/>
  <c r="K77" i="11"/>
  <c r="Q76" i="11"/>
  <c r="N76" i="11"/>
  <c r="O76" i="11" s="1"/>
  <c r="K76" i="11"/>
  <c r="Q75" i="11"/>
  <c r="N75" i="11"/>
  <c r="O75" i="11" s="1"/>
  <c r="K75" i="11"/>
  <c r="Q74" i="11"/>
  <c r="N74" i="11"/>
  <c r="O74" i="11" s="1"/>
  <c r="K74" i="11"/>
  <c r="Q73" i="11"/>
  <c r="N73" i="11"/>
  <c r="O73" i="11" s="1"/>
  <c r="K73" i="11"/>
  <c r="Q72" i="11"/>
  <c r="N72" i="11"/>
  <c r="O72" i="11" s="1"/>
  <c r="K72" i="11"/>
  <c r="Q71" i="11"/>
  <c r="N71" i="11"/>
  <c r="O71" i="11" s="1"/>
  <c r="K71" i="11"/>
  <c r="Q70" i="11"/>
  <c r="N70" i="11"/>
  <c r="O70" i="11" s="1"/>
  <c r="K70" i="11"/>
  <c r="Q69" i="11"/>
  <c r="N69" i="11"/>
  <c r="O69" i="11" s="1"/>
  <c r="K69" i="11"/>
  <c r="Q68" i="11"/>
  <c r="N68" i="11"/>
  <c r="O68" i="11" s="1"/>
  <c r="K68" i="11"/>
  <c r="Q67" i="11"/>
  <c r="N67" i="11"/>
  <c r="O67" i="11" s="1"/>
  <c r="K67" i="11"/>
  <c r="Q66" i="11"/>
  <c r="N66" i="11"/>
  <c r="O66" i="11" s="1"/>
  <c r="K66" i="11"/>
  <c r="Q65" i="11"/>
  <c r="N65" i="11"/>
  <c r="O65" i="11" s="1"/>
  <c r="K65" i="11"/>
  <c r="Q64" i="11"/>
  <c r="N64" i="11"/>
  <c r="O64" i="11" s="1"/>
  <c r="K64" i="11"/>
  <c r="Q63" i="11"/>
  <c r="N63" i="11"/>
  <c r="O63" i="11" s="1"/>
  <c r="K63" i="11"/>
  <c r="Q62" i="11"/>
  <c r="N62" i="11"/>
  <c r="O62" i="11" s="1"/>
  <c r="K62" i="11"/>
  <c r="Q61" i="11"/>
  <c r="N61" i="11"/>
  <c r="O61" i="11" s="1"/>
  <c r="K61" i="11"/>
  <c r="Q60" i="11"/>
  <c r="N60" i="11"/>
  <c r="O60" i="11" s="1"/>
  <c r="K60" i="11"/>
  <c r="Q59" i="11"/>
  <c r="N59" i="11"/>
  <c r="O59" i="11" s="1"/>
  <c r="K59" i="11"/>
  <c r="Q58" i="11"/>
  <c r="N58" i="11"/>
  <c r="O58" i="11" s="1"/>
  <c r="K58" i="11"/>
  <c r="Q57" i="11"/>
  <c r="N57" i="11"/>
  <c r="O57" i="11" s="1"/>
  <c r="K57" i="11"/>
  <c r="Q56" i="11"/>
  <c r="N56" i="11"/>
  <c r="O56" i="11" s="1"/>
  <c r="K56" i="11"/>
  <c r="Q55" i="11"/>
  <c r="N55" i="11"/>
  <c r="O55" i="11" s="1"/>
  <c r="K55" i="11"/>
  <c r="Q54" i="11"/>
  <c r="N54" i="11"/>
  <c r="O54" i="11" s="1"/>
  <c r="K54" i="11"/>
  <c r="Q53" i="11"/>
  <c r="N53" i="11"/>
  <c r="O53" i="11" s="1"/>
  <c r="K53" i="11"/>
  <c r="Q52" i="11"/>
  <c r="N52" i="11"/>
  <c r="O52" i="11" s="1"/>
  <c r="K52" i="11"/>
  <c r="Q51" i="11"/>
  <c r="N51" i="11"/>
  <c r="O51" i="11" s="1"/>
  <c r="K51" i="11"/>
  <c r="Q50" i="11"/>
  <c r="N50" i="11"/>
  <c r="O50" i="11" s="1"/>
  <c r="K50" i="11"/>
  <c r="Q49" i="11"/>
  <c r="N49" i="11"/>
  <c r="O49" i="11" s="1"/>
  <c r="K49" i="11"/>
  <c r="Q48" i="11"/>
  <c r="N48" i="11"/>
  <c r="O48" i="11" s="1"/>
  <c r="K48" i="11"/>
  <c r="Q47" i="11"/>
  <c r="N47" i="11"/>
  <c r="O47" i="11" s="1"/>
  <c r="K47" i="11"/>
  <c r="Q46" i="11"/>
  <c r="N46" i="11"/>
  <c r="O46" i="11" s="1"/>
  <c r="K46" i="11"/>
  <c r="Q45" i="11"/>
  <c r="N45" i="11"/>
  <c r="O45" i="11" s="1"/>
  <c r="K45" i="11"/>
  <c r="Q44" i="11"/>
  <c r="N44" i="11"/>
  <c r="O44" i="11" s="1"/>
  <c r="K44" i="11"/>
  <c r="Q43" i="11"/>
  <c r="N43" i="11"/>
  <c r="O43" i="11" s="1"/>
  <c r="K43" i="11"/>
  <c r="Q42" i="11"/>
  <c r="N42" i="11"/>
  <c r="O42" i="11" s="1"/>
  <c r="K42" i="11"/>
  <c r="Q41" i="11"/>
  <c r="N41" i="11"/>
  <c r="O41" i="11" s="1"/>
  <c r="K41" i="11"/>
  <c r="Q40" i="11"/>
  <c r="N40" i="11"/>
  <c r="O40" i="11" s="1"/>
  <c r="K40" i="11"/>
  <c r="Q39" i="11"/>
  <c r="N39" i="11"/>
  <c r="O39" i="11" s="1"/>
  <c r="K39" i="11"/>
  <c r="Q38" i="11"/>
  <c r="N38" i="11"/>
  <c r="O38" i="11" s="1"/>
  <c r="K38" i="11"/>
  <c r="Q37" i="11"/>
  <c r="N37" i="11"/>
  <c r="O37" i="11" s="1"/>
  <c r="K37" i="11"/>
  <c r="Q36" i="11"/>
  <c r="N36" i="11"/>
  <c r="O36" i="11" s="1"/>
  <c r="K36" i="11"/>
  <c r="Q35" i="11"/>
  <c r="N35" i="11"/>
  <c r="O35" i="11" s="1"/>
  <c r="K35" i="11"/>
  <c r="Q34" i="11"/>
  <c r="N34" i="11"/>
  <c r="O34" i="11" s="1"/>
  <c r="K34" i="11"/>
  <c r="Q33" i="11"/>
  <c r="N33" i="11"/>
  <c r="O33" i="11" s="1"/>
  <c r="K33" i="11"/>
  <c r="Q32" i="11"/>
  <c r="N32" i="11"/>
  <c r="O32" i="11" s="1"/>
  <c r="K32" i="11"/>
  <c r="Q31" i="11"/>
  <c r="N31" i="11"/>
  <c r="O31" i="11" s="1"/>
  <c r="K31" i="11"/>
  <c r="Q30" i="11"/>
  <c r="N30" i="11"/>
  <c r="O30" i="11" s="1"/>
  <c r="K30" i="11"/>
  <c r="Q29" i="11"/>
  <c r="N29" i="11"/>
  <c r="O29" i="11" s="1"/>
  <c r="K29" i="11"/>
  <c r="Q28" i="11"/>
  <c r="N28" i="11"/>
  <c r="O28" i="11" s="1"/>
  <c r="K28" i="11"/>
  <c r="Q27" i="11"/>
  <c r="N27" i="11"/>
  <c r="O27" i="11" s="1"/>
  <c r="K27" i="11"/>
  <c r="Q26" i="11"/>
  <c r="N26" i="11"/>
  <c r="O26" i="11" s="1"/>
  <c r="K26" i="11"/>
  <c r="Q25" i="11"/>
  <c r="N25" i="11"/>
  <c r="O25" i="11" s="1"/>
  <c r="K25" i="11"/>
  <c r="Q24" i="11"/>
  <c r="N24" i="11"/>
  <c r="O24" i="11" s="1"/>
  <c r="K24" i="11"/>
  <c r="Q23" i="11"/>
  <c r="N23" i="11"/>
  <c r="O23" i="11" s="1"/>
  <c r="K23" i="11"/>
  <c r="Q22" i="11"/>
  <c r="N22" i="11"/>
  <c r="O22" i="11" s="1"/>
  <c r="K22" i="11"/>
  <c r="Q21" i="11"/>
  <c r="N21" i="11"/>
  <c r="O21" i="11" s="1"/>
  <c r="K21" i="11"/>
  <c r="Q20" i="11"/>
  <c r="N20" i="11"/>
  <c r="O20" i="11" s="1"/>
  <c r="K20" i="11"/>
  <c r="Q19" i="11"/>
  <c r="N19" i="11"/>
  <c r="O19" i="11" s="1"/>
  <c r="K19" i="11"/>
  <c r="Q18" i="11"/>
  <c r="N18" i="11"/>
  <c r="O18" i="11" s="1"/>
  <c r="K18" i="11"/>
  <c r="Q17" i="11"/>
  <c r="N17" i="11"/>
  <c r="O17" i="11" s="1"/>
  <c r="K17" i="11"/>
  <c r="Q16" i="11"/>
  <c r="N16" i="11"/>
  <c r="O16" i="11" s="1"/>
  <c r="K16" i="11"/>
  <c r="Q15" i="11"/>
  <c r="N15" i="11"/>
  <c r="O15" i="11" s="1"/>
  <c r="K15" i="11"/>
  <c r="Q14" i="11"/>
  <c r="N14" i="11"/>
  <c r="O14" i="11" s="1"/>
  <c r="K14" i="11"/>
  <c r="Q13" i="11"/>
  <c r="N13" i="11"/>
  <c r="O13" i="11" s="1"/>
  <c r="K13" i="11"/>
  <c r="Q12" i="11"/>
  <c r="N12" i="11"/>
  <c r="O12" i="11" s="1"/>
  <c r="K12" i="11"/>
  <c r="Q11" i="11"/>
  <c r="N11" i="11"/>
  <c r="O11" i="11" s="1"/>
  <c r="K11" i="11"/>
  <c r="Q10" i="11"/>
  <c r="N10" i="11"/>
  <c r="O10" i="11" s="1"/>
  <c r="K10" i="11"/>
  <c r="Q9" i="11"/>
  <c r="N9" i="11"/>
  <c r="O9" i="11" s="1"/>
  <c r="K9" i="11"/>
  <c r="Q8" i="11"/>
  <c r="N8" i="11"/>
  <c r="O8" i="11" s="1"/>
  <c r="K8" i="11"/>
  <c r="Q7" i="11"/>
  <c r="N7" i="11"/>
  <c r="O7" i="11" s="1"/>
  <c r="K7" i="11"/>
  <c r="Q6" i="11"/>
  <c r="N6" i="11"/>
  <c r="O6" i="11" s="1"/>
  <c r="K6" i="11"/>
  <c r="Q5" i="11"/>
  <c r="N5" i="11"/>
  <c r="O5" i="11" s="1"/>
  <c r="K5" i="11"/>
  <c r="Q4" i="11"/>
  <c r="N4" i="11"/>
  <c r="O4" i="11" s="1"/>
  <c r="K4" i="11"/>
  <c r="Q3" i="11"/>
  <c r="N3" i="11"/>
  <c r="K3" i="11"/>
  <c r="J3" i="11"/>
  <c r="E1" i="11"/>
  <c r="D1" i="11"/>
  <c r="N88" i="1"/>
  <c r="O88" i="1" s="1"/>
  <c r="K88" i="1"/>
  <c r="N87" i="1"/>
  <c r="O87" i="1" s="1"/>
  <c r="K87" i="1"/>
  <c r="N86" i="1"/>
  <c r="O86" i="1" s="1"/>
  <c r="K86" i="1"/>
  <c r="N85" i="1"/>
  <c r="O85" i="1" s="1"/>
  <c r="K85" i="1"/>
  <c r="N84" i="1"/>
  <c r="O84" i="1" s="1"/>
  <c r="K84" i="1"/>
  <c r="N83" i="1"/>
  <c r="O83" i="1" s="1"/>
  <c r="K83" i="1"/>
  <c r="N82" i="1"/>
  <c r="O82" i="1" s="1"/>
  <c r="K82" i="1"/>
  <c r="N81" i="1"/>
  <c r="O81" i="1" s="1"/>
  <c r="K81" i="1"/>
  <c r="N80" i="1"/>
  <c r="O80" i="1" s="1"/>
  <c r="K80" i="1"/>
  <c r="N79" i="1"/>
  <c r="O79" i="1" s="1"/>
  <c r="K79" i="1"/>
  <c r="N78" i="1"/>
  <c r="O78" i="1" s="1"/>
  <c r="K78" i="1"/>
  <c r="N77" i="1"/>
  <c r="O77" i="1" s="1"/>
  <c r="K77" i="1"/>
  <c r="N76" i="1"/>
  <c r="O76" i="1" s="1"/>
  <c r="K76" i="1"/>
  <c r="N75" i="1"/>
  <c r="O75" i="1" s="1"/>
  <c r="K75" i="1"/>
  <c r="N74" i="1"/>
  <c r="O74" i="1" s="1"/>
  <c r="K74" i="1"/>
  <c r="N73" i="1"/>
  <c r="O73" i="1" s="1"/>
  <c r="K73" i="1"/>
  <c r="N72" i="1"/>
  <c r="O72" i="1" s="1"/>
  <c r="K72" i="1"/>
  <c r="N71" i="1"/>
  <c r="O71" i="1" s="1"/>
  <c r="K71" i="1"/>
  <c r="N70" i="1"/>
  <c r="O70" i="1" s="1"/>
  <c r="K70" i="1"/>
  <c r="N69" i="1"/>
  <c r="O69" i="1" s="1"/>
  <c r="K69" i="1"/>
  <c r="N68" i="1"/>
  <c r="O68" i="1" s="1"/>
  <c r="K68" i="1"/>
  <c r="N67" i="1"/>
  <c r="O67" i="1" s="1"/>
  <c r="K67" i="1"/>
  <c r="N66" i="1"/>
  <c r="O66" i="1" s="1"/>
  <c r="K66" i="1"/>
  <c r="N65" i="1"/>
  <c r="O65" i="1" s="1"/>
  <c r="K65" i="1"/>
  <c r="N64" i="1"/>
  <c r="O64" i="1" s="1"/>
  <c r="K64" i="1"/>
  <c r="N63" i="1"/>
  <c r="O63" i="1" s="1"/>
  <c r="K63" i="1"/>
  <c r="N62" i="1"/>
  <c r="O62" i="1" s="1"/>
  <c r="K62" i="1"/>
  <c r="N61" i="1"/>
  <c r="O61" i="1" s="1"/>
  <c r="K61" i="1"/>
  <c r="N60" i="1"/>
  <c r="O60" i="1" s="1"/>
  <c r="K60" i="1"/>
  <c r="N59" i="1"/>
  <c r="O59" i="1" s="1"/>
  <c r="K59" i="1"/>
  <c r="N58" i="1"/>
  <c r="O58" i="1" s="1"/>
  <c r="K58" i="1"/>
  <c r="N57" i="1"/>
  <c r="O57" i="1" s="1"/>
  <c r="K57" i="1"/>
  <c r="N56" i="1"/>
  <c r="O56" i="1" s="1"/>
  <c r="K56" i="1"/>
  <c r="N55" i="1"/>
  <c r="O55" i="1" s="1"/>
  <c r="K55" i="1"/>
  <c r="N54" i="1"/>
  <c r="O54" i="1" s="1"/>
  <c r="K54" i="1"/>
  <c r="N53" i="1"/>
  <c r="O53" i="1" s="1"/>
  <c r="K53" i="1"/>
  <c r="N52" i="1"/>
  <c r="O52" i="1" s="1"/>
  <c r="K52" i="1"/>
  <c r="N51" i="1"/>
  <c r="O51" i="1" s="1"/>
  <c r="K51" i="1"/>
  <c r="N50" i="1"/>
  <c r="O50" i="1" s="1"/>
  <c r="K50" i="1"/>
  <c r="N49" i="1"/>
  <c r="O49" i="1" s="1"/>
  <c r="K49" i="1"/>
  <c r="N48" i="1"/>
  <c r="O48" i="1" s="1"/>
  <c r="K48" i="1"/>
  <c r="N47" i="1"/>
  <c r="O47" i="1" s="1"/>
  <c r="K47" i="1"/>
  <c r="N46" i="1"/>
  <c r="O46" i="1" s="1"/>
  <c r="K46" i="1"/>
  <c r="N45" i="1"/>
  <c r="O45" i="1" s="1"/>
  <c r="K45" i="1"/>
  <c r="N44" i="1"/>
  <c r="O44" i="1" s="1"/>
  <c r="K44" i="1"/>
  <c r="N43" i="1"/>
  <c r="O43" i="1" s="1"/>
  <c r="K43" i="1"/>
  <c r="N42" i="1"/>
  <c r="O42" i="1" s="1"/>
  <c r="K42" i="1"/>
  <c r="N41" i="1"/>
  <c r="O41" i="1" s="1"/>
  <c r="K41" i="1"/>
  <c r="N40" i="1"/>
  <c r="O40" i="1" s="1"/>
  <c r="K40" i="1"/>
  <c r="N39" i="1"/>
  <c r="O39" i="1" s="1"/>
  <c r="K39" i="1"/>
  <c r="N38" i="1"/>
  <c r="O38" i="1" s="1"/>
  <c r="K38" i="1"/>
  <c r="N37" i="1"/>
  <c r="O37" i="1" s="1"/>
  <c r="K37" i="1"/>
  <c r="N36" i="1"/>
  <c r="O36" i="1" s="1"/>
  <c r="K36" i="1"/>
  <c r="N35" i="1"/>
  <c r="O35" i="1" s="1"/>
  <c r="K35" i="1"/>
  <c r="N34" i="1"/>
  <c r="O34" i="1" s="1"/>
  <c r="K34" i="1"/>
  <c r="N33" i="1"/>
  <c r="O33" i="1" s="1"/>
  <c r="K33" i="1"/>
  <c r="N32" i="1"/>
  <c r="O32" i="1" s="1"/>
  <c r="K32" i="1"/>
  <c r="N31" i="1"/>
  <c r="O31" i="1" s="1"/>
  <c r="K31" i="1"/>
  <c r="N30" i="1"/>
  <c r="O30" i="1" s="1"/>
  <c r="K30" i="1"/>
  <c r="N29" i="1"/>
  <c r="O29" i="1" s="1"/>
  <c r="K29" i="1"/>
  <c r="N28" i="1"/>
  <c r="O28" i="1" s="1"/>
  <c r="K28" i="1"/>
  <c r="N27" i="1"/>
  <c r="O27" i="1" s="1"/>
  <c r="K27" i="1"/>
  <c r="N26" i="1"/>
  <c r="O26" i="1" s="1"/>
  <c r="K26" i="1"/>
  <c r="N25" i="1"/>
  <c r="O25" i="1" s="1"/>
  <c r="K25" i="1"/>
  <c r="N24" i="1"/>
  <c r="O24" i="1" s="1"/>
  <c r="K24" i="1"/>
  <c r="N23" i="1"/>
  <c r="O23" i="1" s="1"/>
  <c r="K23" i="1"/>
  <c r="N22" i="1"/>
  <c r="O22" i="1" s="1"/>
  <c r="K22" i="1"/>
  <c r="N21" i="1"/>
  <c r="O21" i="1" s="1"/>
  <c r="K21" i="1"/>
  <c r="N20" i="1"/>
  <c r="O20" i="1" s="1"/>
  <c r="K20" i="1"/>
  <c r="N19" i="1"/>
  <c r="O19" i="1" s="1"/>
  <c r="K19" i="1"/>
  <c r="N18" i="1"/>
  <c r="O18" i="1" s="1"/>
  <c r="K18" i="1"/>
  <c r="N17" i="1"/>
  <c r="O17" i="1" s="1"/>
  <c r="K17" i="1"/>
  <c r="N16" i="1"/>
  <c r="O16" i="1" s="1"/>
  <c r="K16" i="1"/>
  <c r="N15" i="1"/>
  <c r="O15" i="1" s="1"/>
  <c r="K15" i="1"/>
  <c r="N14" i="1"/>
  <c r="O14" i="1" s="1"/>
  <c r="K14" i="1"/>
  <c r="N13" i="1"/>
  <c r="O13" i="1" s="1"/>
  <c r="K13" i="1"/>
  <c r="N12" i="1"/>
  <c r="O12" i="1" s="1"/>
  <c r="K12" i="1"/>
  <c r="N11" i="1"/>
  <c r="O11" i="1" s="1"/>
  <c r="K11" i="1"/>
  <c r="N10" i="1"/>
  <c r="O10" i="1" s="1"/>
  <c r="K10" i="1"/>
  <c r="N9" i="1"/>
  <c r="O9" i="1" s="1"/>
  <c r="K9" i="1"/>
  <c r="N8" i="1"/>
  <c r="O8" i="1" s="1"/>
  <c r="K8" i="1"/>
  <c r="N7" i="1"/>
  <c r="O7" i="1" s="1"/>
  <c r="K7" i="1"/>
  <c r="N6" i="1"/>
  <c r="O6" i="1" s="1"/>
  <c r="K6" i="1"/>
  <c r="N5" i="1"/>
  <c r="O5" i="1" s="1"/>
  <c r="K5" i="1"/>
  <c r="N4" i="1"/>
  <c r="O4" i="1" s="1"/>
  <c r="K4" i="1"/>
  <c r="K3" i="1"/>
  <c r="O12" i="6"/>
  <c r="B12" i="6"/>
  <c r="B11" i="6"/>
  <c r="B10" i="6"/>
  <c r="N8" i="6"/>
  <c r="M8" i="6"/>
  <c r="L8" i="6"/>
  <c r="K8" i="6"/>
  <c r="J8" i="6"/>
  <c r="I8" i="6"/>
  <c r="H8" i="6"/>
  <c r="G8" i="6"/>
  <c r="F8" i="6"/>
  <c r="E8" i="6"/>
  <c r="D8" i="6"/>
  <c r="C8" i="6"/>
  <c r="C6" i="6"/>
  <c r="B2" i="6"/>
  <c r="C61" i="5"/>
  <c r="C59" i="5"/>
  <c r="C58" i="5"/>
  <c r="E58" i="5" s="1"/>
  <c r="C56" i="5"/>
  <c r="C54" i="5"/>
  <c r="C53" i="5"/>
  <c r="E53" i="5" s="1"/>
  <c r="C52" i="5"/>
  <c r="C50" i="5"/>
  <c r="C43" i="5"/>
  <c r="E43" i="5" s="1"/>
  <c r="C42" i="5"/>
  <c r="C40" i="5"/>
  <c r="C39" i="5"/>
  <c r="C37" i="5"/>
  <c r="C36" i="5"/>
  <c r="C34" i="5"/>
  <c r="C32" i="5"/>
  <c r="C31" i="5"/>
  <c r="C23" i="5"/>
  <c r="C22" i="5"/>
  <c r="C21" i="5"/>
  <c r="C17" i="5"/>
  <c r="C16" i="5"/>
  <c r="C13" i="5"/>
  <c r="C12" i="5"/>
  <c r="C11" i="5"/>
  <c r="C10" i="5"/>
  <c r="C8" i="5"/>
  <c r="I78" i="4"/>
  <c r="H78" i="4"/>
  <c r="G78" i="4"/>
  <c r="F78" i="4"/>
  <c r="I77" i="4"/>
  <c r="H77" i="4"/>
  <c r="G77" i="4"/>
  <c r="F77" i="4"/>
  <c r="K76" i="4"/>
  <c r="I76" i="4"/>
  <c r="H76" i="4"/>
  <c r="G76" i="4"/>
  <c r="F76" i="4"/>
  <c r="I75" i="4"/>
  <c r="H75" i="4"/>
  <c r="G75" i="4"/>
  <c r="F75" i="4"/>
  <c r="K74" i="4"/>
  <c r="I74" i="4"/>
  <c r="H74" i="4"/>
  <c r="G74" i="4"/>
  <c r="F74" i="4"/>
  <c r="K73" i="4"/>
  <c r="I73" i="4"/>
  <c r="H73" i="4"/>
  <c r="G73" i="4"/>
  <c r="F73" i="4"/>
  <c r="I72" i="4"/>
  <c r="H72" i="4"/>
  <c r="G72" i="4"/>
  <c r="F72" i="4"/>
  <c r="I71" i="4"/>
  <c r="H71" i="4"/>
  <c r="G71" i="4"/>
  <c r="F71" i="4"/>
  <c r="I70" i="4"/>
  <c r="H70" i="4"/>
  <c r="G70" i="4"/>
  <c r="F70" i="4"/>
  <c r="I69" i="4"/>
  <c r="H69" i="4"/>
  <c r="G69" i="4"/>
  <c r="F69" i="4"/>
  <c r="I68" i="4"/>
  <c r="H68" i="4"/>
  <c r="G68" i="4"/>
  <c r="F68" i="4"/>
  <c r="I67" i="4"/>
  <c r="H67" i="4"/>
  <c r="G67" i="4"/>
  <c r="F67" i="4"/>
  <c r="I66" i="4"/>
  <c r="H66" i="4"/>
  <c r="G66" i="4"/>
  <c r="F66" i="4"/>
  <c r="I65" i="4"/>
  <c r="H65" i="4"/>
  <c r="G65" i="4"/>
  <c r="F65" i="4"/>
  <c r="I64" i="4"/>
  <c r="H64" i="4"/>
  <c r="G64" i="4"/>
  <c r="F64" i="4"/>
  <c r="K63" i="4"/>
  <c r="I63" i="4"/>
  <c r="H63" i="4"/>
  <c r="G63" i="4"/>
  <c r="F63" i="4"/>
  <c r="I62" i="4"/>
  <c r="H62" i="4"/>
  <c r="G62" i="4"/>
  <c r="F62" i="4"/>
  <c r="I61" i="4"/>
  <c r="H61" i="4"/>
  <c r="G61" i="4"/>
  <c r="F61" i="4"/>
  <c r="I60" i="4"/>
  <c r="H60" i="4"/>
  <c r="G60" i="4"/>
  <c r="F60" i="4"/>
  <c r="K59" i="4"/>
  <c r="I59" i="4"/>
  <c r="H59" i="4"/>
  <c r="G59" i="4"/>
  <c r="F59" i="4"/>
  <c r="I58" i="4"/>
  <c r="H58" i="4"/>
  <c r="G58" i="4"/>
  <c r="F58" i="4"/>
  <c r="I57" i="4"/>
  <c r="H57" i="4"/>
  <c r="G57" i="4"/>
  <c r="F57" i="4"/>
  <c r="I56" i="4"/>
  <c r="H56" i="4"/>
  <c r="G56" i="4"/>
  <c r="F56" i="4"/>
  <c r="I55" i="4"/>
  <c r="H55" i="4"/>
  <c r="G55" i="4"/>
  <c r="F55" i="4"/>
  <c r="I54" i="4"/>
  <c r="H54" i="4"/>
  <c r="G54" i="4"/>
  <c r="F54" i="4"/>
  <c r="I53" i="4"/>
  <c r="H53" i="4"/>
  <c r="G53" i="4"/>
  <c r="F53" i="4"/>
  <c r="I52" i="4"/>
  <c r="H52" i="4"/>
  <c r="G52" i="4"/>
  <c r="F52" i="4"/>
  <c r="I51" i="4"/>
  <c r="H51" i="4"/>
  <c r="G51" i="4"/>
  <c r="F51" i="4"/>
  <c r="I50" i="4"/>
  <c r="H50" i="4"/>
  <c r="H80" i="4" s="1"/>
  <c r="G50" i="4"/>
  <c r="G80" i="4" s="1"/>
  <c r="F50" i="4"/>
  <c r="I46" i="4"/>
  <c r="H46" i="4"/>
  <c r="G46" i="4"/>
  <c r="F46" i="4"/>
  <c r="K45" i="4"/>
  <c r="I45" i="4"/>
  <c r="H45" i="4"/>
  <c r="G45" i="4"/>
  <c r="F45" i="4"/>
  <c r="K44" i="4"/>
  <c r="I44" i="4"/>
  <c r="H44" i="4"/>
  <c r="G44" i="4"/>
  <c r="F44" i="4"/>
  <c r="I43" i="4"/>
  <c r="H43" i="4"/>
  <c r="G43" i="4"/>
  <c r="F43" i="4"/>
  <c r="I42" i="4"/>
  <c r="H42" i="4"/>
  <c r="G42" i="4"/>
  <c r="F42" i="4"/>
  <c r="I41" i="4"/>
  <c r="H41" i="4"/>
  <c r="G41" i="4"/>
  <c r="F41" i="4"/>
  <c r="I40" i="4"/>
  <c r="H40" i="4"/>
  <c r="G40" i="4"/>
  <c r="F40" i="4"/>
  <c r="I39" i="4"/>
  <c r="H39" i="4"/>
  <c r="G39" i="4"/>
  <c r="F39" i="4"/>
  <c r="I38" i="4"/>
  <c r="H38" i="4"/>
  <c r="G38" i="4"/>
  <c r="F38" i="4"/>
  <c r="I37" i="4"/>
  <c r="H37" i="4"/>
  <c r="G37" i="4"/>
  <c r="F37" i="4"/>
  <c r="K36" i="4"/>
  <c r="I36" i="4"/>
  <c r="H36" i="4"/>
  <c r="G36" i="4"/>
  <c r="F36" i="4"/>
  <c r="K35" i="4"/>
  <c r="I35" i="4"/>
  <c r="H35" i="4"/>
  <c r="G35" i="4"/>
  <c r="F35" i="4"/>
  <c r="I34" i="4"/>
  <c r="H34" i="4"/>
  <c r="G34" i="4"/>
  <c r="F34" i="4"/>
  <c r="I33" i="4"/>
  <c r="H33" i="4"/>
  <c r="H48" i="4" s="1"/>
  <c r="G33" i="4"/>
  <c r="G48" i="4" s="1"/>
  <c r="F33" i="4"/>
  <c r="I29" i="4"/>
  <c r="H29" i="4"/>
  <c r="G29" i="4"/>
  <c r="F29" i="4"/>
  <c r="I28" i="4"/>
  <c r="H28" i="4"/>
  <c r="G28" i="4"/>
  <c r="F28" i="4"/>
  <c r="I27" i="4"/>
  <c r="H27" i="4"/>
  <c r="G27" i="4"/>
  <c r="F27" i="4"/>
  <c r="I26" i="4"/>
  <c r="H26" i="4"/>
  <c r="G26" i="4"/>
  <c r="F26" i="4"/>
  <c r="I25" i="4"/>
  <c r="H25" i="4"/>
  <c r="G25" i="4"/>
  <c r="F25" i="4"/>
  <c r="I24" i="4"/>
  <c r="H24" i="4"/>
  <c r="G24" i="4"/>
  <c r="F24" i="4"/>
  <c r="I23" i="4"/>
  <c r="H23" i="4"/>
  <c r="G23" i="4"/>
  <c r="F23" i="4"/>
  <c r="K22" i="4"/>
  <c r="I22" i="4"/>
  <c r="H22" i="4"/>
  <c r="G22" i="4"/>
  <c r="F22" i="4"/>
  <c r="I21" i="4"/>
  <c r="H21" i="4"/>
  <c r="G21" i="4"/>
  <c r="F21" i="4"/>
  <c r="I20" i="4"/>
  <c r="H20" i="4"/>
  <c r="G20" i="4"/>
  <c r="F20" i="4"/>
  <c r="K19" i="4"/>
  <c r="I19" i="4"/>
  <c r="H19" i="4"/>
  <c r="G19" i="4"/>
  <c r="F19" i="4"/>
  <c r="I18" i="4"/>
  <c r="H18" i="4"/>
  <c r="G18" i="4"/>
  <c r="F18" i="4"/>
  <c r="I17" i="4"/>
  <c r="H17" i="4"/>
  <c r="H31" i="4" s="1"/>
  <c r="G17" i="4"/>
  <c r="G31" i="4" s="1"/>
  <c r="F17" i="4"/>
  <c r="I13" i="4"/>
  <c r="H13" i="4"/>
  <c r="G13" i="4"/>
  <c r="I12" i="4"/>
  <c r="H12" i="4"/>
  <c r="G12" i="4"/>
  <c r="I11" i="4"/>
  <c r="H11" i="4"/>
  <c r="G11" i="4"/>
  <c r="I10" i="4"/>
  <c r="H10" i="4"/>
  <c r="G10" i="4"/>
  <c r="I9" i="4"/>
  <c r="H9" i="4"/>
  <c r="G9" i="4"/>
  <c r="I8" i="4"/>
  <c r="H8" i="4"/>
  <c r="G8" i="4"/>
  <c r="I7" i="4"/>
  <c r="H7" i="4"/>
  <c r="G7" i="4"/>
  <c r="I6" i="4"/>
  <c r="H6" i="4"/>
  <c r="G6" i="4"/>
  <c r="K5" i="4"/>
  <c r="I5" i="4"/>
  <c r="H5" i="4"/>
  <c r="G5" i="4"/>
  <c r="I4" i="4"/>
  <c r="H4" i="4"/>
  <c r="G4" i="4"/>
  <c r="I3" i="4"/>
  <c r="H3" i="4"/>
  <c r="H15" i="4" s="1"/>
  <c r="H81" i="4" s="1"/>
  <c r="G3" i="4"/>
  <c r="G15" i="4" s="1"/>
  <c r="H7" i="3"/>
  <c r="G1" i="3"/>
  <c r="E90" i="1"/>
  <c r="D90"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N3" i="1"/>
  <c r="J3" i="1"/>
  <c r="E1" i="1"/>
  <c r="D1" i="1"/>
  <c r="J28" i="5" l="1"/>
  <c r="I4" i="5"/>
  <c r="K4" i="3"/>
  <c r="L4" i="3" s="1"/>
  <c r="K5" i="3"/>
  <c r="L5" i="3" s="1"/>
  <c r="K3" i="3"/>
  <c r="L3" i="3" s="1"/>
  <c r="P3" i="11"/>
  <c r="P3" i="1"/>
  <c r="M79" i="11"/>
  <c r="L79" i="11"/>
  <c r="M73" i="11"/>
  <c r="L73" i="11"/>
  <c r="M67" i="11"/>
  <c r="L67" i="11"/>
  <c r="M61" i="11"/>
  <c r="L61" i="11"/>
  <c r="M55" i="11"/>
  <c r="L55" i="11"/>
  <c r="M49" i="11"/>
  <c r="L49" i="11"/>
  <c r="M43" i="11"/>
  <c r="L43" i="11"/>
  <c r="M37" i="11"/>
  <c r="L37" i="11"/>
  <c r="M31" i="11"/>
  <c r="L31" i="11"/>
  <c r="M25" i="11"/>
  <c r="L25" i="11"/>
  <c r="M19" i="11"/>
  <c r="L19" i="11"/>
  <c r="M17" i="11"/>
  <c r="L17" i="11"/>
  <c r="M14" i="11"/>
  <c r="L14" i="11"/>
  <c r="M8" i="11"/>
  <c r="L8" i="11"/>
  <c r="M3" i="11"/>
  <c r="L3" i="11"/>
  <c r="M79" i="1"/>
  <c r="L79" i="1"/>
  <c r="M73" i="1"/>
  <c r="L73" i="1"/>
  <c r="M67" i="1"/>
  <c r="L67" i="1"/>
  <c r="M61" i="1"/>
  <c r="L61" i="1"/>
  <c r="M55" i="1"/>
  <c r="L55" i="1"/>
  <c r="M49" i="1"/>
  <c r="L49" i="1"/>
  <c r="M43" i="1"/>
  <c r="L43" i="1"/>
  <c r="M37" i="1"/>
  <c r="L37" i="1"/>
  <c r="M31" i="1"/>
  <c r="L31" i="1"/>
  <c r="M25" i="1"/>
  <c r="L25" i="1"/>
  <c r="M19" i="1"/>
  <c r="L19" i="1"/>
  <c r="M17" i="1"/>
  <c r="L17" i="1"/>
  <c r="M14" i="1"/>
  <c r="L14" i="1"/>
  <c r="M8" i="1"/>
  <c r="L8" i="1"/>
  <c r="M3" i="1"/>
  <c r="L3" i="1"/>
  <c r="M85" i="11"/>
  <c r="L85" i="11"/>
  <c r="M82" i="11"/>
  <c r="L82" i="11"/>
  <c r="M76" i="11"/>
  <c r="L76" i="11"/>
  <c r="M70" i="11"/>
  <c r="L70" i="11"/>
  <c r="M64" i="11"/>
  <c r="L64" i="11"/>
  <c r="M58" i="11"/>
  <c r="L58" i="11"/>
  <c r="M52" i="11"/>
  <c r="L52" i="11"/>
  <c r="M46" i="11"/>
  <c r="L46" i="11"/>
  <c r="M40" i="11"/>
  <c r="L40" i="11"/>
  <c r="M34" i="11"/>
  <c r="L34" i="11"/>
  <c r="M28" i="11"/>
  <c r="L28" i="11"/>
  <c r="M22" i="11"/>
  <c r="L22" i="11"/>
  <c r="M18" i="11"/>
  <c r="L18" i="11"/>
  <c r="M11" i="11"/>
  <c r="L11" i="11"/>
  <c r="M4" i="11"/>
  <c r="L4" i="11"/>
  <c r="M85" i="1"/>
  <c r="L85" i="1"/>
  <c r="M82" i="1"/>
  <c r="L82" i="1"/>
  <c r="M76" i="1"/>
  <c r="L76" i="1"/>
  <c r="M70" i="1"/>
  <c r="L70" i="1"/>
  <c r="M64" i="1"/>
  <c r="L64" i="1"/>
  <c r="M58" i="1"/>
  <c r="L58" i="1"/>
  <c r="M52" i="1"/>
  <c r="L52" i="1"/>
  <c r="M46" i="1"/>
  <c r="L46" i="1"/>
  <c r="M40" i="1"/>
  <c r="L40" i="1"/>
  <c r="M34" i="1"/>
  <c r="L34" i="1"/>
  <c r="M28" i="1"/>
  <c r="L28" i="1"/>
  <c r="M22" i="1"/>
  <c r="L22" i="1"/>
  <c r="M18" i="1"/>
  <c r="L18" i="1"/>
  <c r="M11" i="1"/>
  <c r="L11" i="1"/>
  <c r="M4" i="1"/>
  <c r="L4" i="1"/>
  <c r="M80" i="11"/>
  <c r="L80" i="11"/>
  <c r="M74" i="11"/>
  <c r="L74" i="11"/>
  <c r="M68" i="11"/>
  <c r="L68" i="11"/>
  <c r="M62" i="11"/>
  <c r="L62" i="11"/>
  <c r="M56" i="11"/>
  <c r="L56" i="11"/>
  <c r="M50" i="11"/>
  <c r="L50" i="11"/>
  <c r="M44" i="11"/>
  <c r="L44" i="11"/>
  <c r="M38" i="11"/>
  <c r="L38" i="11"/>
  <c r="M32" i="11"/>
  <c r="L32" i="11"/>
  <c r="M26" i="11"/>
  <c r="L26" i="11"/>
  <c r="M15" i="11"/>
  <c r="L15" i="11"/>
  <c r="M10" i="11"/>
  <c r="L10" i="11"/>
  <c r="M5" i="11"/>
  <c r="L5" i="11"/>
  <c r="M80" i="1"/>
  <c r="L80" i="1"/>
  <c r="M74" i="1"/>
  <c r="L74" i="1"/>
  <c r="M68" i="1"/>
  <c r="L68" i="1"/>
  <c r="M62" i="1"/>
  <c r="L62" i="1"/>
  <c r="M56" i="1"/>
  <c r="L56" i="1"/>
  <c r="M50" i="1"/>
  <c r="L50" i="1"/>
  <c r="M44" i="1"/>
  <c r="L44" i="1"/>
  <c r="M38" i="1"/>
  <c r="L38" i="1"/>
  <c r="M32" i="1"/>
  <c r="L32" i="1"/>
  <c r="M26" i="1"/>
  <c r="L26" i="1"/>
  <c r="M15" i="1"/>
  <c r="L15" i="1"/>
  <c r="M10" i="1"/>
  <c r="L10" i="1"/>
  <c r="M5" i="1"/>
  <c r="L5" i="1"/>
  <c r="M83" i="11"/>
  <c r="L83" i="11"/>
  <c r="M77" i="11"/>
  <c r="L77" i="11"/>
  <c r="M71" i="11"/>
  <c r="L71" i="11"/>
  <c r="M65" i="11"/>
  <c r="L65" i="11"/>
  <c r="M59" i="11"/>
  <c r="L59" i="11"/>
  <c r="M53" i="11"/>
  <c r="L53" i="11"/>
  <c r="M47" i="11"/>
  <c r="L47" i="11"/>
  <c r="M41" i="11"/>
  <c r="L41" i="11"/>
  <c r="M35" i="11"/>
  <c r="L35" i="11"/>
  <c r="M29" i="11"/>
  <c r="L29" i="11"/>
  <c r="M23" i="11"/>
  <c r="L23" i="11"/>
  <c r="M12" i="11"/>
  <c r="L12" i="11"/>
  <c r="M83" i="1"/>
  <c r="L83" i="1"/>
  <c r="M77" i="1"/>
  <c r="L77" i="1"/>
  <c r="M71" i="1"/>
  <c r="L71" i="1"/>
  <c r="M65" i="1"/>
  <c r="L65" i="1"/>
  <c r="M59" i="1"/>
  <c r="L59" i="1"/>
  <c r="M53" i="1"/>
  <c r="L53" i="1"/>
  <c r="M47" i="1"/>
  <c r="L47" i="1"/>
  <c r="M41" i="1"/>
  <c r="L41" i="1"/>
  <c r="M35" i="1"/>
  <c r="L35" i="1"/>
  <c r="M29" i="1"/>
  <c r="L29" i="1"/>
  <c r="M23" i="1"/>
  <c r="L23" i="1"/>
  <c r="M12" i="1"/>
  <c r="L12" i="1"/>
  <c r="M6" i="11"/>
  <c r="L6" i="11"/>
  <c r="M6" i="1"/>
  <c r="L6" i="1"/>
  <c r="M87" i="11"/>
  <c r="L87" i="11"/>
  <c r="M7" i="11"/>
  <c r="L7" i="11"/>
  <c r="M87" i="1"/>
  <c r="L87" i="1"/>
  <c r="M7" i="1"/>
  <c r="L7" i="1"/>
  <c r="M86" i="11"/>
  <c r="L86" i="11"/>
  <c r="M86" i="1"/>
  <c r="L86" i="1"/>
  <c r="M84" i="11"/>
  <c r="L84" i="11"/>
  <c r="M78" i="11"/>
  <c r="L78" i="11"/>
  <c r="M72" i="11"/>
  <c r="L72" i="11"/>
  <c r="M66" i="11"/>
  <c r="L66" i="11"/>
  <c r="M60" i="11"/>
  <c r="L60" i="11"/>
  <c r="M54" i="11"/>
  <c r="L54" i="11"/>
  <c r="M48" i="11"/>
  <c r="L48" i="11"/>
  <c r="M42" i="11"/>
  <c r="L42" i="11"/>
  <c r="M36" i="11"/>
  <c r="L36" i="11"/>
  <c r="M30" i="11"/>
  <c r="L30" i="11"/>
  <c r="M24" i="11"/>
  <c r="L24" i="11"/>
  <c r="M13" i="11"/>
  <c r="L13" i="11"/>
  <c r="M84" i="1"/>
  <c r="L84" i="1"/>
  <c r="M78" i="1"/>
  <c r="L78" i="1"/>
  <c r="M72" i="1"/>
  <c r="L72" i="1"/>
  <c r="M66" i="1"/>
  <c r="L66" i="1"/>
  <c r="M60" i="1"/>
  <c r="L60" i="1"/>
  <c r="M54" i="1"/>
  <c r="L54" i="1"/>
  <c r="M48" i="1"/>
  <c r="L48" i="1"/>
  <c r="M42" i="1"/>
  <c r="L42" i="1"/>
  <c r="M36" i="1"/>
  <c r="L36" i="1"/>
  <c r="M30" i="1"/>
  <c r="L30" i="1"/>
  <c r="M24" i="1"/>
  <c r="L24" i="1"/>
  <c r="M13" i="1"/>
  <c r="L13" i="1"/>
  <c r="M81" i="11"/>
  <c r="L81" i="11"/>
  <c r="M75" i="11"/>
  <c r="L75" i="11"/>
  <c r="M69" i="11"/>
  <c r="L69" i="11"/>
  <c r="M63" i="11"/>
  <c r="L63" i="11"/>
  <c r="M57" i="11"/>
  <c r="L57" i="11"/>
  <c r="M51" i="11"/>
  <c r="L51" i="11"/>
  <c r="M45" i="11"/>
  <c r="L45" i="11"/>
  <c r="M39" i="11"/>
  <c r="L39" i="11"/>
  <c r="M33" i="11"/>
  <c r="L33" i="11"/>
  <c r="M27" i="11"/>
  <c r="L27" i="11"/>
  <c r="M16" i="11"/>
  <c r="L16" i="11"/>
  <c r="M9" i="11"/>
  <c r="L9" i="11"/>
  <c r="M81" i="1"/>
  <c r="L81" i="1"/>
  <c r="M75" i="1"/>
  <c r="L75" i="1"/>
  <c r="M69" i="1"/>
  <c r="L69" i="1"/>
  <c r="M63" i="1"/>
  <c r="L63" i="1"/>
  <c r="M57" i="1"/>
  <c r="L57" i="1"/>
  <c r="M51" i="1"/>
  <c r="L51" i="1"/>
  <c r="M45" i="1"/>
  <c r="L45" i="1"/>
  <c r="M39" i="1"/>
  <c r="L39" i="1"/>
  <c r="M33" i="1"/>
  <c r="L33" i="1"/>
  <c r="M27" i="1"/>
  <c r="L27" i="1"/>
  <c r="M16" i="1"/>
  <c r="L16" i="1"/>
  <c r="M9" i="1"/>
  <c r="L9" i="1"/>
  <c r="M20" i="11"/>
  <c r="L20" i="11"/>
  <c r="M20" i="1"/>
  <c r="L20" i="1"/>
  <c r="M21" i="11"/>
  <c r="L21" i="11"/>
  <c r="M21" i="1"/>
  <c r="L21" i="1"/>
  <c r="M88" i="11"/>
  <c r="L88" i="11"/>
  <c r="M88" i="1"/>
  <c r="L88" i="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O3" i="1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P7" i="1" s="1"/>
  <c r="J6" i="1"/>
  <c r="P6" i="1" s="1"/>
  <c r="J5" i="1"/>
  <c r="P5" i="1" s="1"/>
  <c r="J4" i="1"/>
  <c r="O3" i="1"/>
  <c r="G81" i="4"/>
  <c r="F81" i="4" s="1"/>
  <c r="J3" i="4"/>
  <c r="J4" i="4"/>
  <c r="J5" i="4"/>
  <c r="I7" i="8" s="1"/>
  <c r="J6" i="4"/>
  <c r="K6" i="4" s="1"/>
  <c r="C28" i="7" s="1"/>
  <c r="J7" i="4"/>
  <c r="K7" i="4" s="1"/>
  <c r="C29" i="7" s="1"/>
  <c r="J8" i="4"/>
  <c r="K8" i="4" s="1"/>
  <c r="C30" i="7" s="1"/>
  <c r="J9" i="4"/>
  <c r="K9" i="4" s="1"/>
  <c r="J10" i="4"/>
  <c r="K10" i="4" s="1"/>
  <c r="J11" i="4"/>
  <c r="K11" i="4" s="1"/>
  <c r="J12" i="4"/>
  <c r="K12" i="4" s="1"/>
  <c r="C38" i="7" s="1"/>
  <c r="A38" i="7" s="1"/>
  <c r="J13" i="4"/>
  <c r="K13" i="4" s="1"/>
  <c r="J17" i="4"/>
  <c r="J18" i="4"/>
  <c r="J19" i="4"/>
  <c r="H16" i="8" s="1"/>
  <c r="J20" i="4"/>
  <c r="K20" i="4" s="1"/>
  <c r="C47" i="7" s="1"/>
  <c r="J21" i="4"/>
  <c r="J22" i="4"/>
  <c r="J23" i="4"/>
  <c r="K23" i="4" s="1"/>
  <c r="C49" i="7" s="1"/>
  <c r="J24" i="4"/>
  <c r="K24" i="4" s="1"/>
  <c r="J25" i="4"/>
  <c r="K25" i="4" s="1"/>
  <c r="J26" i="4"/>
  <c r="K26" i="4" s="1"/>
  <c r="J27" i="4"/>
  <c r="K27" i="4" s="1"/>
  <c r="C58" i="7" s="1"/>
  <c r="A58" i="7" s="1"/>
  <c r="J28" i="4"/>
  <c r="K28" i="4" s="1"/>
  <c r="J29" i="4"/>
  <c r="K29" i="4" s="1"/>
  <c r="C62" i="7" s="1"/>
  <c r="J33" i="4"/>
  <c r="J34" i="4"/>
  <c r="J35" i="4"/>
  <c r="J36" i="4"/>
  <c r="J37" i="4"/>
  <c r="K37" i="4" s="1"/>
  <c r="C71" i="7" s="1"/>
  <c r="J38" i="4"/>
  <c r="K38" i="4" s="1"/>
  <c r="J39" i="4"/>
  <c r="K39" i="4" s="1"/>
  <c r="C95" i="7" s="1"/>
  <c r="J40" i="4"/>
  <c r="K40" i="4" s="1"/>
  <c r="C96" i="7" s="1"/>
  <c r="J41" i="4"/>
  <c r="K41" i="4" s="1"/>
  <c r="C97" i="7" s="1"/>
  <c r="J42" i="4"/>
  <c r="K42" i="4" s="1"/>
  <c r="J43" i="4"/>
  <c r="J44" i="4"/>
  <c r="J45" i="4"/>
  <c r="J46" i="4"/>
  <c r="K46" i="4" s="1"/>
  <c r="C104" i="7" s="1"/>
  <c r="J50" i="4"/>
  <c r="J51" i="4"/>
  <c r="K51" i="4" s="1"/>
  <c r="C74" i="7" s="1"/>
  <c r="J52" i="4"/>
  <c r="K52" i="4" s="1"/>
  <c r="C75" i="7" s="1"/>
  <c r="J53" i="4"/>
  <c r="K53" i="4" s="1"/>
  <c r="C76" i="7" s="1"/>
  <c r="J54" i="4"/>
  <c r="K54" i="4" s="1"/>
  <c r="J55" i="4"/>
  <c r="K55" i="4" s="1"/>
  <c r="C80" i="7" s="1"/>
  <c r="J56" i="4"/>
  <c r="K56" i="4" s="1"/>
  <c r="C81" i="7" s="1"/>
  <c r="J57" i="4"/>
  <c r="K57" i="4" s="1"/>
  <c r="C82" i="7" s="1"/>
  <c r="J58" i="4"/>
  <c r="J59" i="4"/>
  <c r="J60" i="4"/>
  <c r="K60" i="4" s="1"/>
  <c r="C84" i="7" s="1"/>
  <c r="J61" i="4"/>
  <c r="K61" i="4" s="1"/>
  <c r="C85" i="7" s="1"/>
  <c r="J62" i="4"/>
  <c r="J63" i="4"/>
  <c r="J64" i="4"/>
  <c r="K64" i="4" s="1"/>
  <c r="C87" i="7" s="1"/>
  <c r="J65" i="4"/>
  <c r="K65" i="4" s="1"/>
  <c r="C88" i="7" s="1"/>
  <c r="J66" i="4"/>
  <c r="K66" i="4" s="1"/>
  <c r="C89" i="7" s="1"/>
  <c r="J67" i="4"/>
  <c r="K67" i="4" s="1"/>
  <c r="C90" i="7" s="1"/>
  <c r="J68" i="4"/>
  <c r="K68" i="4" s="1"/>
  <c r="C91" i="7" s="1"/>
  <c r="J69" i="4"/>
  <c r="K69" i="4" s="1"/>
  <c r="J70" i="4"/>
  <c r="K70" i="4" s="1"/>
  <c r="J71" i="4"/>
  <c r="K71" i="4" s="1"/>
  <c r="J72" i="4"/>
  <c r="J73" i="4"/>
  <c r="J74" i="4"/>
  <c r="J75" i="4"/>
  <c r="J76" i="4"/>
  <c r="J77" i="4"/>
  <c r="K77" i="4" s="1"/>
  <c r="C112" i="7" s="1"/>
  <c r="J78" i="4"/>
  <c r="K78" i="4" s="1"/>
  <c r="E8" i="5"/>
  <c r="F10" i="5"/>
  <c r="E10" i="5"/>
  <c r="F11" i="5"/>
  <c r="C36" i="7" s="1"/>
  <c r="E11" i="5"/>
  <c r="F12" i="5"/>
  <c r="C39" i="7" s="1"/>
  <c r="E12" i="5"/>
  <c r="F13" i="5"/>
  <c r="H13" i="5" s="1"/>
  <c r="C42" i="7" s="1"/>
  <c r="E13" i="5"/>
  <c r="E16" i="5"/>
  <c r="G17" i="5"/>
  <c r="H17" i="5" s="1"/>
  <c r="C52" i="7" s="1"/>
  <c r="E17" i="5"/>
  <c r="G21" i="5"/>
  <c r="E21" i="5"/>
  <c r="G22" i="5"/>
  <c r="C59" i="7" s="1"/>
  <c r="E22" i="5"/>
  <c r="G23" i="5"/>
  <c r="H23" i="5" s="1"/>
  <c r="C63" i="7" s="1"/>
  <c r="E23" i="5"/>
  <c r="E31" i="5"/>
  <c r="E32" i="5"/>
  <c r="E34" i="5"/>
  <c r="G36" i="5"/>
  <c r="C98" i="7" s="1"/>
  <c r="E36" i="5"/>
  <c r="F37" i="5"/>
  <c r="C100" i="7" s="1"/>
  <c r="E37" i="5"/>
  <c r="E39" i="5"/>
  <c r="F40" i="5"/>
  <c r="C107" i="7" s="1"/>
  <c r="E40" i="5"/>
  <c r="E42" i="5"/>
  <c r="E50" i="5"/>
  <c r="G52" i="5"/>
  <c r="E52" i="5"/>
  <c r="E54" i="5"/>
  <c r="G56" i="5"/>
  <c r="E56" i="5"/>
  <c r="E59" i="5"/>
  <c r="G61" i="5"/>
  <c r="E61" i="5"/>
  <c r="O6" i="6"/>
  <c r="N7" i="6" s="1"/>
  <c r="N6" i="6"/>
  <c r="M7" i="6" s="1"/>
  <c r="M6" i="6"/>
  <c r="L7" i="6" s="1"/>
  <c r="L6" i="6"/>
  <c r="K7" i="6" s="1"/>
  <c r="K6" i="6"/>
  <c r="J7" i="6" s="1"/>
  <c r="J6" i="6"/>
  <c r="I7" i="6" s="1"/>
  <c r="I6" i="6"/>
  <c r="H7" i="6" s="1"/>
  <c r="H6" i="6"/>
  <c r="G7" i="6" s="1"/>
  <c r="G6" i="6"/>
  <c r="F7" i="6" s="1"/>
  <c r="F6" i="6"/>
  <c r="E7" i="6" s="1"/>
  <c r="E6" i="6"/>
  <c r="D7" i="6" s="1"/>
  <c r="D6" i="6"/>
  <c r="C7" i="6" s="1"/>
  <c r="C12" i="6"/>
  <c r="C11" i="6"/>
  <c r="C10" i="6"/>
  <c r="D12" i="6"/>
  <c r="D11" i="6"/>
  <c r="D10" i="6"/>
  <c r="D14" i="6" s="1"/>
  <c r="E12" i="6"/>
  <c r="E11" i="6"/>
  <c r="E10" i="6"/>
  <c r="E14" i="6" s="1"/>
  <c r="F12" i="6"/>
  <c r="F11" i="6"/>
  <c r="F10" i="6"/>
  <c r="F14" i="6" s="1"/>
  <c r="G12" i="6"/>
  <c r="G11" i="6"/>
  <c r="G10" i="6"/>
  <c r="G14" i="6" s="1"/>
  <c r="H12" i="6"/>
  <c r="H11" i="6"/>
  <c r="H10" i="6"/>
  <c r="H14" i="6" s="1"/>
  <c r="I12" i="6"/>
  <c r="I11" i="6"/>
  <c r="I10" i="6"/>
  <c r="I14" i="6" s="1"/>
  <c r="J12" i="6"/>
  <c r="J11" i="6"/>
  <c r="J10" i="6"/>
  <c r="J14" i="6" s="1"/>
  <c r="K12" i="6"/>
  <c r="K11" i="6"/>
  <c r="K10" i="6"/>
  <c r="K14" i="6" s="1"/>
  <c r="L12" i="6"/>
  <c r="L11" i="6"/>
  <c r="L10" i="6"/>
  <c r="L14" i="6" s="1"/>
  <c r="M12" i="6"/>
  <c r="M11" i="6"/>
  <c r="M10" i="6"/>
  <c r="M14" i="6" s="1"/>
  <c r="N12" i="6"/>
  <c r="N11" i="6"/>
  <c r="N10" i="6"/>
  <c r="N14" i="6" s="1"/>
  <c r="J1" i="11" l="1"/>
  <c r="J1" i="1"/>
  <c r="P4" i="1"/>
  <c r="P5" i="11"/>
  <c r="P6" i="11"/>
  <c r="P7" i="1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4"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F59" i="5"/>
  <c r="F58" i="5" s="1"/>
  <c r="F62" i="5" s="1"/>
  <c r="C135" i="7" s="1"/>
  <c r="F54" i="5"/>
  <c r="F53" i="5" s="1"/>
  <c r="C125" i="7" s="1"/>
  <c r="F50" i="5"/>
  <c r="O10" i="6"/>
  <c r="C14" i="6"/>
  <c r="O11" i="6"/>
  <c r="H60" i="5"/>
  <c r="G58" i="5"/>
  <c r="G62" i="5" s="1"/>
  <c r="C139" i="7" s="1"/>
  <c r="H55" i="5"/>
  <c r="G53" i="5"/>
  <c r="C129" i="7" s="1"/>
  <c r="C123" i="7"/>
  <c r="G57" i="5"/>
  <c r="H51" i="5"/>
  <c r="C120" i="7"/>
  <c r="F57" i="5"/>
  <c r="C56" i="7"/>
  <c r="H20" i="5"/>
  <c r="C34" i="7"/>
  <c r="H9" i="5"/>
  <c r="C40" i="7" s="1"/>
  <c r="K75" i="4"/>
  <c r="C111" i="7" s="1"/>
  <c r="K72" i="4"/>
  <c r="K62" i="4"/>
  <c r="C86" i="7" s="1"/>
  <c r="L25" i="8"/>
  <c r="F25" i="8"/>
  <c r="M22" i="8"/>
  <c r="K22" i="8"/>
  <c r="K58" i="4"/>
  <c r="J80" i="4"/>
  <c r="K50" i="4"/>
  <c r="K43" i="4"/>
  <c r="K34" i="4"/>
  <c r="C70" i="7" s="1"/>
  <c r="J48" i="4"/>
  <c r="K33" i="4"/>
  <c r="K21" i="4"/>
  <c r="K18" i="4"/>
  <c r="J31" i="4"/>
  <c r="K17" i="4"/>
  <c r="K4" i="4"/>
  <c r="J15" i="4"/>
  <c r="K3" i="4"/>
  <c r="K15" i="4" l="1"/>
  <c r="F8" i="5"/>
  <c r="F15" i="4"/>
  <c r="I10" i="8"/>
  <c r="C27" i="7"/>
  <c r="K31" i="4"/>
  <c r="G16" i="5"/>
  <c r="F31" i="4"/>
  <c r="H19" i="8"/>
  <c r="C46" i="7"/>
  <c r="I13" i="8"/>
  <c r="C48" i="7"/>
  <c r="K48" i="4"/>
  <c r="G31" i="5"/>
  <c r="F48" i="4"/>
  <c r="C103" i="7"/>
  <c r="G39" i="5"/>
  <c r="C105" i="7" s="1"/>
  <c r="K80" i="4"/>
  <c r="F32" i="5"/>
  <c r="F80" i="4"/>
  <c r="K25" i="8"/>
  <c r="E25" i="8"/>
  <c r="C83" i="7"/>
  <c r="F34" i="5"/>
  <c r="C92" i="7" s="1"/>
  <c r="C110" i="7"/>
  <c r="F42" i="5"/>
  <c r="C113" i="7" s="1"/>
  <c r="C60" i="7"/>
  <c r="H24" i="5"/>
  <c r="C131" i="7"/>
  <c r="F63" i="5"/>
  <c r="C141" i="7" s="1"/>
  <c r="C122" i="7"/>
  <c r="A122" i="7" s="1"/>
  <c r="C121" i="7"/>
  <c r="C133" i="7"/>
  <c r="G63" i="5"/>
  <c r="C143" i="7" s="1"/>
  <c r="H57" i="5"/>
  <c r="C128" i="7"/>
  <c r="A128" i="7" s="1"/>
  <c r="H53" i="5"/>
  <c r="C126" i="7" s="1"/>
  <c r="C138" i="7"/>
  <c r="A138" i="7" s="1"/>
  <c r="H58" i="5"/>
  <c r="H62" i="5" s="1"/>
  <c r="C136" i="7" s="1"/>
  <c r="O14" i="6"/>
  <c r="C132" i="7" l="1"/>
  <c r="H63" i="5"/>
  <c r="C142" i="7" s="1"/>
  <c r="C64" i="7"/>
  <c r="A47" i="5"/>
  <c r="C77" i="7"/>
  <c r="F44" i="5"/>
  <c r="C72" i="7"/>
  <c r="G44" i="5"/>
  <c r="H33" i="5"/>
  <c r="G25" i="5"/>
  <c r="H18" i="5"/>
  <c r="H16" i="5"/>
  <c r="C50" i="7" s="1"/>
  <c r="F1" i="4"/>
  <c r="F14" i="5"/>
  <c r="H8" i="5"/>
  <c r="C31" i="7" l="1"/>
  <c r="H14" i="5"/>
  <c r="C53" i="7"/>
  <c r="H25" i="5"/>
  <c r="C78" i="7"/>
  <c r="H35" i="5"/>
  <c r="A44" i="5"/>
  <c r="C93" i="7" l="1"/>
  <c r="H38" i="5"/>
  <c r="C65" i="7"/>
  <c r="A25" i="5"/>
  <c r="C43" i="7"/>
  <c r="A14" i="5"/>
  <c r="A1" i="5" s="1"/>
  <c r="A4" i="5"/>
  <c r="B4" i="5" s="1"/>
  <c r="C101" i="7" l="1"/>
  <c r="H41" i="5"/>
  <c r="C108" i="7" l="1"/>
  <c r="H43" i="5"/>
  <c r="C114" i="7" l="1"/>
  <c r="A28" i="5"/>
  <c r="B28" i="5" s="1"/>
  <c r="C9" i="7"/>
  <c r="I47" i="5"/>
  <c r="C10" i="7"/>
  <c r="J47" i="5"/>
</calcChain>
</file>

<file path=xl/sharedStrings.xml><?xml version="1.0" encoding="utf-8"?>
<sst xmlns="http://schemas.openxmlformats.org/spreadsheetml/2006/main" count="1027" uniqueCount="797">
  <si>
    <t>年-月-日</t>
  </si>
  <si>
    <t>取引</t>
  </si>
  <si>
    <t>科目ID</t>
  </si>
  <si>
    <t>適用</t>
  </si>
  <si>
    <t>品番</t>
  </si>
  <si>
    <t>出庫数</t>
  </si>
  <si>
    <t>入庫数</t>
  </si>
  <si>
    <t>勘定科目</t>
  </si>
  <si>
    <t>借方残高</t>
  </si>
  <si>
    <t>貸方残高</t>
  </si>
  <si>
    <t>前期繰越</t>
  </si>
  <si>
    <t>相手科目</t>
  </si>
  <si>
    <t>品名</t>
  </si>
  <si>
    <t>　</t>
  </si>
  <si>
    <t>健康保険料改定</t>
  </si>
  <si>
    <t>子育て拠出金改定</t>
  </si>
  <si>
    <t>決算整理仕訳</t>
  </si>
  <si>
    <t>資本振替</t>
  </si>
  <si>
    <t>合計</t>
  </si>
  <si>
    <t>こぶり会計帳簿</t>
  </si>
  <si>
    <t>単位</t>
  </si>
  <si>
    <t>期首残数</t>
  </si>
  <si>
    <t>期末残数</t>
  </si>
  <si>
    <t>仕入単価</t>
  </si>
  <si>
    <t>期末棚卸高</t>
  </si>
  <si>
    <t>帳簿残数</t>
  </si>
  <si>
    <t>差異</t>
  </si>
  <si>
    <t>差異の要因</t>
  </si>
  <si>
    <r>
      <rPr>
        <sz val="10"/>
        <color rgb="FF000000"/>
        <rFont val="游ゴシック"/>
      </rPr>
      <t>商品1</t>
    </r>
  </si>
  <si>
    <t>個</t>
  </si>
  <si>
    <r>
      <rPr>
        <sz val="10"/>
        <color rgb="FF000000"/>
        <rFont val="游ゴシック"/>
      </rPr>
      <t>商品2</t>
    </r>
  </si>
  <si>
    <t>科目名又は項目名</t>
  </si>
  <si>
    <t>親科目</t>
  </si>
  <si>
    <t>項目</t>
  </si>
  <si>
    <t>内容、取引先、固定資産登録等</t>
  </si>
  <si>
    <t>借方合計</t>
  </si>
  <si>
    <t>貸方合計</t>
  </si>
  <si>
    <t>残高</t>
  </si>
  <si>
    <t>科目残高</t>
  </si>
  <si>
    <t>親子残高</t>
  </si>
  <si>
    <t>流動資産</t>
  </si>
  <si>
    <t>現金及び預金</t>
  </si>
  <si>
    <t>普通預金 ゆうちょ銀行</t>
  </si>
  <si>
    <t>未収入金</t>
  </si>
  <si>
    <t>売掛金</t>
  </si>
  <si>
    <t>商品</t>
  </si>
  <si>
    <t>有形固定資産</t>
  </si>
  <si>
    <t>無形固定資産</t>
  </si>
  <si>
    <t>投資その他の資産</t>
  </si>
  <si>
    <t>投資有価証券</t>
  </si>
  <si>
    <t>繰延資産</t>
  </si>
  <si>
    <t>資産の部　合計</t>
  </si>
  <si>
    <t>流動負債</t>
  </si>
  <si>
    <t>役員からの短期借入金</t>
  </si>
  <si>
    <r>
      <rPr>
        <sz val="10"/>
        <color rgb="FF000000"/>
        <rFont val="游ゴシック"/>
      </rPr>
      <t>役員からの短期借入金 1</t>
    </r>
  </si>
  <si>
    <r>
      <rPr>
        <sz val="10"/>
        <color rgb="FF000000"/>
        <rFont val="游ゴシック"/>
      </rPr>
      <t>役員 1</t>
    </r>
  </si>
  <si>
    <t>未払金</t>
  </si>
  <si>
    <t>預り金</t>
  </si>
  <si>
    <t>役員等の社会保険料徴収・源泉徴収・特別徴収</t>
  </si>
  <si>
    <r>
      <rPr>
        <sz val="10"/>
        <color rgb="FF000000"/>
        <rFont val="游ゴシック"/>
      </rPr>
      <t>社保預り金 1</t>
    </r>
  </si>
  <si>
    <t>買掛金</t>
  </si>
  <si>
    <t>固定負債</t>
  </si>
  <si>
    <t>資本金</t>
  </si>
  <si>
    <t>利益剰余金</t>
  </si>
  <si>
    <t>繰越利益剰余金</t>
  </si>
  <si>
    <t>評価・換算差額等</t>
  </si>
  <si>
    <t>その他有価証券評価差額金</t>
  </si>
  <si>
    <t>負債及び純資産の部　合計</t>
  </si>
  <si>
    <t>売上高</t>
  </si>
  <si>
    <t>売上</t>
  </si>
  <si>
    <r>
      <rPr>
        <sz val="10"/>
        <color rgb="FF000000"/>
        <rFont val="游ゴシック"/>
      </rPr>
      <t>消費税率 10%</t>
    </r>
  </si>
  <si>
    <r>
      <rPr>
        <sz val="10"/>
        <color rgb="FF000000"/>
        <rFont val="游ゴシック"/>
      </rPr>
      <t>売上 第2種</t>
    </r>
  </si>
  <si>
    <r>
      <rPr>
        <sz val="10"/>
        <color rgb="FF000000"/>
        <rFont val="游ゴシック"/>
      </rPr>
      <t>小売 (みなし仕入率 80%)</t>
    </r>
  </si>
  <si>
    <r>
      <rPr>
        <sz val="10"/>
        <color rgb="FF000000"/>
        <rFont val="游ゴシック"/>
      </rPr>
      <t>売上 第5種</t>
    </r>
  </si>
  <si>
    <r>
      <rPr>
        <sz val="10"/>
        <color rgb="FF000000"/>
        <rFont val="游ゴシック"/>
      </rPr>
      <t>役務 (みなし仕入率 50%)</t>
    </r>
  </si>
  <si>
    <t>非課税・不課税売上</t>
  </si>
  <si>
    <t>簡易課税の場合は非課税と不課税を区別する必要なし</t>
  </si>
  <si>
    <t>営業外収益</t>
  </si>
  <si>
    <t>受取利息</t>
  </si>
  <si>
    <r>
      <rPr>
        <sz val="10"/>
        <color rgb="FF000000"/>
        <rFont val="游ゴシック"/>
      </rPr>
      <t>税引前の額　税引き後の額を収益とし、税を0にする方法でも可</t>
    </r>
  </si>
  <si>
    <t>受取配当金</t>
  </si>
  <si>
    <t>税引前の額　国内株式 被支配目的株式は益金不算入 20% 購入後の初回の配当では保有期間で減率</t>
  </si>
  <si>
    <t>受取家賃</t>
  </si>
  <si>
    <t>社宅家賃</t>
  </si>
  <si>
    <t>特別利益</t>
  </si>
  <si>
    <t>投資有価証券売却益</t>
  </si>
  <si>
    <t>投資有価証券　売却対価</t>
  </si>
  <si>
    <t>売却投資有価証券　簿価</t>
  </si>
  <si>
    <r>
      <rPr>
        <sz val="10"/>
        <color rgb="FF000000"/>
        <rFont val="游ゴシック"/>
      </rPr>
      <t>売却時: 売却した投資有価証券が貸方、売却投資有価証券　簿価が借方</t>
    </r>
  </si>
  <si>
    <t>債務免除益</t>
  </si>
  <si>
    <t>収益の部　合計</t>
  </si>
  <si>
    <t>売上原価</t>
  </si>
  <si>
    <t>仕入</t>
  </si>
  <si>
    <t>商品期首棚卸高</t>
  </si>
  <si>
    <r>
      <rPr>
        <sz val="10"/>
        <color rgb="FF000000"/>
        <rFont val="游ゴシック"/>
      </rPr>
      <t>開始仕訳: 商品が貸方、商品期首棚卸高が借方</t>
    </r>
  </si>
  <si>
    <t>商品期末棚卸高</t>
  </si>
  <si>
    <r>
      <rPr>
        <sz val="10"/>
        <color rgb="FF000000"/>
        <rFont val="游ゴシック"/>
      </rPr>
      <t>決算整理: 商品が借方、商品期末棚卸高が貸方</t>
    </r>
  </si>
  <si>
    <t>販売費及び一般管理費</t>
  </si>
  <si>
    <t>荷造及び発送費</t>
  </si>
  <si>
    <t>支払手数料</t>
  </si>
  <si>
    <t>源泉徴収不要</t>
  </si>
  <si>
    <t>支払報酬</t>
  </si>
  <si>
    <t>源泉徴収必要</t>
  </si>
  <si>
    <t>役員報酬</t>
  </si>
  <si>
    <t>源泉徴収は条件によって必要、特別徴収は課せられた場合に必要</t>
  </si>
  <si>
    <r>
      <rPr>
        <sz val="10"/>
        <color rgb="FF000000"/>
        <rFont val="游ゴシック"/>
      </rPr>
      <t>役員報酬 1</t>
    </r>
  </si>
  <si>
    <t>法定福利費</t>
  </si>
  <si>
    <t>地代家賃</t>
  </si>
  <si>
    <t>借り上げ社宅家賃・コワーキングスペース定期利用料金等</t>
  </si>
  <si>
    <t>租税公課</t>
  </si>
  <si>
    <t>消費税等</t>
  </si>
  <si>
    <t>損金不算入　加算税・延滞税等</t>
  </si>
  <si>
    <t>通信費</t>
  </si>
  <si>
    <t>ネット関連費用等</t>
  </si>
  <si>
    <t>旅費及び交通費</t>
  </si>
  <si>
    <t>交際費</t>
  </si>
  <si>
    <t>消耗品費</t>
  </si>
  <si>
    <t>図書費</t>
  </si>
  <si>
    <t>新聞・ネット購読料等</t>
  </si>
  <si>
    <t>営業外費用</t>
  </si>
  <si>
    <t>特別損失</t>
  </si>
  <si>
    <t>法人税、住民税及び事業税</t>
  </si>
  <si>
    <t>法人所得税等</t>
  </si>
  <si>
    <t>損金不算入</t>
  </si>
  <si>
    <t>源泉所得税</t>
  </si>
  <si>
    <r>
      <rPr>
        <sz val="10"/>
        <color rgb="FF000000"/>
        <rFont val="游ゴシック"/>
      </rPr>
      <t>損金不算入　法人口座の利子·配当に課税</t>
    </r>
  </si>
  <si>
    <t>法人税等還付税額</t>
  </si>
  <si>
    <t>益金不算入　貸方に仕訳</t>
  </si>
  <si>
    <t>法人県民税等</t>
  </si>
  <si>
    <t>法人事業税等</t>
  </si>
  <si>
    <t>損金算入</t>
  </si>
  <si>
    <t>法人市民税</t>
  </si>
  <si>
    <r>
      <rPr>
        <sz val="10"/>
        <color rgb="FF000000"/>
        <rFont val="游ゴシック"/>
      </rPr>
      <t>当期純利益又は損失(-)</t>
    </r>
  </si>
  <si>
    <t>当期純利益を含む費用の部　合計</t>
  </si>
  <si>
    <t>全合計</t>
  </si>
  <si>
    <t>財務諸表</t>
  </si>
  <si>
    <t>部名</t>
  </si>
  <si>
    <t>項目名</t>
  </si>
  <si>
    <t>項目・部合計</t>
  </si>
  <si>
    <t>資産</t>
  </si>
  <si>
    <t>固定資産</t>
  </si>
  <si>
    <t>資産合計</t>
  </si>
  <si>
    <t>負債</t>
  </si>
  <si>
    <t>負債合計</t>
  </si>
  <si>
    <t>純資産</t>
  </si>
  <si>
    <t>社員資本</t>
  </si>
  <si>
    <t>純資産合計</t>
  </si>
  <si>
    <t>負債及び純資産合計</t>
  </si>
  <si>
    <t>費用</t>
  </si>
  <si>
    <t>収益</t>
  </si>
  <si>
    <t>利益</t>
  </si>
  <si>
    <r>
      <rPr>
        <sz val="10"/>
        <color rgb="FF000000"/>
        <rFont val="游ゴシック"/>
      </rPr>
      <t>売上総利益又は損失(-)</t>
    </r>
  </si>
  <si>
    <r>
      <rPr>
        <sz val="10"/>
        <color rgb="FF000000"/>
        <rFont val="游ゴシック"/>
      </rPr>
      <t>営業利益又は損失(-)</t>
    </r>
  </si>
  <si>
    <r>
      <rPr>
        <sz val="10"/>
        <color rgb="FF000000"/>
        <rFont val="游ゴシック"/>
      </rPr>
      <t>経常利益又は損失(-)</t>
    </r>
  </si>
  <si>
    <t xml:space="preserve">               </t>
  </si>
  <si>
    <r>
      <rPr>
        <sz val="10"/>
        <color rgb="FF000000"/>
        <rFont val="游ゴシック"/>
      </rPr>
      <t>税引前当期純利益又は損失(-)</t>
    </r>
  </si>
  <si>
    <t>費用の合計、収益の合計</t>
  </si>
  <si>
    <t>社員資本等変動計算書</t>
  </si>
  <si>
    <t>当期首残高</t>
  </si>
  <si>
    <t>当期末残高</t>
  </si>
  <si>
    <t>当期変動額</t>
  </si>
  <si>
    <t>当期首</t>
  </si>
  <si>
    <t>内訳</t>
  </si>
  <si>
    <t>資本金の額の増加</t>
  </si>
  <si>
    <t>当期末</t>
  </si>
  <si>
    <t>当期純利益</t>
  </si>
  <si>
    <t>社員資本合計</t>
  </si>
  <si>
    <t>当期変動額（純額）</t>
  </si>
  <si>
    <t>評価・換算差額等合計</t>
  </si>
  <si>
    <t>入力欄</t>
  </si>
  <si>
    <t>タイトル欄</t>
  </si>
  <si>
    <t>合計欄</t>
  </si>
  <si>
    <r>
      <rPr>
        <sz val="10"/>
        <color rgb="FF000000"/>
        <rFont val="游ゴシック"/>
      </rPr>
      <t>　1:借方合計　2:貸方合計　3:借方合計−貸方合計　4:借方合計+貸方合計　(※ 貸方合計−借方合計 を調べる場合は 3 を入力して結果の符号を反転)</t>
    </r>
  </si>
  <si>
    <t>期首日後退日数</t>
  </si>
  <si>
    <r>
      <rPr>
        <sz val="10"/>
        <color rgb="FF000000"/>
        <rFont val="游ゴシック"/>
      </rPr>
      <t>※ 負の数は前進日数　(例: 本来の期首日が1月1日だとすると、−1 を入れる事で前年12月31日を期首日として計算)</t>
    </r>
  </si>
  <si>
    <t>期首から空白にする月数</t>
  </si>
  <si>
    <r>
      <rPr>
        <sz val="10"/>
        <color rgb="FF000000"/>
        <rFont val="游ゴシック"/>
      </rPr>
      <t>※ 空白にした月の値は合計されない　(例: 3 を入力すると、第1月、第2月、第3月 が空白になる)</t>
    </r>
  </si>
  <si>
    <t>期末まで空白にする月数</t>
  </si>
  <si>
    <r>
      <rPr>
        <sz val="10"/>
        <color rgb="FF000000"/>
        <rFont val="游ゴシック"/>
      </rPr>
      <t>※ 空白にした月の値は合計されない　(例: 3 を入力すると、第10月、第11月、第12月 が空白になる)</t>
    </r>
  </si>
  <si>
    <t>期間 自</t>
  </si>
  <si>
    <t>期間 至</t>
  </si>
  <si>
    <r>
      <rPr>
        <sz val="10"/>
        <color rgb="FF000000"/>
        <rFont val="游ゴシック"/>
      </rPr>
      <t>科目ID</t>
    </r>
  </si>
  <si>
    <t>科目名</t>
  </si>
  <si>
    <t>rem</t>
  </si>
  <si>
    <t>種別又は勘定科目名　(半角及び全角)</t>
  </si>
  <si>
    <t>内容又は金額等　区分がT：空白、区分が1：(半角16文字以内、数字、桁区切り不可)、区分が2： (半角及び全角)</t>
  </si>
  <si>
    <t>区分</t>
  </si>
  <si>
    <t>階層</t>
  </si>
  <si>
    <t>科目コード</t>
  </si>
  <si>
    <t>財務諸表のＣＳＶ形式データの作成方法　情報全般</t>
  </si>
  <si>
    <t>https://www.e-tax.nta.go.jp/hojin/gimuka/csv_jyoho4.htm</t>
  </si>
  <si>
    <r>
      <rPr>
        <sz val="10"/>
        <color rgb="FF000000"/>
        <rFont val="游ゴシック"/>
      </rPr>
      <t xml:space="preserve">CSV形式データのレコードの内容等 </t>
    </r>
  </si>
  <si>
    <t>https://www.e-tax.nta.go.jp/hojin/gimuka/csv_jyoho4_5_1.pdf</t>
  </si>
  <si>
    <t>勘定科目コード表に記載のない勘定科目コードの設定方法</t>
  </si>
  <si>
    <t>https://www.e-tax.nta.go.jp/hojin/gimuka/csv_jyoho4_5_2.pdf</t>
  </si>
  <si>
    <r>
      <rPr>
        <sz val="10"/>
        <color rgb="FF000000"/>
        <rFont val="游ゴシック"/>
      </rPr>
      <t>CSVファイルチェックコーナーを利用する</t>
    </r>
  </si>
  <si>
    <t>https://clientweb.e-tax.nta.go.jp/UF_WEB_OP/WP000/FCSECS010/SECS0010SCR.do</t>
  </si>
  <si>
    <t>A</t>
  </si>
  <si>
    <t>NT</t>
  </si>
  <si>
    <t>B</t>
  </si>
  <si>
    <t>全角文字のみで記録願います合同会社</t>
  </si>
  <si>
    <t>C1</t>
  </si>
  <si>
    <t>C2</t>
  </si>
  <si>
    <t>個別注記表</t>
  </si>
  <si>
    <t>【重要な会計方針に係る事項に関する注記】</t>
  </si>
  <si>
    <t>NT0101</t>
  </si>
  <si>
    <t>【資産の評価基準及び評価方法】</t>
  </si>
  <si>
    <t>NT0202</t>
  </si>
  <si>
    <t>【有価証券の評価基準及び評価方法】</t>
  </si>
  <si>
    <t>（その他有価証券）期末時点での市場価格によります。</t>
  </si>
  <si>
    <t>NT0203</t>
  </si>
  <si>
    <t>同上</t>
  </si>
  <si>
    <t>（評価差額）税効果を考慮しない全部純資産直入法によります。</t>
  </si>
  <si>
    <t>NT0203-1</t>
  </si>
  <si>
    <t>【たな卸資産の評価基準及び評価方法】</t>
  </si>
  <si>
    <t>最終仕入原価法によります。</t>
  </si>
  <si>
    <t>NT0204</t>
  </si>
  <si>
    <t>【収益及び費用の計上基準】</t>
  </si>
  <si>
    <t>（売上）出荷基準によります。</t>
  </si>
  <si>
    <t>NT0207</t>
  </si>
  <si>
    <t>（仕入）入荷基準によります。</t>
  </si>
  <si>
    <t>NT0207-1</t>
  </si>
  <si>
    <r>
      <rPr>
        <sz val="10"/>
        <color rgb="FF000000"/>
        <rFont val="游ゴシック"/>
      </rPr>
      <t>（費用）役員報酬、法定福利費、法人税等は納付(支払)時に計上します。</t>
    </r>
  </si>
  <si>
    <t>NT0207-2</t>
  </si>
  <si>
    <t>（収益）還付金は還付時に計上します。</t>
  </si>
  <si>
    <t>NT0207-3</t>
  </si>
  <si>
    <t>【その他計算書類の作成のための基本となる重要な事項】</t>
  </si>
  <si>
    <t>消費税等の会計処理は税込み方式によります。</t>
  </si>
  <si>
    <t>NT0208</t>
  </si>
  <si>
    <t>BS</t>
  </si>
  <si>
    <t>貸借対照表</t>
  </si>
  <si>
    <t>【資産の部】</t>
  </si>
  <si>
    <t>T</t>
  </si>
  <si>
    <t>10A000010</t>
  </si>
  <si>
    <t>【流動資産】</t>
  </si>
  <si>
    <t>10A100010</t>
  </si>
  <si>
    <t>10A100020</t>
  </si>
  <si>
    <t>10A100670</t>
  </si>
  <si>
    <t>10A100090</t>
  </si>
  <si>
    <t>10A100280</t>
  </si>
  <si>
    <t>流動資産（合計）</t>
  </si>
  <si>
    <t>10A101160</t>
  </si>
  <si>
    <t>【固定資産】</t>
  </si>
  <si>
    <t>10A200010</t>
  </si>
  <si>
    <t>【有形固定資産】</t>
  </si>
  <si>
    <t>10A210010</t>
  </si>
  <si>
    <t>有形固定資産（合計）</t>
  </si>
  <si>
    <t>10A210950</t>
  </si>
  <si>
    <t>【無形固定資産】</t>
  </si>
  <si>
    <t>10A220010</t>
  </si>
  <si>
    <t>無形固定資産（合計）</t>
  </si>
  <si>
    <t>10A220330</t>
  </si>
  <si>
    <t>【投資その他の資産】</t>
  </si>
  <si>
    <t>10A230010</t>
  </si>
  <si>
    <t>10A230030</t>
  </si>
  <si>
    <t>投資その他の資産（合計）</t>
  </si>
  <si>
    <t>10A230880</t>
  </si>
  <si>
    <t>固定資産（合計）</t>
  </si>
  <si>
    <t>10A200020</t>
  </si>
  <si>
    <t>【繰延資産】</t>
  </si>
  <si>
    <t>10A300010</t>
  </si>
  <si>
    <t>繰延資産（合計）</t>
  </si>
  <si>
    <t>10A300080</t>
  </si>
  <si>
    <t>資産の部（合計）</t>
  </si>
  <si>
    <t>10A000020</t>
  </si>
  <si>
    <t>【負債の部】</t>
  </si>
  <si>
    <t>10B000010</t>
  </si>
  <si>
    <t>【流動負債】</t>
  </si>
  <si>
    <t>10B100010</t>
  </si>
  <si>
    <t>10B100930</t>
  </si>
  <si>
    <t>10B100630</t>
  </si>
  <si>
    <t>10B100690</t>
  </si>
  <si>
    <t>10B100040</t>
  </si>
  <si>
    <t>流動負債（合計）</t>
  </si>
  <si>
    <t>10B101070</t>
  </si>
  <si>
    <t>【固定負債】</t>
  </si>
  <si>
    <t>10B200010</t>
  </si>
  <si>
    <t>固定負債（合計）</t>
  </si>
  <si>
    <t>10B200670</t>
  </si>
  <si>
    <t>負債の部（合計）</t>
  </si>
  <si>
    <t>10B000020</t>
  </si>
  <si>
    <t>【純資産の部】</t>
  </si>
  <si>
    <t>10C000010</t>
  </si>
  <si>
    <t>【社員資本】</t>
  </si>
  <si>
    <t>10C100010</t>
  </si>
  <si>
    <t>10C110010</t>
  </si>
  <si>
    <t>【利益剰余金】</t>
  </si>
  <si>
    <t>10C130010</t>
  </si>
  <si>
    <t>10C130370</t>
  </si>
  <si>
    <t>利益剰余金（合計）</t>
  </si>
  <si>
    <t>10C130390</t>
  </si>
  <si>
    <t>社員資本（合計）</t>
  </si>
  <si>
    <t>10C100040</t>
  </si>
  <si>
    <t>【評価・換算差額等】</t>
  </si>
  <si>
    <t>10C200010</t>
  </si>
  <si>
    <t>10C200020</t>
  </si>
  <si>
    <t>評価・換算差額等（合計）</t>
  </si>
  <si>
    <t>10C200070</t>
  </si>
  <si>
    <t>純資産の部（合計）</t>
  </si>
  <si>
    <t>10C000030</t>
  </si>
  <si>
    <t>負債純資産の部（合計）</t>
  </si>
  <si>
    <t>10C000040</t>
  </si>
  <si>
    <t>PL</t>
  </si>
  <si>
    <t>損益計算書</t>
  </si>
  <si>
    <t>【売上高】</t>
  </si>
  <si>
    <t>10D100020</t>
  </si>
  <si>
    <t>10D100100</t>
  </si>
  <si>
    <t>10D100650</t>
  </si>
  <si>
    <t>売上高（合計）</t>
  </si>
  <si>
    <t>10D100030</t>
  </si>
  <si>
    <t>【売上原価】</t>
  </si>
  <si>
    <t>10E100020</t>
  </si>
  <si>
    <t>10E100110</t>
  </si>
  <si>
    <t>10E100100</t>
  </si>
  <si>
    <t>10E100140</t>
  </si>
  <si>
    <t>売上原価（合計）</t>
  </si>
  <si>
    <t>10E100030</t>
  </si>
  <si>
    <t>売上総利益又は売上総損失（▲）</t>
  </si>
  <si>
    <t>10F000010</t>
  </si>
  <si>
    <t>【販売費及び一般管理費】</t>
  </si>
  <si>
    <t>10E110010</t>
  </si>
  <si>
    <t>10E110910</t>
  </si>
  <si>
    <t>10E110690</t>
  </si>
  <si>
    <t>10E110600</t>
  </si>
  <si>
    <t>10E110090</t>
  </si>
  <si>
    <t>10E110540</t>
  </si>
  <si>
    <t>10E110720</t>
  </si>
  <si>
    <t>10E110210</t>
  </si>
  <si>
    <t>10E110180</t>
  </si>
  <si>
    <t>10E111230</t>
  </si>
  <si>
    <t>10E110150</t>
  </si>
  <si>
    <t>10E110200</t>
  </si>
  <si>
    <t>10E111160</t>
  </si>
  <si>
    <t>販売費及び一般管理費（合計）</t>
  </si>
  <si>
    <t>10E111330</t>
  </si>
  <si>
    <t>営業利益又は営業損失（▲）</t>
  </si>
  <si>
    <t>10F000110</t>
  </si>
  <si>
    <t>【営業外収益】</t>
  </si>
  <si>
    <t>10D200010</t>
  </si>
  <si>
    <t>10D200020</t>
  </si>
  <si>
    <t>10D200040</t>
  </si>
  <si>
    <t>10D200390</t>
  </si>
  <si>
    <t>営業外収益（合計）</t>
  </si>
  <si>
    <t>10D200740</t>
  </si>
  <si>
    <t>【営業外費用】</t>
  </si>
  <si>
    <t>10E300010</t>
  </si>
  <si>
    <t>営業外費用（合計）</t>
  </si>
  <si>
    <t>10E300910</t>
  </si>
  <si>
    <t>経常利益又は経常損失（▲）</t>
  </si>
  <si>
    <t>10F000130</t>
  </si>
  <si>
    <t>【特別利益】</t>
  </si>
  <si>
    <t>10D300010</t>
  </si>
  <si>
    <t>10D300130</t>
  </si>
  <si>
    <t>10D300650</t>
  </si>
  <si>
    <t>特別利益（合計）</t>
  </si>
  <si>
    <t>10D300670</t>
  </si>
  <si>
    <t>【特別損失】</t>
  </si>
  <si>
    <t>10E400010</t>
  </si>
  <si>
    <t>特別損失（合計）</t>
  </si>
  <si>
    <t>10E401090</t>
  </si>
  <si>
    <t>税引前当期純利益又は税引前当期純損失（▲）</t>
  </si>
  <si>
    <t>10F000150</t>
  </si>
  <si>
    <t>【法人税、住民税及び事業税】</t>
  </si>
  <si>
    <t>10F100060-1</t>
  </si>
  <si>
    <t>10F100070-1</t>
  </si>
  <si>
    <t>10F100070-2</t>
  </si>
  <si>
    <t>10F100070-3</t>
  </si>
  <si>
    <t>法人税、住民税及び事業税（合計）</t>
  </si>
  <si>
    <t>10F100070</t>
  </si>
  <si>
    <t>当期純利益又は当期純損失（▲）</t>
  </si>
  <si>
    <t>10F000160</t>
  </si>
  <si>
    <t>SE</t>
  </si>
  <si>
    <t>SE0100</t>
  </si>
  <si>
    <t>【資本金】</t>
  </si>
  <si>
    <t>SE0200</t>
  </si>
  <si>
    <t>SE0201</t>
  </si>
  <si>
    <t>当期変動額（合計）</t>
  </si>
  <si>
    <t>SE0298</t>
  </si>
  <si>
    <t>SE0203</t>
  </si>
  <si>
    <t>SE0299</t>
  </si>
  <si>
    <t>SE0700</t>
  </si>
  <si>
    <t>SE2001</t>
  </si>
  <si>
    <t>SE2098</t>
  </si>
  <si>
    <t>【繰越利益剰余金】</t>
  </si>
  <si>
    <t>SE2000</t>
  </si>
  <si>
    <t>SE2006</t>
  </si>
  <si>
    <t>SE2099</t>
  </si>
  <si>
    <t>【社員資本合計】</t>
  </si>
  <si>
    <t>SE2300</t>
  </si>
  <si>
    <t>SE2301</t>
  </si>
  <si>
    <t>SE2398</t>
  </si>
  <si>
    <t>SE2399</t>
  </si>
  <si>
    <t>SE2400</t>
  </si>
  <si>
    <t>SE2501</t>
  </si>
  <si>
    <t>SE2598</t>
  </si>
  <si>
    <t>【その他有価証券評価差額金】</t>
  </si>
  <si>
    <t>SE2500</t>
  </si>
  <si>
    <t>社員資本以外の項目の当期変動額（純額）</t>
  </si>
  <si>
    <t>SE2510</t>
  </si>
  <si>
    <t>SE2599</t>
  </si>
  <si>
    <t>【純資産合計】</t>
  </si>
  <si>
    <t>SE3100</t>
  </si>
  <si>
    <t>SE3101</t>
  </si>
  <si>
    <t>SE3198</t>
  </si>
  <si>
    <t>SE3199</t>
  </si>
  <si>
    <t>ファイル名</t>
  </si>
  <si>
    <t>科目</t>
  </si>
  <si>
    <t>項番3</t>
  </si>
  <si>
    <t>項番4</t>
  </si>
  <si>
    <t>項番5</t>
  </si>
  <si>
    <t>項番6</t>
  </si>
  <si>
    <t>項番7</t>
  </si>
  <si>
    <t>項番8</t>
  </si>
  <si>
    <t>項番9</t>
  </si>
  <si>
    <t>項番10</t>
  </si>
  <si>
    <t>項番11</t>
  </si>
  <si>
    <t>項番12</t>
  </si>
  <si>
    <t>項番13</t>
  </si>
  <si>
    <t>項番14</t>
  </si>
  <si>
    <t>項番15</t>
  </si>
  <si>
    <t>項番16</t>
  </si>
  <si>
    <t>項番17</t>
  </si>
  <si>
    <t>項番18</t>
  </si>
  <si>
    <t>項番19</t>
  </si>
  <si>
    <t>勘定科目内訳明細書のＣＳＶ形式データの作成方法　情報全般</t>
  </si>
  <si>
    <t>https://www.e-tax.nta.go.jp/hojin/gimuka/csv_jyoho2.htm</t>
  </si>
  <si>
    <t>レコードの内容及び留意事項</t>
  </si>
  <si>
    <t>https://www.e-tax.nta.go.jp/hojin/gimuka/csv_jyoho1/2/all2.pdf</t>
  </si>
  <si>
    <t>①預貯金等</t>
  </si>
  <si>
    <t>金融機関名</t>
  </si>
  <si>
    <t>支店名</t>
  </si>
  <si>
    <t>口座種類</t>
  </si>
  <si>
    <t>口座番号</t>
  </si>
  <si>
    <t>期末現在高</t>
  </si>
  <si>
    <t>HOI010_4.0</t>
  </si>
  <si>
    <t>1</t>
  </si>
  <si>
    <t>0</t>
  </si>
  <si>
    <t>「銀行」は不要</t>
  </si>
  <si>
    <t>「支店」は不要</t>
  </si>
  <si>
    <t>普通</t>
  </si>
  <si>
    <t>819-575</t>
  </si>
  <si>
    <t>null</t>
  </si>
  <si>
    <t>期末現在高 合計</t>
  </si>
  <si>
    <r>
      <rPr>
        <sz val="10"/>
        <color rgb="FF000000"/>
        <rFont val="游ゴシック"/>
      </rPr>
      <t>⑩仮受金(前受金・預り金)</t>
    </r>
  </si>
  <si>
    <t>相手先 名称</t>
  </si>
  <si>
    <t>相手先 所在地</t>
  </si>
  <si>
    <t>相手先 関係</t>
  </si>
  <si>
    <t>HOI100_5.0</t>
  </si>
  <si>
    <t>10-1</t>
  </si>
  <si>
    <t>社会保険各被保険者</t>
  </si>
  <si>
    <t>社会保険各被保険者の住所</t>
  </si>
  <si>
    <t>当社役員</t>
  </si>
  <si>
    <t>社保預り金</t>
  </si>
  <si>
    <t>⑪借入金及び支払利子</t>
  </si>
  <si>
    <t>借入先 名称</t>
  </si>
  <si>
    <t>借入先 所在地</t>
  </si>
  <si>
    <t>借入先 関係</t>
  </si>
  <si>
    <t>期中の支払い利子額</t>
  </si>
  <si>
    <t>利率</t>
  </si>
  <si>
    <t>担保の内容</t>
  </si>
  <si>
    <t>HOI110_3.0</t>
  </si>
  <si>
    <t>11</t>
  </si>
  <si>
    <r>
      <rPr>
        <sz val="10"/>
        <color rgb="FF000000"/>
        <rFont val="游ゴシック"/>
      </rPr>
      <t>(代表者の氏名)</t>
    </r>
  </si>
  <si>
    <r>
      <rPr>
        <sz val="10"/>
        <color rgb="FF000000"/>
        <rFont val="游ゴシック"/>
      </rPr>
      <t>(代表者の住所)</t>
    </r>
  </si>
  <si>
    <t>代表者</t>
  </si>
  <si>
    <t>無</t>
  </si>
  <si>
    <t>期中の支払い利子額 合計</t>
  </si>
  <si>
    <t>⑭役員給与等</t>
  </si>
  <si>
    <t>役職名コード</t>
  </si>
  <si>
    <t>担当業務</t>
  </si>
  <si>
    <t xml:space="preserve">氏名 </t>
  </si>
  <si>
    <t>代表者との関係コード</t>
  </si>
  <si>
    <t>住所</t>
  </si>
  <si>
    <t>常勤・非常勤の別 コード</t>
  </si>
  <si>
    <t xml:space="preserve">役員給与計 </t>
  </si>
  <si>
    <t>使用人職務分</t>
  </si>
  <si>
    <t>定期同額給与</t>
  </si>
  <si>
    <t>事前確定届出給与</t>
  </si>
  <si>
    <t>業績連動給与</t>
  </si>
  <si>
    <t>その他</t>
  </si>
  <si>
    <t>退職給与</t>
  </si>
  <si>
    <t>HOI141_5.0</t>
  </si>
  <si>
    <t>14-1</t>
  </si>
  <si>
    <t>21</t>
  </si>
  <si>
    <t>01</t>
  </si>
  <si>
    <t>役員給与 総額</t>
  </si>
  <si>
    <t>総額のうち代表者と その家族分</t>
  </si>
  <si>
    <t>従業員給料手当 総額</t>
  </si>
  <si>
    <t>従業員賃金手当 総額</t>
  </si>
  <si>
    <t>計 総額</t>
  </si>
  <si>
    <t>14-3</t>
  </si>
  <si>
    <t>rem Ex2eTAX.bat Ver. 1.0.0 (C) cobli 2021</t>
  </si>
  <si>
    <t>rem MIT license</t>
  </si>
  <si>
    <t>@echo off</t>
  </si>
  <si>
    <t>cls</t>
  </si>
  <si>
    <t>rem Format selections: UTF8 or Default (Default means SJIS)</t>
  </si>
  <si>
    <t>set format=UTF8</t>
  </si>
  <si>
    <t>rem Define sheet names. :The name of Exported file includes the sheet name. (GoogleSpreadSheet, Export to CSV)</t>
  </si>
  <si>
    <t>set zaim=Zaim</t>
  </si>
  <si>
    <t>set kamok=Kamok</t>
  </si>
  <si>
    <t>rem Define file names for eTAX.</t>
  </si>
  <si>
    <t>set zaim_file=HOT010_3.0</t>
  </si>
  <si>
    <t>set kamok_dir=kamok</t>
  </si>
  <si>
    <t>set add_name=</t>
  </si>
  <si>
    <t>set /p add_name=Input additional name:</t>
  </si>
  <si>
    <t>if defined add_name (set add_name=_%add_name%)</t>
  </si>
  <si>
    <t>set tmp_file=sjis.tmp</t>
  </si>
  <si>
    <t>for %%a in (*.csv) do (echo %%a | find "%zaim%" &gt;nul</t>
  </si>
  <si>
    <t>if not errorlevel 1 (set input_file='%%a' &amp; goto :zaim)</t>
  </si>
  <si>
    <t>)</t>
  </si>
  <si>
    <t>echo No %zaim% file.</t>
  </si>
  <si>
    <t>goto :skip_zaim</t>
  </si>
  <si>
    <t>:zaim</t>
  </si>
  <si>
    <t>echo Processing %input_file%.</t>
  </si>
  <si>
    <t>if exist %zaim_file%%add_name%.csv (del /q %zaim_file%%add_name%.csv)</t>
  </si>
  <si>
    <t>powershell -NoProfile -ExecutionPolicy Unrestricted -Command "&amp;{Get-Content -Encoding %format% %input_file% | Set-Content %tmp_file%}"</t>
  </si>
  <si>
    <t>for /f "skip=1 delims=, tokens=*" %%a in (%tmp_file%) do (echo %%a | findstr /b "rem," &gt;nul</t>
  </si>
  <si>
    <t>if errorlevel 1 (</t>
  </si>
  <si>
    <t>echo %%a &gt;&gt;%zaim_file%%add_name%.csv</t>
  </si>
  <si>
    <t>))</t>
  </si>
  <si>
    <t>:skip_zaim</t>
  </si>
  <si>
    <t>for %%a in (*.csv) do (echo %%a | find "%kamok%" &gt;nul</t>
  </si>
  <si>
    <t>if not errorlevel 1 (set input_file='%%a' &amp; goto :kamok)</t>
  </si>
  <si>
    <t>echo No %kamok% file.</t>
  </si>
  <si>
    <t>goto :skip_kamok</t>
  </si>
  <si>
    <t>:kamok</t>
  </si>
  <si>
    <t>if not exist %kamok_dir%%add_name% (md %kamok_dir%%add_name%) else (del /q %kamok_dir%%add_name%\*.csv)</t>
  </si>
  <si>
    <t>for /f "skip=1 delims=, tokens=1*" %%a in (%tmp_file%) do (</t>
  </si>
  <si>
    <t>if not "%%a"=="rem" (</t>
  </si>
  <si>
    <t>rem The number of commas following ",null" doesn't exceed 12. (The number of Items varies from 7 to 19)</t>
  </si>
  <si>
    <t>set linec=%%b</t>
  </si>
  <si>
    <t>setlocal enabledelayedexpansion</t>
  </si>
  <si>
    <t>set lineb=!linec:^,null^,^,^,^,^,^,^,^,^,^,^,^,=!</t>
  </si>
  <si>
    <t>set linea=!lineb:^,null^,^,^,^,^,^,^,^,^,^,^,=!</t>
  </si>
  <si>
    <t>set line9=!linea:^,null^,^,^,^,^,^,^,^,^,^,=!</t>
  </si>
  <si>
    <t>set line8=!line9:^,null^,^,^,^,^,^,^,^,^,=!</t>
  </si>
  <si>
    <t>set line7=!line8:^,null^,^,^,^,^,^,^,^,=!</t>
  </si>
  <si>
    <t>set line6=!line7:^,null^,^,^,^,^,^,^,=!</t>
  </si>
  <si>
    <t>set line5=!line6:^,null^,^,^,^,^,^,=!</t>
  </si>
  <si>
    <t>set line4=!line5:^,null^,^,^,^,^,=!</t>
  </si>
  <si>
    <t>set line3=!line4:^,null^,^,^,^,=!</t>
  </si>
  <si>
    <t>set line2=!line3:^,null^,^,^,=!</t>
  </si>
  <si>
    <t>set line1=!line2:^,null^,^,=!</t>
  </si>
  <si>
    <t>set line0=!line1:^,null^,=!</t>
  </si>
  <si>
    <t>set lineq=!line0:^,null=!</t>
  </si>
  <si>
    <t>echo !lineq! &gt;&gt; %kamok_dir%%add_name%\%%a%add_name%.csv</t>
  </si>
  <si>
    <t>endlocal</t>
  </si>
  <si>
    <t>rem Using powershell works fine, but slow.</t>
  </si>
  <si>
    <t>rem powershell -NoProfile -ExecutionPolicy Unrestricted -Command "&amp;{'%%b' -replace ',null,*$','' | Add-Content %kamok_dir%%add_name%\%%a%add_name%.csv}"</t>
  </si>
  <si>
    <t>:skip_kamok</t>
  </si>
  <si>
    <t>if exist %tmp_file% (del /q %tmp_file%)</t>
  </si>
  <si>
    <t>pause</t>
  </si>
  <si>
    <t>使い方の説明</t>
  </si>
  <si>
    <t>Neng Ver.1.0.0 © cobli 2021</t>
  </si>
  <si>
    <t>https://cobli.github.io/Neng/</t>
  </si>
  <si>
    <t>ライセンス：MITライセンス</t>
  </si>
  <si>
    <t>表計算ソフトで実現した会計帳簿です。使い慣れた表計算ソフトのインターフェイスがそのまま使えるので便利です。</t>
  </si>
  <si>
    <t>Nengの内容は完全にオープンで、自由に改変出来て、無料で使うことが出来ます。特定のシステムに依存しないので、将来使えなくなる心配もありません。</t>
  </si>
  <si>
    <t>自前で法人確定申告する零細企業を応援する目的で税務を意識して開発しました。税制により変更される部分はeTAXに任せ、Neng自体は簡素に作ってます。</t>
  </si>
  <si>
    <t>：表計算ソフトの使い方や複式簿記は熟知している前提で説明します。</t>
  </si>
  <si>
    <t>使用環境　Googleスプレッドシート(無料)　ExcelファイルをGoogleDriveにアップロードした上で使用して下さい。</t>
  </si>
  <si>
    <t>：Excel、Excel Online(無料)、LibreOffice Calc(無料)上でも動作しますが、操作説明はGoogleスプレッドシートに合わせてます。</t>
  </si>
  <si>
    <t>：GoogleスプレッドシートとExcel Onlineはクラウド上で動作するので便利です。ExcelとLibreOffice Calcはインストール型で、応答が速いです。</t>
  </si>
  <si>
    <t>：フォントは、ExcelとLibreOffice Calcでは游ゴシックですが、GoogleスプレッドシートではArialに変更されます。</t>
  </si>
  <si>
    <t>概要</t>
  </si>
  <si>
    <t>表計算ソフトを利用し、仕訳帳、総勘定元帳、在庫管理、精算表、財務諸表、の各機能を実現している持分会社(合同会社等)用の会計帳簿のテンプレートです。(マクロは使ってません。)</t>
  </si>
  <si>
    <t>法人確定申告用のeTAXに取り込める財務諸表と勘定科目内訳明細書のデータも作ります。※ 株式会社では 社員資本 → 株主資本 の読み替えとeTAX用のデータ変更が必要です。</t>
  </si>
  <si>
    <t>：eTAX用のデータはcsv形式のファイルでエクスポートする必要があります。Excel OnlineではCSV Import+Exportアドイン(無料)をインストールすればエクスポートが可能になります。</t>
  </si>
  <si>
    <t>全部で9つ (元帳が加われば10) のシートがあります。</t>
  </si>
  <si>
    <r>
      <rPr>
        <sz val="10"/>
        <color rgb="FF000000"/>
        <rFont val="游ゴシック"/>
      </rPr>
      <t>1 仕訳シート　(元帳シート)　仕訳帳と総勘定元帳を兼ねるシートです。　全ての取引を取引順に並べた場合は仕訳帳になり、それを科目IDでソートすれば総勘定元帳になります。</t>
    </r>
  </si>
  <si>
    <r>
      <rPr>
        <sz val="10"/>
        <color rgb="FF000000"/>
        <rFont val="游ゴシック"/>
      </rPr>
      <t>2 在庫シート　商品の登録、在庫の集計機能、期末棚卸高 の計算機能があります。</t>
    </r>
  </si>
  <si>
    <r>
      <rPr>
        <sz val="10"/>
        <color rgb="FF000000"/>
        <rFont val="游ゴシック"/>
      </rPr>
      <t>3 集計シート　勘定科目の設定、精算表 の機能を持つシートです。諸表シートの損益計算書や貸借対照表に載せていない科目残高もここで確認出来ます。</t>
    </r>
  </si>
  <si>
    <r>
      <rPr>
        <sz val="10"/>
        <color rgb="FF000000"/>
        <rFont val="游ゴシック"/>
      </rPr>
      <t>4 諸表シート　仕訳シートに全ての仕訳を入力するだけで 損益計算書、貸借対照表、社員資本等変動計算書 が自動的に作成されます。</t>
    </r>
  </si>
  <si>
    <r>
      <rPr>
        <sz val="10"/>
        <color rgb="FF000000"/>
        <rFont val="游ゴシック"/>
      </rPr>
      <t>5 月次シート　複数の勘定科目の合計値を月次解析します。法人確定申告書に添付する事業概況説明書の月毎の値はこの機能で計算出来ます。</t>
    </r>
  </si>
  <si>
    <t>6 Zaimシート　個別注記表、損益計算書、貸借対照表、社員資本等変動計算書をeTAXに取り込むためのデータを作ります。</t>
  </si>
  <si>
    <t>7 Kamokシート　勘定科目内訳明細書をeTAXに取り込むためのデータを作ります。</t>
  </si>
  <si>
    <t>8 Ex2eTAXシート　ZaimシートとKamokシートからエクスポートしたcsv形式のファイルをeTAXが定める形式に変換するバッチファイルです。</t>
  </si>
  <si>
    <r>
      <rPr>
        <sz val="10"/>
        <color rgb="FF000000"/>
        <rFont val="游ゴシック"/>
      </rPr>
      <t>9 説明シート　この会計帳簿の使い方を説明します。</t>
    </r>
  </si>
  <si>
    <r>
      <t>仕訳シートに仕訳データを入力</t>
    </r>
    <r>
      <rPr>
        <sz val="10"/>
        <color rgb="FF000000"/>
        <rFont val="游ゴシック"/>
      </rPr>
      <t>するだけで、その他の値は自動的に計算されて更新されます。仕訳データの入力時に</t>
    </r>
    <r>
      <rPr>
        <b/>
        <sz val="10"/>
        <color rgb="FF000000"/>
        <rFont val="游ゴシック"/>
      </rPr>
      <t>残高表示も</t>
    </r>
    <r>
      <rPr>
        <sz val="10"/>
        <color rgb="FF000000"/>
        <rFont val="游ゴシック"/>
      </rPr>
      <t>されるので、預金通帳の残高と照合しながら仕訳出来ます。</t>
    </r>
  </si>
  <si>
    <r>
      <rPr>
        <sz val="10"/>
        <color rgb="FF000000"/>
        <rFont val="游ゴシック"/>
      </rPr>
      <t>在庫管理をする場合には</t>
    </r>
    <r>
      <rPr>
        <b/>
        <sz val="10"/>
        <color rgb="FF000000"/>
        <rFont val="游ゴシック"/>
      </rPr>
      <t>在庫シートにも期首と期末の棚卸データを入力</t>
    </r>
    <r>
      <rPr>
        <sz val="10"/>
        <color rgb="FF000000"/>
        <rFont val="游ゴシック"/>
      </rPr>
      <t>します。</t>
    </r>
  </si>
  <si>
    <t>行の追加方法</t>
  </si>
  <si>
    <r>
      <rPr>
        <sz val="10"/>
        <color rgb="FF000000"/>
        <rFont val="游ゴシック"/>
      </rPr>
      <t>(仕訳シート)仕訳データの追加、(在庫シート)商品の登録の追加、(集計シート)勘定科目の追加、(月次シート)科目数の増加、をする場合</t>
    </r>
  </si>
  <si>
    <r>
      <rPr>
        <sz val="10"/>
        <color rgb="FF000000"/>
        <rFont val="游ゴシック"/>
      </rPr>
      <t>　</t>
    </r>
    <r>
      <rPr>
        <b/>
        <sz val="10"/>
        <color rgb="FF000000"/>
        <rFont val="游ゴシック"/>
      </rPr>
      <t>必要な場所に行を挿入</t>
    </r>
    <r>
      <rPr>
        <sz val="10"/>
        <color rgb="FF000000"/>
        <rFont val="游ゴシック"/>
      </rPr>
      <t>し、その行に淡黄色のセルを含む同一シート内の</t>
    </r>
    <r>
      <rPr>
        <b/>
        <sz val="10"/>
        <color rgb="FF000000"/>
        <rFont val="游ゴシック"/>
      </rPr>
      <t>任意の行をコピー</t>
    </r>
    <r>
      <rPr>
        <sz val="10"/>
        <color rgb="FF000000"/>
        <rFont val="游ゴシック"/>
      </rPr>
      <t>してから白色のセルにデータを入力(コピー元の値を変更)します。</t>
    </r>
  </si>
  <si>
    <t>セルは、ⓐ白色　ⓑ空色　ⓒ淡黄色　ⓓ淡青色　の色分けがされています。その使い分けは以下の通りです。</t>
  </si>
  <si>
    <t>ⓐ</t>
  </si>
  <si>
    <t>計算式の無いセルです。データの入力をするセルは必ずⓐです。</t>
  </si>
  <si>
    <t>ⓑ</t>
  </si>
  <si>
    <t>計算式の無いセルです。データは入力しません。ⓐよりも目立たせたい場合に使います。</t>
  </si>
  <si>
    <t>ⓒ</t>
  </si>
  <si>
    <t>計算式の有るセルです。データは入力しません。諸表シートを除き、同一シート同一列のこの色のセルには同じ形式の計算式があります。⇒ 他の行にコピーして使えます。</t>
  </si>
  <si>
    <t>ⓓ</t>
  </si>
  <si>
    <t>計算式の有るセルか無いセルです。データは入力しません。ⓑよりも更に目立たせたい場合に使います。計算式は各セル毎に計算式が異なります。</t>
  </si>
  <si>
    <r>
      <rPr>
        <sz val="10"/>
        <color rgb="FF000000"/>
        <rFont val="游ゴシック"/>
      </rPr>
      <t>会計帳簿の保存(印刷)</t>
    </r>
  </si>
  <si>
    <r>
      <rPr>
        <sz val="10"/>
        <color rgb="FF000000"/>
        <rFont val="游ゴシック"/>
      </rPr>
      <t>税法上は厳しい要件を満たしたシステムでなければ帳簿の保存(7年間から10年間の保存義務)はデータでは認めらません。</t>
    </r>
  </si>
  <si>
    <r>
      <rPr>
        <sz val="10"/>
        <color rgb="FF000000"/>
        <rFont val="游ゴシック"/>
      </rPr>
      <t>そこで、紙へ印刷する前提で</t>
    </r>
    <r>
      <rPr>
        <b/>
        <sz val="10"/>
        <color rgb="FF000000"/>
        <rFont val="游ゴシック"/>
      </rPr>
      <t>印刷する枚数が最小限になるように</t>
    </r>
    <r>
      <rPr>
        <sz val="10"/>
        <color rgb="FF000000"/>
        <rFont val="游ゴシック"/>
      </rPr>
      <t>しています。</t>
    </r>
  </si>
  <si>
    <t>各シートの印刷方法</t>
  </si>
  <si>
    <r>
      <rPr>
        <sz val="10"/>
        <color rgb="FF000000"/>
        <rFont val="游ゴシック"/>
      </rPr>
      <t>Googleスプレッドシートのメニューから ファイルを左クリック ⇒ ダウンロード ⇒ PDFドキュメント とします。ダウンロード後に、各シートのPDFファイルを結合し、一つのPDFファイルにします。</t>
    </r>
  </si>
  <si>
    <t>　エクスポートの画面　エクスポート:現在のシート、用紙サイズ:A4、ページの向き:縦向き、スケール:幅に合わせる、余白:標準、ヘッダーとフッター:タイトル シート名 固定行を繰り返す にチェック。</t>
  </si>
  <si>
    <r>
      <rPr>
        <sz val="10"/>
        <color rgb="FF000000"/>
        <rFont val="游ゴシック"/>
      </rPr>
      <t>　このテンプレートの仕訳なら、(会計1年分の印刷枚数が)仕訳シート、元帳シート、集計シート、諸表シート、それぞれA4サイズで1ページづつに収まります。(在庫がないなら在庫シートは印刷不要。)</t>
    </r>
  </si>
  <si>
    <t>　：コンビニでPDFファイルを印刷する場合、A4サイズ1枚で2ページの印刷(マルチコピー機の画面で選べる)でも十分読めます。</t>
  </si>
  <si>
    <t>エラー表示</t>
  </si>
  <si>
    <t>この会計帳簿にはデータの不整合を監視し、不整合があればセルの色を赤色にするエラー表示機能があります。</t>
  </si>
  <si>
    <r>
      <rPr>
        <sz val="10"/>
        <color rgb="FF000000"/>
        <rFont val="游ゴシック"/>
      </rPr>
      <t>　</t>
    </r>
    <r>
      <rPr>
        <b/>
        <sz val="10"/>
        <color rgb="FF000000"/>
        <rFont val="游ゴシック"/>
      </rPr>
      <t>A列次行のセル</t>
    </r>
    <r>
      <rPr>
        <sz val="10"/>
        <color rgb="FF000000"/>
        <rFont val="游ゴシック"/>
      </rPr>
      <t>に 1 を入れると、データの不整合がなくてもエラーを表示する機能を持つ全セルが強制的に赤色になります。　各行が正しくコピーされているか確認出来ます。</t>
    </r>
  </si>
  <si>
    <r>
      <rPr>
        <sz val="10"/>
        <color rgb="FF000000"/>
        <rFont val="游ゴシック"/>
      </rPr>
      <t>⇐ (ここに 1 を入れるとエラーの表示。)</t>
    </r>
  </si>
  <si>
    <t>エラー表示する機能を持つセル及びそのエラーの意味は以下の通りです。</t>
  </si>
  <si>
    <r>
      <rPr>
        <sz val="10"/>
        <color rgb="FF000000"/>
        <rFont val="游ゴシック"/>
      </rPr>
      <t>1 仕訳シート　J列のセル</t>
    </r>
  </si>
  <si>
    <r>
      <rPr>
        <sz val="10"/>
        <color rgb="FF000000"/>
        <rFont val="游ゴシック"/>
      </rPr>
      <t>　淡黄色のセルについては、一つの仕訳の借方金額の合計値と貸方金額の合計値が一致しない場合にその取引に対応する全ての行のセルがエラー表示。(</t>
    </r>
    <r>
      <rPr>
        <b/>
        <sz val="10"/>
        <color rgb="FF000000"/>
        <rFont val="游ゴシック"/>
      </rPr>
      <t>仕訳入力中は、エラーで正常</t>
    </r>
    <r>
      <rPr>
        <sz val="10"/>
        <color rgb="FF000000"/>
        <rFont val="游ゴシック"/>
      </rPr>
      <t>)</t>
    </r>
  </si>
  <si>
    <t>　最初の行は、J列のセルにエラーが一つでもあるか集計シートの全合計にエラーがあればエラー表示。</t>
  </si>
  <si>
    <t>　：最初の行のみエラー表示の場合 ⇒ 科目IDがブランクか数字を間違えた状態で(借方又は貸方)金額が入力されている可能性。　</t>
  </si>
  <si>
    <r>
      <rPr>
        <sz val="10"/>
        <color rgb="FF000000"/>
        <rFont val="游ゴシック"/>
      </rPr>
      <t>2 在庫シート　G列のセル</t>
    </r>
  </si>
  <si>
    <r>
      <rPr>
        <sz val="10"/>
        <color rgb="FF000000"/>
        <rFont val="游ゴシック"/>
      </rPr>
      <t>　淡黄色のセルについては、別の品名にそのセルの品番と同一の品番が重複して設定されている場合にエラー表示。</t>
    </r>
  </si>
  <si>
    <t>　最初の行は、G列のセルにエラーが一つでもあればエラー表示。</t>
  </si>
  <si>
    <r>
      <rPr>
        <sz val="10"/>
        <color rgb="FF000000"/>
        <rFont val="游ゴシック"/>
      </rPr>
      <t>3 集計シート　F列のセル</t>
    </r>
  </si>
  <si>
    <r>
      <rPr>
        <sz val="10"/>
        <color rgb="FF000000"/>
        <rFont val="游ゴシック"/>
      </rPr>
      <t>　淡黄色のセルについては、別の勘定科目にそのセルの科目IDと同一の科目IDが重複して設定されている場合にエラー表示。</t>
    </r>
  </si>
  <si>
    <t>　資産の部、負債及び純資産の部、収益の部、当期純利益を含む費用の部、の合計については、科目残高合計と親子残高合計が一致しない場合にエラー表示。⇒ 親科目の設定が正しくない可能性。</t>
  </si>
  <si>
    <t>　全合計については、借方(および貸方)の全合計と仕訳シートの借方(および貸方)金額の合計が一致しない場合にエラー表示。⇒ 仕訳に未登録の取引IDが使われている可能性。</t>
  </si>
  <si>
    <t>　最初の行は、F列のセルにエラーが一つでもあればエラー表示。</t>
  </si>
  <si>
    <r>
      <rPr>
        <sz val="10"/>
        <color rgb="FF000000"/>
        <rFont val="游ゴシック"/>
      </rPr>
      <t>4 諸表シート　A列のセル</t>
    </r>
  </si>
  <si>
    <t>　貸借対照表のタイトル行は、資産の部の合計金額と負債純資産の部の合計金額が一致しない場合にエラー表示。⇒ 繰越利益剰余金の仕訳データが未入力。(決算終了前は、エラーで正常)</t>
  </si>
  <si>
    <t>　損益計算書のタイトル行は、当期純利益(または損失)と集計シートの当期純利益が一致しない場合にエラー表示。⇒ 純利益の仕訳データが未入力。(決算終了前は、エラーで正常)</t>
  </si>
  <si>
    <t>　貸借対照表の資産合計と負債及び純資産合計は、諸表シートの合計金額と集計シートの合計金額が一致しない場合にエラー表示。⇒ 集計シートの項目欄の入力が正しくない可能性。</t>
  </si>
  <si>
    <t>　損益計算書の費用、収益合計は、諸表シートの合計金額と集計シートの合計金額が一致しない場合にエラー表示。⇒ 集計シートの項目欄の入力が正しくない可能性。</t>
  </si>
  <si>
    <t>　社員資本等変動計算書のタイトル行は、純資産合計の当期末残高と貸借対照表の合計金額の一致しない場合にエラー表示。⇒ 純資産に属する勘定科目の追加に対応して社員資本等計算書を編集する必要。</t>
  </si>
  <si>
    <t>　最初の行は、貸借対照表のタイトル行と損益計算書のタイトル行を除き、A列のセルにエラーが一つでもあればエラー表示。</t>
  </si>
  <si>
    <t>仕訳シートの使い方</t>
  </si>
  <si>
    <r>
      <rPr>
        <sz val="10"/>
        <color rgb="FF000000"/>
        <rFont val="游ゴシック"/>
      </rPr>
      <t>1 複合仕訳</t>
    </r>
  </si>
  <si>
    <r>
      <rPr>
        <sz val="10"/>
        <color rgb="FF000000"/>
        <rFont val="游ゴシック"/>
      </rPr>
      <t>　仕訳は複合仕訳に対応しています。　一つの勘定科目に一行使い、複数行で一つの取引を表します。　</t>
    </r>
    <r>
      <rPr>
        <b/>
        <sz val="10"/>
        <color rgb="FF000000"/>
        <rFont val="游ゴシック"/>
      </rPr>
      <t>同一日付かつ同一取引番号の全ての行を一つの取引と認識</t>
    </r>
    <r>
      <rPr>
        <sz val="10"/>
        <color rgb="FF000000"/>
        <rFont val="游ゴシック"/>
      </rPr>
      <t>します。</t>
    </r>
  </si>
  <si>
    <r>
      <rPr>
        <sz val="10"/>
        <color rgb="FF000000"/>
        <rFont val="游ゴシック"/>
      </rPr>
      <t>　同一日に一つの取引しかない場合には</t>
    </r>
    <r>
      <rPr>
        <b/>
        <sz val="10"/>
        <color rgb="FF000000"/>
        <rFont val="游ゴシック"/>
      </rPr>
      <t>取引番号の省略が可能</t>
    </r>
    <r>
      <rPr>
        <sz val="10"/>
        <color rgb="FF000000"/>
        <rFont val="游ゴシック"/>
      </rPr>
      <t>です。　取引番号は255までです。</t>
    </r>
  </si>
  <si>
    <r>
      <rPr>
        <sz val="10"/>
        <color rgb="FF000000"/>
        <rFont val="游ゴシック"/>
      </rPr>
      <t>　一つの取引において借方金額の合計と貸方金額の合計が一致しない場合はエラー表示がでるとともに、</t>
    </r>
    <r>
      <rPr>
        <b/>
        <sz val="10"/>
        <color rgb="FF000000"/>
        <rFont val="游ゴシック"/>
      </rPr>
      <t>不足する金額が「借方金額」又は「貸方金額」のタイトルのセルに表示</t>
    </r>
    <r>
      <rPr>
        <sz val="10"/>
        <color rgb="FF000000"/>
        <rFont val="游ゴシック"/>
      </rPr>
      <t>されます。</t>
    </r>
  </si>
  <si>
    <t>　：一つの取引における最後の勘定科目の金額をゼロにすると、この「借方金額」又は「貸方金額」のタイトルに表示される不足金額はそのセルに入力すべき数字を示します。</t>
  </si>
  <si>
    <r>
      <rPr>
        <sz val="10"/>
        <color rgb="FF000000"/>
        <rFont val="游ゴシック"/>
      </rPr>
      <t>　従って、一つの取引を入力する際、</t>
    </r>
    <r>
      <rPr>
        <b/>
        <sz val="10"/>
        <color rgb="FF000000"/>
        <rFont val="游ゴシック"/>
      </rPr>
      <t>最初の勘定科目の入力後からエラー表示がでて、最後の勘定科目の入力後にエラー表示が消える</t>
    </r>
    <r>
      <rPr>
        <sz val="10"/>
        <color rgb="FF000000"/>
        <rFont val="游ゴシック"/>
      </rPr>
      <t>ことになります。</t>
    </r>
  </si>
  <si>
    <r>
      <rPr>
        <sz val="10"/>
        <color rgb="FF000000"/>
        <rFont val="游ゴシック"/>
      </rPr>
      <t>　仕訳で使う勘定科目は集計シートの科目IDの数字を入力します。　勘定科目名及び相手科目は自動的に表示されます。　相手科目が複数の場合は「諸口」又は「前期繰越」と表示されます。</t>
    </r>
  </si>
  <si>
    <t>　借方残高又は貸方残高の欄にはその勘定科目の残高が表示されます。　勘定科目によって残高は借方と貸方のどちらに表示されるのか決めているので、負の値もあり得ます。</t>
  </si>
  <si>
    <r>
      <rPr>
        <sz val="10"/>
        <color rgb="FF000000"/>
        <rFont val="游ゴシック"/>
      </rPr>
      <t>　：残高は</t>
    </r>
    <r>
      <rPr>
        <b/>
        <sz val="10"/>
        <color rgb="FF000000"/>
        <rFont val="游ゴシック"/>
      </rPr>
      <t>仕訳の日付と取引</t>
    </r>
    <r>
      <rPr>
        <sz val="10"/>
        <color rgb="FF000000"/>
        <rFont val="游ゴシック"/>
      </rPr>
      <t>が上から下に時間経過する</t>
    </r>
    <r>
      <rPr>
        <b/>
        <sz val="10"/>
        <color rgb="FF000000"/>
        <rFont val="游ゴシック"/>
      </rPr>
      <t>順番で並んでないと</t>
    </r>
    <r>
      <rPr>
        <sz val="10"/>
        <color rgb="FF000000"/>
        <rFont val="游ゴシック"/>
      </rPr>
      <t>正しく表示されません。</t>
    </r>
  </si>
  <si>
    <r>
      <rPr>
        <sz val="10"/>
        <color rgb="FF000000"/>
        <rFont val="游ゴシック"/>
      </rPr>
      <t>2 前期繰越</t>
    </r>
  </si>
  <si>
    <r>
      <rPr>
        <sz val="10"/>
        <color rgb="FF000000"/>
        <rFont val="游ゴシック"/>
      </rPr>
      <t>　仕訳帳の一番最初に日付を期首日として貸借対照表の前期残高(前期末日に於ける資産、負債、純資産の各勘定残高)を引き継ぐ仕訳を この説明では前期繰越と呼びます。</t>
    </r>
  </si>
  <si>
    <r>
      <rPr>
        <sz val="10"/>
        <color rgb="FF000000"/>
        <rFont val="游ゴシック"/>
      </rPr>
      <t>　準大陸式で仕訳し、適用に「前期繰越」と記入します。※ 適用に記入する文字列は O1 セルに入力した文字列です。</t>
    </r>
  </si>
  <si>
    <t>　勘定科目で枝番を持つものは親の科目でなく枝番毎に仕訳します。</t>
  </si>
  <si>
    <t>　：但し、社保預り金など、その残高がその枝番に直接戻らない性質のものは親科目の残高で仕訳します。</t>
  </si>
  <si>
    <r>
      <rPr>
        <sz val="10"/>
        <color rgb="FF000000"/>
        <rFont val="游ゴシック"/>
      </rPr>
      <t>3 開始仕訳</t>
    </r>
  </si>
  <si>
    <t>　貸借対照表の前期残高を引き継ぐ以外で通常の仕訳の前に必要な仕訳を この説明では開始仕訳と呼びます。</t>
  </si>
  <si>
    <t>　前期繰越に引き続き開始仕訳をします。適用に「開始仕訳」と書くのは任意です。</t>
  </si>
  <si>
    <r>
      <rPr>
        <sz val="10"/>
        <color rgb="FF000000"/>
        <rFont val="游ゴシック"/>
      </rPr>
      <t>4 決算整理仕訳</t>
    </r>
  </si>
  <si>
    <t>　通常の仕訳を全て終えた後に、日付を期末日として決算の為にする仕訳を この説明では決算整理仕訳と呼びます。適用に「決算整理仕訳」と書くのは任意です。</t>
  </si>
  <si>
    <r>
      <rPr>
        <sz val="10"/>
        <color rgb="FF000000"/>
        <rFont val="游ゴシック"/>
      </rPr>
      <t>　決算整理仕訳を終えると諸表シートの損益計算書に当期純利益が表示されます。この当期純利益を繰越利益剰余金に振り替える仕訳(資本振替)を一番最後にして諸表シートのエラーを消します。</t>
    </r>
  </si>
  <si>
    <t>　この会計帳簿では仕訳データを自動的に集計するため、従来の簿記で必要だった損益勘定や残高勘定は用いません。</t>
  </si>
  <si>
    <r>
      <rPr>
        <sz val="10"/>
        <color rgb="FF000000"/>
        <rFont val="游ゴシック"/>
      </rPr>
      <t>5 商品関連</t>
    </r>
  </si>
  <si>
    <t>　売上と仕入の仕訳の際には品番、出庫数、入庫数の欄にデータを入れると在庫シートの帳簿残数が自動的に計算されます。</t>
  </si>
  <si>
    <t>　：在庫数と連動させる為、売上は出荷基準、仕入は入荷基準で仕訳します。</t>
  </si>
  <si>
    <t>　開始仕訳では商品を 期首棚卸高に仕訳し、決算整理仕訳では 期末棚卸高を 商品に仕訳します。</t>
  </si>
  <si>
    <r>
      <rPr>
        <sz val="10"/>
        <color rgb="FF000000"/>
        <rFont val="游ゴシック"/>
      </rPr>
      <t>6 元帳シート</t>
    </r>
  </si>
  <si>
    <r>
      <t>　決算整理終了後に「仕訳シートのコピー」を作り</t>
    </r>
    <r>
      <rPr>
        <sz val="10"/>
        <color rgb="FF000000"/>
        <rFont val="游ゴシック"/>
      </rPr>
      <t>、</t>
    </r>
    <r>
      <rPr>
        <b/>
        <sz val="10"/>
        <color rgb="FF000000"/>
        <rFont val="游ゴシック"/>
      </rPr>
      <t>シート名を 元帳 に変更</t>
    </r>
    <r>
      <rPr>
        <sz val="10"/>
        <color rgb="FF000000"/>
        <rFont val="游ゴシック"/>
      </rPr>
      <t>した上で</t>
    </r>
    <r>
      <rPr>
        <b/>
        <sz val="10"/>
        <color rgb="FF000000"/>
        <rFont val="游ゴシック"/>
      </rPr>
      <t>科目IDでソーティング</t>
    </r>
    <r>
      <rPr>
        <sz val="10"/>
        <color rgb="FF000000"/>
        <rFont val="游ゴシック"/>
      </rPr>
      <t>します。</t>
    </r>
    <r>
      <rPr>
        <b/>
        <sz val="10"/>
        <color rgb="FF000000"/>
        <rFont val="游ゴシック"/>
      </rPr>
      <t>仕訳シート自体はソーティングしません</t>
    </r>
    <r>
      <rPr>
        <sz val="10"/>
        <color rgb="FF000000"/>
        <rFont val="游ゴシック"/>
      </rPr>
      <t>。</t>
    </r>
  </si>
  <si>
    <t>　　仕訳帳から総勘定元帳へ　C列(科目ID)を選択し、Googleスプレッドシートのメニューから データを左クリック ⇒ 列Cを基準にA→Zの順にシートを並べ替え を選択する。</t>
  </si>
  <si>
    <r>
      <rPr>
        <sz val="10"/>
        <color rgb="FF000000"/>
        <rFont val="游ゴシック"/>
      </rPr>
      <t>　　総勘定元帳から仕訳帳へ　B列(取引)を選択し、Googleスプレッドシートのメニューから データを左クリック ⇒ 列Bを基準にA→Zの順にシートを並べ替え を選択する。</t>
    </r>
  </si>
  <si>
    <r>
      <rPr>
        <sz val="10"/>
        <color rgb="FF000000"/>
        <rFont val="游ゴシック"/>
      </rPr>
      <t>　　　　　　　　　　　　　　次に A列(年-月-日)を選択し、データを左クリック ⇒ 列Aを基準にA→Zの順にシートを並べ替え を選択する。</t>
    </r>
  </si>
  <si>
    <t>　：ExcelとLibreOffice Calcでは列全体ではなく、3行目以下を選択し、「選択範囲を拡張して並び替え」する必要があります。</t>
  </si>
  <si>
    <t>7 このテンプレートを使用して初めて仕訳する場合</t>
  </si>
  <si>
    <r>
      <rPr>
        <sz val="10"/>
        <color rgb="FF000000"/>
        <rFont val="游ゴシック"/>
      </rPr>
      <t>　まずこのテンプレートのファイル名を今年度に対応するファイル名に変更し、</t>
    </r>
    <r>
      <rPr>
        <b/>
        <sz val="10"/>
        <color rgb="FF000000"/>
        <rFont val="游ゴシック"/>
      </rPr>
      <t>元帳シートは削除</t>
    </r>
    <r>
      <rPr>
        <sz val="10"/>
        <color rgb="FF000000"/>
        <rFont val="游ゴシック"/>
      </rPr>
      <t>します。</t>
    </r>
  </si>
  <si>
    <t>　集計シートに必要な勘定科目を追加し、不要な勘定科目は削除します。科目IDの番号も好みで変更します。※ 項目(空色のセル)の勘定科目は削除出来ません。</t>
  </si>
  <si>
    <t>　仕訳シートの入力データ欄(A列〜I列の白色のセル)をすべて選択し、Deleteキーで全部消去します。</t>
  </si>
  <si>
    <t>　次に、3行目から地道に仕訳データを入力していきます。</t>
  </si>
  <si>
    <t>8 前年度データの活用</t>
  </si>
  <si>
    <t>　毎年同じ時期に同様の仕訳をしているなら、前年度の会計帳簿の多くの仕訳データは活用することが出来ます。</t>
  </si>
  <si>
    <r>
      <rPr>
        <sz val="10"/>
        <color rgb="FF000000"/>
        <rFont val="游ゴシック"/>
      </rPr>
      <t>　その場合、まず</t>
    </r>
    <r>
      <rPr>
        <b/>
        <sz val="10"/>
        <color rgb="FF000000"/>
        <rFont val="游ゴシック"/>
      </rPr>
      <t>前年度の会計帳簿のファイルのコピー</t>
    </r>
    <r>
      <rPr>
        <sz val="10"/>
        <color rgb="FF000000"/>
        <rFont val="游ゴシック"/>
      </rPr>
      <t>を作り今年度に対応するファイル名に変更し、</t>
    </r>
    <r>
      <rPr>
        <b/>
        <sz val="10"/>
        <color rgb="FF000000"/>
        <rFont val="游ゴシック"/>
      </rPr>
      <t>元帳シートは削除</t>
    </r>
    <r>
      <rPr>
        <sz val="10"/>
        <color rgb="FF000000"/>
        <rFont val="游ゴシック"/>
      </rPr>
      <t>します。</t>
    </r>
  </si>
  <si>
    <r>
      <rPr>
        <sz val="10"/>
        <color rgb="FF000000"/>
        <rFont val="游ゴシック"/>
      </rPr>
      <t>　次に、A列(年-月-日)を選択し、Googleスプレッドシートのメニューから 編集を左クリック ⇒ 検索と置換 を使って一括で日付の年を修正します。</t>
    </r>
  </si>
  <si>
    <r>
      <rPr>
        <sz val="10"/>
        <color rgb="FF000000"/>
        <rFont val="游ゴシック"/>
      </rPr>
      <t>　：前年度の帳簿に</t>
    </r>
    <r>
      <rPr>
        <b/>
        <sz val="10"/>
        <color rgb="FF000000"/>
        <rFont val="游ゴシック"/>
      </rPr>
      <t>2月29日の仕訳が含まれている場合</t>
    </r>
    <r>
      <rPr>
        <sz val="10"/>
        <color rgb="FF000000"/>
        <rFont val="游ゴシック"/>
      </rPr>
      <t>は、最初に 02-29 → 02-28 と置換してから、次に年を置換します。(2月29日のままで年を置換すると、ありえない日付としてエラーになる。)</t>
    </r>
  </si>
  <si>
    <r>
      <rPr>
        <sz val="10"/>
        <color rgb="FF000000"/>
        <rFont val="游ゴシック"/>
      </rPr>
      <t>　：</t>
    </r>
    <r>
      <rPr>
        <b/>
        <sz val="10"/>
        <color rgb="FF000000"/>
        <rFont val="游ゴシック"/>
      </rPr>
      <t>年の修正</t>
    </r>
    <r>
      <rPr>
        <sz val="10"/>
        <color rgb="FF000000"/>
        <rFont val="游ゴシック"/>
      </rPr>
      <t>は、2019年度の帳簿を2020年度の帳簿にする例だと、先に 2020 → 2021 と置換し、次に 2019 → 2020 と置換します。(期首が1月1日なら 2019 → 2020 の置換だけ)</t>
    </r>
  </si>
  <si>
    <t>　そして預金通帳と照合しながら、仕訳データの日付と金額を期首から修正していきます。エラー検出機能と残高表示機能の助けで、どこまで修正したのかは簡単に把握できます。</t>
  </si>
  <si>
    <t>　今年度にはない仕訳を削除し、前年度にはなかった仕訳を追加する場合、行の追加や削除をしないで仕訳データの変更と行の移動で済ませることが出来る場合もあります。</t>
  </si>
  <si>
    <t>在庫シートの使い方</t>
  </si>
  <si>
    <t>期首に期首残数を入力しておくことで、仕訳の出庫数と入庫数から在庫数を自動的に計算し帳簿上の在庫数とします。</t>
  </si>
  <si>
    <t>　期末に棚卸を実施し、期末残数と仕入単価を入力すると期末棚卸高が自動的に計算されます。実在庫数と帳簿上の在庫数が一致しない場合はその原因を調査し入力します。</t>
  </si>
  <si>
    <t>　：期末棚卸高は、自動的には仕訳に反映されません。仕訳シートにて仕訳する必要があります。</t>
  </si>
  <si>
    <r>
      <rPr>
        <sz val="10"/>
        <color rgb="FF000000"/>
        <rFont val="游ゴシック"/>
      </rPr>
      <t>　：仕入単価は、棚卸資産の評価方法に従い、入庫までに要する諸費用(仕入諸掛)も含めて計算した上で入力して下さい。</t>
    </r>
  </si>
  <si>
    <t>　品番は、0 以上の値が入力出来ます。小数点以下も可能です。</t>
  </si>
  <si>
    <t>　：品番の欄を空白にすると、その行の表示は空白になります。</t>
  </si>
  <si>
    <t>集計シートの使い方</t>
  </si>
  <si>
    <r>
      <rPr>
        <sz val="10"/>
        <color rgb="FF000000"/>
        <rFont val="游ゴシック"/>
      </rPr>
      <t>1 勘定科目</t>
    </r>
  </si>
  <si>
    <t>　勘定科目はその行の位置により「資産」、「負債資本」、「収益」、「費用」の部のいずれかに属します。</t>
  </si>
  <si>
    <r>
      <rPr>
        <sz val="10"/>
        <color rgb="FF000000"/>
        <rFont val="游ゴシック"/>
      </rPr>
      <t>　「資産」と「費用」の部に属する勘定科目の残高は常に借方残高の方に表示され、「負債資本」と「収益」の部に属する勘定科目の残高は常に貸方残高の方に表示されます。(マイナスの値もあり得ます。)</t>
    </r>
  </si>
  <si>
    <t>　その勘定科目、親子残高、項目残高が 借方・貸方 のどちらの残高を表示するのかは残高の欄で確認出来ます。</t>
  </si>
  <si>
    <r>
      <rPr>
        <sz val="10"/>
        <color rgb="FF000000"/>
        <rFont val="游ゴシック"/>
      </rPr>
      <t>2 親科目</t>
    </r>
  </si>
  <si>
    <r>
      <rPr>
        <sz val="10"/>
        <color rgb="FF000000"/>
        <rFont val="游ゴシック"/>
      </rPr>
      <t>　勘定科目に枝番を設けた場合、その</t>
    </r>
    <r>
      <rPr>
        <b/>
        <sz val="10"/>
        <color rgb="FF000000"/>
        <rFont val="游ゴシック"/>
      </rPr>
      <t>枝番の親科目の欄に親となる勘定科目の科目IDの数字を入力</t>
    </r>
    <r>
      <rPr>
        <sz val="10"/>
        <color rgb="FF000000"/>
        <rFont val="游ゴシック"/>
      </rPr>
      <t>します。</t>
    </r>
  </si>
  <si>
    <t>　：親となる勘定科目の親子残高には、その勘定科目の残高に全ての枝番の残高が加算されて表示さます。</t>
  </si>
  <si>
    <r>
      <rPr>
        <sz val="10"/>
        <color rgb="FF000000"/>
        <rFont val="游ゴシック"/>
      </rPr>
      <t>3 項目</t>
    </r>
  </si>
  <si>
    <r>
      <rPr>
        <sz val="10"/>
        <color rgb="FF000000"/>
        <rFont val="游ゴシック"/>
      </rPr>
      <t>　勘定科目は、項目(空色のセルの勘定科目)のどれかに属します。　その勘定科目の項目の欄に その</t>
    </r>
    <r>
      <rPr>
        <b/>
        <sz val="10"/>
        <color rgb="FF000000"/>
        <rFont val="游ゴシック"/>
      </rPr>
      <t>勘定科目が属する項目の科目ID</t>
    </r>
    <r>
      <rPr>
        <sz val="10"/>
        <color rgb="FF000000"/>
        <rFont val="游ゴシック"/>
      </rPr>
      <t>の数字を入力します。</t>
    </r>
  </si>
  <si>
    <r>
      <rPr>
        <sz val="10"/>
        <color rgb="FF000000"/>
        <rFont val="游ゴシック"/>
      </rPr>
      <t>　：</t>
    </r>
    <r>
      <rPr>
        <b/>
        <sz val="10"/>
        <color rgb="FF000000"/>
        <rFont val="游ゴシック"/>
      </rPr>
      <t>枝番の勘定科目は、項目の欄は空白</t>
    </r>
    <r>
      <rPr>
        <sz val="10"/>
        <color rgb="FF000000"/>
        <rFont val="游ゴシック"/>
      </rPr>
      <t>にして下さい。(親科目を通じて項目に繋がるため。)</t>
    </r>
  </si>
  <si>
    <t>　項目そのもの(親科目と項目の欄は空白にする)も一つの勘定科目として仕訳で使うことが出来ます。</t>
  </si>
  <si>
    <r>
      <rPr>
        <sz val="10"/>
        <color rgb="FF000000"/>
        <rFont val="游ゴシック"/>
      </rPr>
      <t>4 科目ID</t>
    </r>
  </si>
  <si>
    <r>
      <rPr>
        <sz val="10"/>
        <color rgb="FF000000"/>
        <rFont val="游ゴシック"/>
      </rPr>
      <t>　科目IDは、0 以上の値が入力出来ます。小数点以下も可能です。</t>
    </r>
  </si>
  <si>
    <t>　：勘定科目と番号の関連についての制約はありません。</t>
  </si>
  <si>
    <r>
      <rPr>
        <sz val="10"/>
        <color rgb="FF000000"/>
        <rFont val="游ゴシック"/>
      </rPr>
      <t>　：仕訳帳から元帳を作ると科目IDの番号の順番で勘定科目が並ぶので、それも考慮して番号を付けて下さい。</t>
    </r>
  </si>
  <si>
    <t>　：集計シートでは、科目IDが入力されていない行があるとエラーになります。不要な行は削除して下さい。</t>
  </si>
  <si>
    <r>
      <rPr>
        <sz val="10"/>
        <color rgb="FF000000"/>
        <rFont val="游ゴシック"/>
      </rPr>
      <t>5 勘定科目を追加した時</t>
    </r>
  </si>
  <si>
    <t>　Zaimシートにも同じ勘定科目を追加して下さい。Zaimシートでの勘定科目コードはeTAXの規定によります。</t>
  </si>
  <si>
    <t>　：枝番を追加した場合はZaimシートに追加しません。</t>
  </si>
  <si>
    <t>　勘定科目内訳明細書に記載する必要がある場合にはKamokシートにも追加して下さい。(既存の科目でも、残高が生じた場合などはKamokシートに追加する必要があり得ます。)</t>
  </si>
  <si>
    <t>　：枝番の勘定科目でもKamokシートに追加する必要があり得ます。</t>
  </si>
  <si>
    <t>諸表シートの使い方</t>
  </si>
  <si>
    <r>
      <rPr>
        <sz val="10"/>
        <color rgb="FF000000"/>
        <rFont val="游ゴシック"/>
      </rPr>
      <t>損益計算書、貸借対照表、社員資本等変動計算書(※ 但し、配当しない前提)、が自動的に作成されます。</t>
    </r>
  </si>
  <si>
    <t>　期首日は「仕訳帳の日付の中で最も早い日」に、期末日は「仕訳帳の日付の中で最も遅い日」になりますので、入力する必要はありません。</t>
  </si>
  <si>
    <t>決算整理仕訳の後に、損益計算書に表示された当期純利益の値を使い、その他利益剰余金に振り替える仕訳をします。その仕訳が終わるまで損益計算書と貸借対照表にエラー表示されていて正常です。</t>
  </si>
  <si>
    <t>月次シートの使い方</t>
  </si>
  <si>
    <r>
      <rPr>
        <sz val="10"/>
        <color rgb="FF000000"/>
        <rFont val="游ゴシック"/>
      </rPr>
      <t>1 勘定科目の指定</t>
    </r>
  </si>
  <si>
    <r>
      <rPr>
        <sz val="10"/>
        <color rgb="FF000000"/>
        <rFont val="游ゴシック"/>
      </rPr>
      <t>　科目IDの数字を入れた勘定科目の月毎の合計値を表示します。子科目を持つ勘定科目でも子科目の値は加えてません。</t>
    </r>
  </si>
  <si>
    <t>　：複数行を使って複数の勘定科目を指定すれば、それらの月毎の合計値が最終行に示されます。この機能で親子残高に相当する値の月毎の合計値も解析する事が出来ます。</t>
  </si>
  <si>
    <r>
      <rPr>
        <sz val="10"/>
        <color rgb="FF000000"/>
        <rFont val="游ゴシック"/>
      </rPr>
      <t>　：科目IDを空欄にすると、その行の月毎の欄は空白になります。</t>
    </r>
  </si>
  <si>
    <r>
      <rPr>
        <sz val="10"/>
        <color rgb="FF000000"/>
        <rFont val="游ゴシック"/>
      </rPr>
      <t>2 解析期間</t>
    </r>
  </si>
  <si>
    <r>
      <rPr>
        <sz val="10"/>
        <color rgb="FF000000"/>
        <rFont val="游ゴシック"/>
      </rPr>
      <t>　月の区分は仕訳帳の一番古い日付を期首日として12ヶ月分に分けています。期首日が月の途中の場合でも正しく分けられます。日数を入力する事で、期首日を前後に変更する事が出来ます。</t>
    </r>
  </si>
  <si>
    <r>
      <rPr>
        <sz val="10"/>
        <color rgb="FF000000"/>
        <rFont val="游ゴシック"/>
      </rPr>
      <t>　：口座引落日が休日の為に引落しが0回或いは2回の月が生じるような場合でも、期首日を変更して合計表示する事で毎月1回の口座引落として解析出来ます。</t>
    </r>
  </si>
  <si>
    <r>
      <rPr>
        <sz val="10"/>
        <color rgb="FF000000"/>
        <rFont val="游ゴシック"/>
      </rPr>
      <t>　：開始仕訳や決算整理での仕訳によって本来の数字に影響がある場合などでも、期首日を変更して合計表示する事でその影響を排除出来る(可能性が)あります。</t>
    </r>
  </si>
  <si>
    <t>　：期首からの空白月数と期末までの空白月数を入力する事で、任意の期間の合計を求めることが出来ます。</t>
  </si>
  <si>
    <r>
      <rPr>
        <sz val="10"/>
        <color rgb="FF000000"/>
        <rFont val="游ゴシック"/>
      </rPr>
      <t>3 解析方法</t>
    </r>
  </si>
  <si>
    <t>　：A2セルに数字を入れる事で、借方合計、貸方合計、借方合計−貸方合計、借方合計+貸方合計 (借方のみの勘定科目と貸方のみの勘定科目を合計したい場合など) の結果が得られます。</t>
  </si>
  <si>
    <r>
      <t>　　解析する場合以外</t>
    </r>
    <r>
      <rPr>
        <sz val="10"/>
        <color rgb="FF000000"/>
        <rFont val="游ゴシック"/>
      </rPr>
      <t>は(余分な計算をさせないよう)</t>
    </r>
    <r>
      <rPr>
        <b/>
        <sz val="10"/>
        <color rgb="FF000000"/>
        <rFont val="游ゴシック"/>
      </rPr>
      <t>A2セルは空欄にしておく</t>
    </r>
    <r>
      <rPr>
        <sz val="10"/>
        <color rgb="FF000000"/>
        <rFont val="游ゴシック"/>
      </rPr>
      <t>ことで、通常の仕訳などでの入力レスポンスの低下を防ぐ事が出来ます。</t>
    </r>
  </si>
  <si>
    <t>　　テンプレートには借方合計−貸方合計で解析している例を示しました。役員報酬から社会保険料が天引きされ、各月の合計には手取り額が表示されています。</t>
  </si>
  <si>
    <t>Zaimシートの使い方</t>
  </si>
  <si>
    <r>
      <rPr>
        <sz val="10"/>
        <color rgb="FF000000"/>
        <rFont val="游ゴシック"/>
      </rPr>
      <t>このシートではeTAXが定める財務諸表のcsv形式データを作成します。</t>
    </r>
  </si>
  <si>
    <t>　eTAXの勘定科目コードは、業種：一般商工業 を使用しています。</t>
  </si>
  <si>
    <t>　：勘定科目名は、eTAXで定められた文字列とは異なっても問題ありません。</t>
  </si>
  <si>
    <t>　：タイトル行は、タイトル行になっている勘定科目コードを選ぶか、独自の番号の勘定科目コードをルールに従って作り、区分に T を入力します。</t>
  </si>
  <si>
    <t>　：階層番号は、eTAXで定められた番号とは異なっても、階層番号の付け方のルールに従っていれば問題ありません。</t>
  </si>
  <si>
    <r>
      <rPr>
        <sz val="10"/>
        <color rgb="FF000000"/>
        <rFont val="游ゴシック"/>
      </rPr>
      <t>　このシートのA列に rem と入力した行はコメント行です。eTAXのデータには取り込みません。1行目以外のコメント行は削除しても構いません。</t>
    </r>
  </si>
  <si>
    <r>
      <rPr>
        <sz val="10"/>
        <color rgb="FF000000"/>
        <rFont val="游ゴシック"/>
      </rPr>
      <t>　(コメント行を除く)</t>
    </r>
    <r>
      <rPr>
        <b/>
        <sz val="10"/>
        <color rgb="FF000000"/>
        <rFont val="游ゴシック"/>
      </rPr>
      <t>最初の5行は特別な扱いの行</t>
    </r>
    <r>
      <rPr>
        <sz val="10"/>
        <color rgb="FF000000"/>
        <rFont val="游ゴシック"/>
      </rPr>
      <t>なので、ガイド行の説明には当てはまりません。</t>
    </r>
    <r>
      <rPr>
        <b/>
        <sz val="10"/>
        <color rgb="FF000000"/>
        <rFont val="游ゴシック"/>
      </rPr>
      <t>異なる種類の財務諸表を続ける</t>
    </r>
    <r>
      <rPr>
        <sz val="10"/>
        <color rgb="FF000000"/>
        <rFont val="游ゴシック"/>
      </rPr>
      <t>場合は、その</t>
    </r>
    <r>
      <rPr>
        <b/>
        <sz val="10"/>
        <color rgb="FF000000"/>
        <rFont val="游ゴシック"/>
      </rPr>
      <t>最初の2行も特別な扱いの行</t>
    </r>
    <r>
      <rPr>
        <sz val="10"/>
        <color rgb="FF000000"/>
        <rFont val="游ゴシック"/>
      </rPr>
      <t>になります。</t>
    </r>
  </si>
  <si>
    <t>　：特別な扱いの行は(C列3行目のセルを除き)一行全てⓓ淡青色にしています。※C列3行目には法人名(全角50文字以内)を入力します。他の特別な扱いの行に変更を要する箇所はありません。</t>
  </si>
  <si>
    <t>　：テンプレートは 個別注記表、貸借対照表、損益計算書、社員資本等変動計算書 の順で書いています。決算の数字が自動的に反映するように計算式が入っているセルはⓓ淡青色です。</t>
  </si>
  <si>
    <t>　：個別注記表、貸借対照表、損益計算書、社員資本等変動計算書 は、項目の行を全てⓑ空色にしています。</t>
  </si>
  <si>
    <r>
      <rPr>
        <sz val="10"/>
        <color rgb="FF000000"/>
        <rFont val="游ゴシック"/>
      </rPr>
      <t>　個別注記表のテンプレートは、</t>
    </r>
    <r>
      <rPr>
        <b/>
        <sz val="10"/>
        <color rgb="FF000000"/>
        <rFont val="游ゴシック"/>
      </rPr>
      <t>固定資産と引当金は無い前提</t>
    </r>
    <r>
      <rPr>
        <sz val="10"/>
        <color rgb="FF000000"/>
        <rFont val="游ゴシック"/>
      </rPr>
      <t>で 持分会社の他の必須項目について記載しています。但し、記帳と法人確定申告を楽にする方針で書いている為、</t>
    </r>
    <r>
      <rPr>
        <b/>
        <sz val="10"/>
        <color rgb="FF000000"/>
        <rFont val="游ゴシック"/>
      </rPr>
      <t>内容は一般的ではありません</t>
    </r>
    <r>
      <rPr>
        <sz val="10"/>
        <color rgb="FF000000"/>
        <rFont val="游ゴシック"/>
      </rPr>
      <t>。</t>
    </r>
  </si>
  <si>
    <t>　損益計算書と貸借対照表はテンプレートの集計シートに登録している全ての項目と勘定科目について記載しています。枝番の勘定科目は記載しません。</t>
  </si>
  <si>
    <t>　：項目は残高が0でも表示されるようにしますが、残高が0の勘定科目はeTAXに取り込みません。その為に、A列のセルに計算式を入れ、そのセルをⓒ淡黄色にしています。(他の行にコピペ可能です。)</t>
  </si>
  <si>
    <r>
      <rPr>
        <sz val="10"/>
        <color rgb="FF000000"/>
        <rFont val="游ゴシック"/>
      </rPr>
      <t>　社員資本等変動計算書のテンプレートは</t>
    </r>
    <r>
      <rPr>
        <b/>
        <sz val="10"/>
        <color rgb="FF000000"/>
        <rFont val="游ゴシック"/>
      </rPr>
      <t>配当しない前提</t>
    </r>
    <r>
      <rPr>
        <sz val="10"/>
        <color rgb="FF000000"/>
        <rFont val="游ゴシック"/>
      </rPr>
      <t>で必須項目を記載しています。</t>
    </r>
  </si>
  <si>
    <t>　このテンプレートを参考に、自社の会計に合わせてデータの変更や必要とする勘定科目の追加などをして下さい。</t>
  </si>
  <si>
    <t>　：前年度のZaimシートのデータは勘定科目の追加が無ければそのまま使えます。</t>
  </si>
  <si>
    <r>
      <rPr>
        <sz val="10"/>
        <color rgb="FF000000"/>
        <rFont val="游ゴシック"/>
      </rPr>
      <t>eTAX の財務諸表にcsv形式データを取り込む方法</t>
    </r>
  </si>
  <si>
    <t>　Zaimシートを選んだ状態で、Googleスプレッドシートのメニューから ファイルを左クリック ⇒ ダウンロード ⇒ カンマ区切りの値 (.csv、現在のシート) を選びます。(ファイル名は自動的に決まります。)</t>
  </si>
  <si>
    <t>　：ExcelとLibreOffice Calcでは、ファイルを左クリック ⇒ 名前を付けて保存 ⇒ 保存先ファイル名：Zaimの文字列を含ませる、ファイルの種類：CSV UTF-8、無ければCSV(テキストCSV)を選びます。</t>
  </si>
  <si>
    <t>　：LibreOffice Calcでは「フィルター設定を編集する」にチェックを入れ、保存をクリックします。ウィンドウが開くので、単にOKを押して下さい。</t>
  </si>
  <si>
    <t>　：Excel Onlineでは、メニューから 挿入を左クリック ⇒ Export CSV として、選択肢は上から File、UTF-8、Comma、CRLF として Export to CSV をクリックします。(ファイル名は自動的に決まります。)</t>
  </si>
  <si>
    <t>　エクスポートしたファイルはデータをeTAXが定めるデータ形式に変更してからeTAX の財務諸表に取り込みます。その方法はEx2eTAXシートの使い方で説明します。</t>
  </si>
  <si>
    <t>Kamokシートの使い方</t>
  </si>
  <si>
    <r>
      <rPr>
        <sz val="10"/>
        <color rgb="FF000000"/>
        <rFont val="游ゴシック"/>
      </rPr>
      <t>このシートではeTAXが定める勘定科目内訳明細書のcsv形式データを作成します。</t>
    </r>
  </si>
  <si>
    <r>
      <rPr>
        <sz val="10"/>
        <color rgb="FF000000"/>
        <rFont val="游ゴシック"/>
      </rPr>
      <t>　eTAX に取り込む際には勘定科目毎に異なるファイルにする必要がある為に、以下のような仕掛けをしています。</t>
    </r>
  </si>
  <si>
    <r>
      <rPr>
        <sz val="10"/>
        <color rgb="FF000000"/>
        <rFont val="游ゴシック"/>
      </rPr>
      <t>　：各行のB列のデータには勘定科目に応じたファイル名が追加されてます。</t>
    </r>
  </si>
  <si>
    <r>
      <rPr>
        <sz val="10"/>
        <color rgb="FF000000"/>
        <rFont val="游ゴシック"/>
      </rPr>
      <t>　：勘定科目毎に使うデータ数も異なるので、最後のデータの次のセルに null という文字を入力します。(但し、項番19が最後のデータの場合は null の入力は不要です。)</t>
    </r>
  </si>
  <si>
    <t>　テンプレートは 預貯金等、預り金、借入金及び支払利子、役員給与等、の内訳書の順で書かれています。決算の数字が自動的に反映するように計算式が入っているセルはⓓ淡青色です。</t>
  </si>
  <si>
    <t>　：多くの勘定科目では前年度のKamokシートのデータがそのまま使えますが、期中に売買した場合など変更を要する場合もありますので、全ての勘定科目について変更の要不要を確認して下さい。</t>
  </si>
  <si>
    <r>
      <rPr>
        <sz val="10"/>
        <color rgb="FF000000"/>
        <rFont val="游ゴシック"/>
      </rPr>
      <t>eTAX の勘定科目内訳明細書にcsv形式データを取り込む方法</t>
    </r>
  </si>
  <si>
    <t>　Kamokシートを選んだ状態で、Googleスプレッドシートのメニューから ファイルを左クリック ⇒ ダウンロード ⇒ カンマ区切りの値 (.csv、現在のシート) を選びます。(ファイル名は自動的に決まります。)</t>
  </si>
  <si>
    <t>　：ExcelとLibreOffice Calcでは、ファイルを左クリック ⇒ 名前を付けて保存 ⇒ 保存先ファイル名：Kamokの文字列を含ませる、ファイルの種類：CSV UTF-8、無ければCSV(テキストCSV)を選びます。</t>
  </si>
  <si>
    <t>　エクスポートしたファイルはデータをeTAXが定めるデータ形式に変更してからeTAX の勘定科目内訳明細書に取り込みます。その方法はEx2eTAXシートの使い方で説明します。</t>
  </si>
  <si>
    <t>Ex2eTAXシートの使い方</t>
  </si>
  <si>
    <t>ZaimシートとKamokシートからエクスポートしたファイルを eTAX が読み込める形式に変換するバッチファイルです。※ Windows10上で動作します。</t>
  </si>
  <si>
    <t>Ex2eTAXシートのA列を選択し、Ctrl+Cでコピーします。メモ帳を開いてCtrl+Vで貼り付けます。名前を付けて保存⇒ファイル名：Ex2eTAX.bat として保存します。(拡張子以外のファイル名は任意です。)</t>
  </si>
  <si>
    <t>　：保存したバッチファイルは、ZaimシートとKamokシートからエクスポートしたファイル(両方又はどちらか一方)と同じフォルダに置きます。</t>
  </si>
  <si>
    <t>　：ZaimシートとKamokシートからエクスポートしたファイルのファイル名は変更しません。※ ExcelとLibreOffice Calcでは、保存先ファイル名にZaimやKamokの文字列を入れておいて下さい。</t>
  </si>
  <si>
    <t>　：バッチファイルと同じフォルダにZaimシートとKamokシートからエクスポートしたファイルが複数あっても構いませんが、それぞれ一つのファイルしか処理しません。</t>
  </si>
  <si>
    <t>　：Excel利用時にZaimシートやKamokシートのエクスポートでCSV UTF-8が選べずCSV(Shift-JISになる)とした場合、バッチファイルの8行目のUTF8はDefaultに変更する必要があります。</t>
  </si>
  <si>
    <t>バッチファイルをダブルクリックします。</t>
  </si>
  <si>
    <r>
      <rPr>
        <sz val="10"/>
        <color rgb="FF000000"/>
        <rFont val="游ゴシック"/>
      </rPr>
      <t xml:space="preserve">　ターミナルウインドウが現れ、出力名に付加する文字の入力待ち状態になります。何かの文字を入力或いは何も入力しないで </t>
    </r>
    <r>
      <rPr>
        <b/>
        <sz val="10"/>
        <color rgb="FF000000"/>
        <rFont val="游ゴシック"/>
      </rPr>
      <t>Enterキーを押すと処理を開始</t>
    </r>
    <r>
      <rPr>
        <sz val="10"/>
        <color rgb="FF000000"/>
        <rFont val="游ゴシック"/>
      </rPr>
      <t>します。</t>
    </r>
  </si>
  <si>
    <t>　処理中に、「Processing 'ファイル名'. という表示が出ます。同じフォルダに複数のエクスポートしたファイルがあった場合でも、この表示で実際に処理されたファイルが確認出来ます。</t>
  </si>
  <si>
    <t>　：バッチファイルのあるディレクトリ上で dir *.csv のコマンドにより得られたファイルのリストの内で(Zaim又はKamokの文字列に)一番先にマッチしたファイルが処理されます。</t>
  </si>
  <si>
    <t>　処理が終了すると、「続行するには何かキーを押して下さい」との表示が出ます。処理結果を確認した後に、何かのキーを押すとターミナルウィンドウが閉じます。</t>
  </si>
  <si>
    <t>　：財務諸表は HOT101_3.0.csv という名のファイル、勘定科目内訳明細書は kamok という名のフォルダ内のファイルに出力されます。</t>
  </si>
  <si>
    <t>　：付加する文字として〇〇を入力した場合、財務諸表は HOT101_3.0_〇〇.csv という名のファイル、勘定科目内訳明細書は kamok_〇〇 という名のフォルダ内のファイルに出力されます。</t>
  </si>
  <si>
    <t>そのファイル及びフォルダを指定して eTAX の財務諸表と勘定科目内訳明細書に取り込みます。詳細は下記を参照して下さい。</t>
  </si>
  <si>
    <t>法人税申告の財務諸表等を組み込む　https://www.e-tax.nta.go.jp/manual/manual21.pdf</t>
  </si>
  <si>
    <t>このテンプレートを株式会社用にする為の変更点</t>
  </si>
  <si>
    <r>
      <rPr>
        <sz val="10"/>
        <color rgb="FF000000"/>
        <rFont val="游ゴシック"/>
      </rPr>
      <t>1 諸表シート</t>
    </r>
  </si>
  <si>
    <r>
      <rPr>
        <sz val="10"/>
        <color rgb="FF000000"/>
        <rFont val="游ゴシック"/>
      </rPr>
      <t>　社員資本 ⇒ 株主資本 に変更します。(2箇所)</t>
    </r>
  </si>
  <si>
    <t>2 Zaimシート</t>
  </si>
  <si>
    <r>
      <rPr>
        <sz val="10"/>
        <color rgb="FF000000"/>
        <rFont val="游ゴシック"/>
      </rPr>
      <t>　社員資本 ⇒ 株主資本 に変更します。(B列に5箇所)</t>
    </r>
  </si>
  <si>
    <r>
      <rPr>
        <sz val="10"/>
        <color rgb="FF000000"/>
        <rFont val="游ゴシック"/>
      </rPr>
      <t>　　列Bを選択し、Googleスプレッドシートのメニューから 編集 を左クリック ⇒ 検索と置換 を選択する。検索:社員資本、置換後の文字列:株主資本、としてから 全て置換 を実行します。</t>
    </r>
  </si>
  <si>
    <r>
      <rPr>
        <sz val="10"/>
        <color rgb="FF000000"/>
        <rFont val="游ゴシック"/>
      </rPr>
      <t>　SE ⇒ SS に変更します。(C列に1箇所、F列に多数存在)</t>
    </r>
  </si>
  <si>
    <r>
      <rPr>
        <sz val="10"/>
        <color rgb="FF000000"/>
        <rFont val="游ゴシック"/>
      </rPr>
      <t>　　列C〜列Fを選択し、Googleスプレッドシートのメニューから 編集 を左クリック ⇒ 検索と置換 を選択する。検索:SE、置換後の文字列:SS、としてから 全て置換 を実行します。</t>
    </r>
  </si>
  <si>
    <t>3 Kamokシート</t>
  </si>
  <si>
    <r>
      <rPr>
        <sz val="10"/>
        <color rgb="FF000000"/>
        <rFont val="游ゴシック"/>
      </rPr>
      <t>　C列(科目)が 14-1 の行、E列(項番3)の値を 21 ⇒ 01 に変更します。 役員給与等の内訳(代表者)に於ける代表者の役職名で、21 は代表社員、01 は代表取締役です。</t>
    </r>
  </si>
  <si>
    <t>このテンプレートのデータについて</t>
  </si>
  <si>
    <t>このテンプレートには関数部分とデータ部分があります。</t>
  </si>
  <si>
    <t>　関数部分は、一般的な会社の会計帳簿に必要な機能はほぼ揃えています。</t>
  </si>
  <si>
    <t>　データ部分には、集計シートに登録した勘定科目と仕訳データがあります。</t>
  </si>
  <si>
    <t>　　勘定科目では、一般に用いられている勘定科目を登録していますが、中には意図的に登録していないものがあります。現金、減価償却費、未払法人税等などです。</t>
  </si>
  <si>
    <t>　　：役員借入金の増加と減少は、会社の支出と収入を役員が現金で行う代わりになります。役員借入金があると、あたかも会社の中に役員の普通預金口座があるように仕訳出来て便利です。</t>
  </si>
  <si>
    <t>　　：固定資産は面倒くさいので持たないようにするなら、減価償却費は不要です。</t>
  </si>
  <si>
    <t>　　：法人税関係は支払い時に計上するようにすると、未払法人税等(税務上は納税充当金)は不要です。納税充当金を使わなければ、法人確定申告の書類作成は容易になります。</t>
  </si>
  <si>
    <t>　　逆に、自動的に収益が得られる可能性がある投資有価証券、自動的に費用になる社宅などに関連する勘定科目、などは零細企業には一般的ではないかもしれませんが登録しています。</t>
  </si>
  <si>
    <t>　　仕訳データでは、究極に少ない仕訳、かつ法人確定申告の書類が最小限となる例を作りました。(フィクションです。)</t>
  </si>
  <si>
    <t>　　：役員一人に毎月最低限の報酬を支払うだけの仕訳ですが、(簿記の教科書の仕訳例とは異なり)本物の会社の一年間の仕訳がどんなものなのかの参考になると思います。</t>
  </si>
  <si>
    <t>　(例) 2008年5月1日に設立されてから、一度も法人所得が黒字でなく、法人県民税と法人市民税の均等割のみを支払っている合同会社の2020年度決算終了時点のデータを想定しています。</t>
  </si>
  <si>
    <r>
      <rPr>
        <sz val="10"/>
        <color rgb="FF000000"/>
        <rFont val="游ゴシック"/>
      </rPr>
      <t>　毎年の決算時に法人所得額の赤字を役員借入金の債務免除でゼロ(当期純利益は均等割の分だけ赤字)にしています。　債務超過になると会社の清算ができなくなるので、その時期を延ばす為らしいです。</t>
    </r>
  </si>
  <si>
    <t>　その会社の均等割の支払額の合計(12年8ヶ月分)は、繰越利益剰余金の赤字額と一致します。</t>
  </si>
  <si>
    <r>
      <rPr>
        <sz val="10"/>
        <color rgb="FF000000"/>
        <rFont val="游ゴシック"/>
      </rPr>
      <t>　申告する法人所得は赤字では無いので、別表7 (欠損金に関する書類) を書く必要もないらしいです。</t>
    </r>
  </si>
  <si>
    <t>　従業員は無し(労災保険、雇用保険が適用されない)、給与支払いは役員一人のみの会社です。この年度の売上もありません。黒字を減らす必要もないので、役員の財布から出した経費は計上してません。</t>
  </si>
  <si>
    <r>
      <rPr>
        <sz val="10"/>
        <color rgb="FF000000"/>
        <rFont val="游ゴシック"/>
      </rPr>
      <t>　銀行預金の利子が発生しないように決済用預金にしています。(ゆうちょ銀行の場合は、通常貯金の限度額をゼロにすることで全額が振替口座となります。)　利子の仕訳が面倒くさいからのようです。</t>
    </r>
  </si>
  <si>
    <r>
      <rPr>
        <sz val="10"/>
        <color rgb="FF000000"/>
        <rFont val="游ゴシック"/>
      </rPr>
      <t>　給与支払いは(従業員なら労働基準法により現金での支給が義務付けられているが、役員なので)口座振込にせず、役員借入金の増加で済ませているらしいです。</t>
    </r>
  </si>
  <si>
    <t>　役員報酬額は給与所得がゼロ(千円未満は切り捨て)になるように設定してるので、源泉徴収や特別徴収はありません。</t>
  </si>
  <si>
    <r>
      <rPr>
        <sz val="10"/>
        <color rgb="FF000000"/>
        <rFont val="游ゴシック"/>
      </rPr>
      <t>　会社の会計年度が暦年と一致しているので、所得税徴収高計算書と年末調整の書類を書くのに便利なようです。(会計年度が暦年と異なれば2年分の会計データが必要になる。)</t>
    </r>
  </si>
  <si>
    <t>　：月次シートで 役員報酬 1 と社保預り金 1 を解析させ、数字を丸写しして楽をしているようです。(元帳シートを作れば、月次シートを使わなくても役員毎の月次の数字が得られます。)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</si>
</sst>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
    <numFmt numFmtId="178" formatCode="m/d/yyyy\ h:mm:ss"/>
    <numFmt numFmtId="179" formatCode="#"/>
  </numFmts>
  <fonts count="15">
    <font>
      <sz val="10"/>
      <color rgb="FF000000"/>
      <name val="游ゴシック"/>
    </font>
    <font>
      <sz val="10"/>
      <name val="游ゴシック"/>
    </font>
    <font>
      <b/>
      <sz val="10"/>
      <color rgb="FF000000"/>
      <name val="游ゴシック"/>
    </font>
    <font>
      <b/>
      <sz val="10"/>
      <color rgb="FFC2D1F0"/>
      <name val="游ゴシック"/>
    </font>
    <font>
      <sz val="10"/>
      <color rgb="FFCCFFFF"/>
      <name val="游ゴシック"/>
    </font>
    <font>
      <sz val="10"/>
      <color rgb="FFFFFF99"/>
      <name val="游ゴシック"/>
    </font>
    <font>
      <sz val="10"/>
      <color rgb="FFC2D1F0"/>
      <name val="游ゴシック"/>
    </font>
    <font>
      <u/>
      <sz val="10"/>
      <color rgb="FF0563C1"/>
      <name val="游ゴシック"/>
    </font>
    <font>
      <sz val="11"/>
      <color rgb="FF000000"/>
      <name val="游ゴシック"/>
    </font>
    <font>
      <sz val="10"/>
      <color theme="1"/>
      <name val="游ゴシック"/>
    </font>
    <font>
      <u/>
      <sz val="10"/>
      <color rgb="FF0000FF"/>
      <name val="游ゴシック"/>
    </font>
    <font>
      <u/>
      <sz val="10"/>
      <color rgb="FF1155CC"/>
      <name val="游ゴシック"/>
    </font>
    <font>
      <sz val="11"/>
      <color rgb="FF444444"/>
      <name val="游ゴシック"/>
    </font>
    <font>
      <b/>
      <sz val="11"/>
      <color rgb="FF000000"/>
      <name val="游ゴシック"/>
    </font>
    <font>
      <u/>
      <sz val="10"/>
      <color theme="10"/>
      <name val="游ゴシック"/>
    </font>
  </fonts>
  <fills count="6">
    <fill>
      <patternFill patternType="none"/>
    </fill>
    <fill>
      <patternFill patternType="gray125"/>
    </fill>
    <fill>
      <patternFill patternType="solid">
        <fgColor rgb="FFC2D1F0"/>
        <bgColor rgb="FFC2D1F0"/>
      </patternFill>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4" fillId="0" borderId="0" applyNumberFormat="0" applyFill="0" applyBorder="0" applyAlignment="0" applyProtection="0"/>
  </cellStyleXfs>
  <cellXfs count="206">
    <xf numFmtId="0" fontId="0" fillId="0" borderId="0" xfId="0" applyFont="1" applyAlignment="1"/>
    <xf numFmtId="0" fontId="2" fillId="2" borderId="1" xfId="0" applyFont="1" applyFill="1" applyBorder="1" applyAlignment="1">
      <alignment horizontal="left"/>
    </xf>
    <xf numFmtId="0" fontId="0" fillId="3" borderId="1" xfId="0" applyFont="1" applyFill="1" applyBorder="1" applyAlignment="1">
      <alignment horizontal="left"/>
    </xf>
    <xf numFmtId="176" fontId="0" fillId="0" borderId="1" xfId="0" applyNumberFormat="1" applyFont="1" applyBorder="1" applyAlignment="1">
      <alignment horizontal="center"/>
    </xf>
    <xf numFmtId="0" fontId="0" fillId="0" borderId="1" xfId="0" applyFont="1" applyBorder="1" applyAlignment="1">
      <alignment horizontal="center" wrapText="1"/>
    </xf>
    <xf numFmtId="0" fontId="0" fillId="0" borderId="1" xfId="0" applyFont="1" applyBorder="1" applyAlignment="1">
      <alignment horizontal="center"/>
    </xf>
    <xf numFmtId="3" fontId="0" fillId="0" borderId="1" xfId="0" applyNumberFormat="1" applyFont="1" applyBorder="1" applyAlignment="1">
      <alignment horizontal="right"/>
    </xf>
    <xf numFmtId="3" fontId="0" fillId="0" borderId="1" xfId="0" applyNumberFormat="1" applyFont="1" applyBorder="1" applyAlignment="1">
      <alignment wrapText="1"/>
    </xf>
    <xf numFmtId="3" fontId="0" fillId="0" borderId="1" xfId="0" applyNumberFormat="1" applyFont="1" applyBorder="1" applyAlignment="1">
      <alignment horizontal="right" wrapText="1"/>
    </xf>
    <xf numFmtId="0" fontId="0" fillId="0" borderId="1" xfId="0" applyFont="1" applyBorder="1" applyAlignment="1">
      <alignment wrapText="1"/>
    </xf>
    <xf numFmtId="0" fontId="6" fillId="2" borderId="1" xfId="0" applyFont="1" applyFill="1" applyBorder="1" applyAlignment="1">
      <alignment horizontal="left"/>
    </xf>
    <xf numFmtId="1" fontId="5" fillId="3" borderId="1" xfId="0" applyNumberFormat="1" applyFont="1" applyFill="1" applyBorder="1" applyAlignment="1">
      <alignment horizontal="right"/>
    </xf>
    <xf numFmtId="177" fontId="0" fillId="3" borderId="1" xfId="0" applyNumberFormat="1" applyFont="1" applyFill="1" applyBorder="1" applyAlignment="1">
      <alignment horizontal="left"/>
    </xf>
    <xf numFmtId="1" fontId="5" fillId="4" borderId="1" xfId="0" applyNumberFormat="1" applyFont="1" applyFill="1" applyBorder="1" applyAlignment="1">
      <alignment horizontal="right"/>
    </xf>
    <xf numFmtId="177" fontId="0" fillId="0" borderId="1" xfId="0" applyNumberFormat="1" applyFont="1" applyBorder="1" applyAlignment="1">
      <alignment horizontal="left"/>
    </xf>
    <xf numFmtId="0" fontId="0" fillId="2" borderId="1" xfId="0" applyFont="1" applyFill="1" applyBorder="1" applyAlignment="1">
      <alignment horizontal="left"/>
    </xf>
    <xf numFmtId="0" fontId="0" fillId="2" borderId="1" xfId="0" applyFont="1" applyFill="1" applyBorder="1" applyAlignment="1">
      <alignment horizontal="right"/>
    </xf>
    <xf numFmtId="1" fontId="0" fillId="2" borderId="1" xfId="0" applyNumberFormat="1" applyFont="1" applyFill="1" applyBorder="1" applyAlignment="1">
      <alignment horizontal="right"/>
    </xf>
    <xf numFmtId="0" fontId="0" fillId="3" borderId="1" xfId="0" applyFont="1" applyFill="1" applyBorder="1" applyAlignment="1">
      <alignment horizontal="center" wrapText="1"/>
    </xf>
    <xf numFmtId="0" fontId="0" fillId="3" borderId="1" xfId="0" applyFont="1" applyFill="1" applyBorder="1" applyAlignment="1">
      <alignment wrapText="1"/>
    </xf>
    <xf numFmtId="177" fontId="0" fillId="0" borderId="1" xfId="0" applyNumberFormat="1" applyFont="1" applyBorder="1" applyAlignment="1">
      <alignment wrapText="1"/>
    </xf>
    <xf numFmtId="3" fontId="0" fillId="4" borderId="1" xfId="0" applyNumberFormat="1" applyFont="1" applyFill="1" applyBorder="1" applyAlignment="1">
      <alignment horizontal="right"/>
    </xf>
    <xf numFmtId="177" fontId="0" fillId="0" borderId="1" xfId="0" applyNumberFormat="1" applyFont="1" applyBorder="1" applyAlignment="1">
      <alignment horizontal="left" wrapText="1"/>
    </xf>
    <xf numFmtId="177" fontId="0" fillId="3" borderId="1" xfId="0" applyNumberFormat="1" applyFont="1" applyFill="1" applyBorder="1" applyAlignment="1">
      <alignment horizontal="right"/>
    </xf>
    <xf numFmtId="3" fontId="0" fillId="4" borderId="1" xfId="0" applyNumberFormat="1" applyFont="1" applyFill="1" applyBorder="1" applyAlignment="1">
      <alignment horizontal="center"/>
    </xf>
    <xf numFmtId="0" fontId="0" fillId="3" borderId="1" xfId="0" applyFont="1" applyFill="1" applyBorder="1" applyAlignment="1">
      <alignment horizontal="center"/>
    </xf>
    <xf numFmtId="177" fontId="0" fillId="3" borderId="1" xfId="0" applyNumberFormat="1" applyFont="1" applyFill="1" applyBorder="1" applyAlignment="1">
      <alignment wrapText="1"/>
    </xf>
    <xf numFmtId="3" fontId="0" fillId="3" borderId="1" xfId="0" applyNumberFormat="1" applyFont="1" applyFill="1" applyBorder="1" applyAlignment="1">
      <alignment horizontal="right"/>
    </xf>
    <xf numFmtId="3" fontId="0" fillId="3" borderId="1" xfId="0" applyNumberFormat="1" applyFont="1" applyFill="1" applyBorder="1" applyAlignment="1">
      <alignment horizontal="center"/>
    </xf>
    <xf numFmtId="177" fontId="0" fillId="5" borderId="1" xfId="0" applyNumberFormat="1" applyFont="1" applyFill="1" applyBorder="1" applyAlignment="1">
      <alignment wrapText="1"/>
    </xf>
    <xf numFmtId="0" fontId="2" fillId="2" borderId="0" xfId="0" applyFont="1" applyFill="1" applyAlignment="1">
      <alignment horizontal="right" wrapText="1"/>
    </xf>
    <xf numFmtId="0" fontId="2" fillId="2" borderId="0" xfId="0" applyFont="1" applyFill="1" applyAlignment="1">
      <alignment wrapText="1"/>
    </xf>
    <xf numFmtId="0" fontId="0" fillId="0" borderId="0" xfId="0" applyFont="1" applyAlignment="1">
      <alignment horizontal="right" wrapText="1"/>
    </xf>
    <xf numFmtId="0" fontId="2" fillId="0" borderId="0" xfId="0" applyFont="1" applyAlignment="1">
      <alignment wrapText="1"/>
    </xf>
    <xf numFmtId="0" fontId="0" fillId="0" borderId="0" xfId="0" applyFont="1" applyAlignment="1">
      <alignment wrapText="1"/>
    </xf>
    <xf numFmtId="0" fontId="0" fillId="3" borderId="0" xfId="0" applyFont="1" applyFill="1" applyAlignment="1">
      <alignment horizontal="right" wrapText="1"/>
    </xf>
    <xf numFmtId="0" fontId="0" fillId="3" borderId="0" xfId="0" applyFont="1" applyFill="1" applyAlignment="1">
      <alignment wrapText="1"/>
    </xf>
    <xf numFmtId="0" fontId="8" fillId="0" borderId="0" xfId="0" applyFont="1" applyAlignment="1"/>
    <xf numFmtId="0" fontId="0" fillId="4" borderId="0" xfId="0" applyFont="1" applyFill="1" applyAlignment="1">
      <alignment horizontal="right" wrapText="1"/>
    </xf>
    <xf numFmtId="0" fontId="0" fillId="2" borderId="0" xfId="0" applyFont="1" applyFill="1" applyAlignment="1">
      <alignment horizontal="right" wrapText="1"/>
    </xf>
    <xf numFmtId="0" fontId="8" fillId="0" borderId="0" xfId="0" applyFont="1" applyAlignment="1">
      <alignment wrapText="1"/>
    </xf>
    <xf numFmtId="0" fontId="0" fillId="2" borderId="0" xfId="0" applyFont="1" applyFill="1" applyAlignment="1">
      <alignment wrapText="1"/>
    </xf>
    <xf numFmtId="49" fontId="0" fillId="2" borderId="3" xfId="0" applyNumberFormat="1" applyFont="1" applyFill="1" applyBorder="1" applyAlignment="1">
      <alignment wrapText="1"/>
    </xf>
    <xf numFmtId="49" fontId="0" fillId="0" borderId="0" xfId="0" applyNumberFormat="1" applyFont="1" applyAlignment="1">
      <alignment wrapText="1"/>
    </xf>
    <xf numFmtId="0" fontId="0" fillId="2" borderId="3" xfId="0" applyFont="1" applyFill="1" applyBorder="1" applyAlignment="1">
      <alignment wrapText="1"/>
    </xf>
    <xf numFmtId="0" fontId="2" fillId="2" borderId="1" xfId="0" applyFont="1" applyFill="1" applyBorder="1" applyAlignment="1">
      <alignment horizontal="center" wrapText="1"/>
    </xf>
    <xf numFmtId="49" fontId="2" fillId="2" borderId="1" xfId="0" applyNumberFormat="1" applyFont="1" applyFill="1" applyBorder="1" applyAlignment="1">
      <alignment horizontal="center" wrapText="1"/>
    </xf>
    <xf numFmtId="0" fontId="2" fillId="2" borderId="1" xfId="0" applyFont="1" applyFill="1" applyBorder="1" applyAlignment="1">
      <alignment horizontal="right" wrapText="1"/>
    </xf>
    <xf numFmtId="49" fontId="0" fillId="2" borderId="1" xfId="0" applyNumberFormat="1" applyFont="1" applyFill="1" applyBorder="1" applyAlignment="1">
      <alignment horizontal="center" wrapText="1"/>
    </xf>
    <xf numFmtId="0" fontId="0" fillId="2" borderId="1" xfId="0" applyFont="1" applyFill="1" applyBorder="1" applyAlignment="1">
      <alignment horizontal="left" wrapText="1"/>
    </xf>
    <xf numFmtId="0" fontId="0" fillId="2" borderId="1" xfId="0" applyFont="1" applyFill="1" applyBorder="1" applyAlignment="1">
      <alignment wrapText="1"/>
    </xf>
    <xf numFmtId="176" fontId="0" fillId="2" borderId="1" xfId="0" applyNumberFormat="1" applyFont="1" applyFill="1" applyBorder="1" applyAlignment="1">
      <alignment horizontal="center" wrapText="1"/>
    </xf>
    <xf numFmtId="176" fontId="6" fillId="2" borderId="1" xfId="0" applyNumberFormat="1" applyFont="1" applyFill="1" applyBorder="1" applyAlignment="1">
      <alignment horizontal="center" wrapText="1"/>
    </xf>
    <xf numFmtId="0" fontId="0" fillId="2" borderId="1" xfId="0" applyFont="1" applyFill="1" applyBorder="1" applyAlignment="1">
      <alignment horizontal="center" wrapText="1"/>
    </xf>
    <xf numFmtId="49" fontId="0" fillId="3" borderId="1" xfId="0" applyNumberFormat="1" applyFont="1" applyFill="1" applyBorder="1" applyAlignment="1">
      <alignment horizontal="left"/>
    </xf>
    <xf numFmtId="49" fontId="0" fillId="4" borderId="1" xfId="0" applyNumberFormat="1" applyFont="1" applyFill="1" applyBorder="1" applyAlignment="1">
      <alignment wrapText="1"/>
    </xf>
    <xf numFmtId="3" fontId="0" fillId="4" borderId="1" xfId="0" applyNumberFormat="1" applyFont="1" applyFill="1" applyBorder="1" applyAlignment="1">
      <alignment wrapText="1"/>
    </xf>
    <xf numFmtId="3" fontId="0" fillId="2" borderId="1" xfId="0" applyNumberFormat="1" applyFont="1" applyFill="1" applyBorder="1" applyAlignment="1">
      <alignment horizontal="right" wrapText="1"/>
    </xf>
    <xf numFmtId="1" fontId="3" fillId="2" borderId="0" xfId="0" applyNumberFormat="1" applyFont="1" applyFill="1" applyAlignment="1">
      <alignment horizontal="right" wrapText="1"/>
    </xf>
    <xf numFmtId="177" fontId="2" fillId="2" borderId="3" xfId="0" applyNumberFormat="1" applyFont="1" applyFill="1" applyBorder="1" applyAlignment="1">
      <alignment horizontal="left"/>
    </xf>
    <xf numFmtId="177" fontId="3" fillId="2" borderId="3" xfId="0" applyNumberFormat="1" applyFont="1" applyFill="1" applyBorder="1" applyAlignment="1">
      <alignment horizontal="right"/>
    </xf>
    <xf numFmtId="3" fontId="2" fillId="2" borderId="3" xfId="0" applyNumberFormat="1" applyFont="1" applyFill="1" applyBorder="1" applyAlignment="1">
      <alignment horizontal="right"/>
    </xf>
    <xf numFmtId="177" fontId="3" fillId="2" borderId="3" xfId="0" applyNumberFormat="1" applyFont="1" applyFill="1" applyBorder="1" applyAlignment="1">
      <alignment horizontal="left"/>
    </xf>
    <xf numFmtId="1" fontId="0" fillId="0" borderId="0" xfId="0" applyNumberFormat="1" applyFont="1" applyAlignment="1">
      <alignment horizontal="right"/>
    </xf>
    <xf numFmtId="177" fontId="0" fillId="0" borderId="0" xfId="0" applyNumberFormat="1" applyFont="1" applyAlignment="1">
      <alignment horizontal="left"/>
    </xf>
    <xf numFmtId="177" fontId="0" fillId="0" borderId="0" xfId="0" applyNumberFormat="1" applyFont="1" applyAlignment="1">
      <alignment horizontal="right"/>
    </xf>
    <xf numFmtId="3" fontId="0" fillId="0" borderId="0" xfId="0" applyNumberFormat="1" applyFont="1" applyAlignment="1">
      <alignment horizontal="right"/>
    </xf>
    <xf numFmtId="177" fontId="2" fillId="2" borderId="3" xfId="0" applyNumberFormat="1" applyFont="1" applyFill="1" applyBorder="1" applyAlignment="1">
      <alignment horizontal="right"/>
    </xf>
    <xf numFmtId="1" fontId="2" fillId="0" borderId="0" xfId="0" applyNumberFormat="1" applyFont="1" applyAlignment="1">
      <alignment horizontal="right"/>
    </xf>
    <xf numFmtId="177" fontId="2" fillId="0" borderId="0" xfId="0" applyNumberFormat="1" applyFont="1" applyAlignment="1">
      <alignment horizontal="left"/>
    </xf>
    <xf numFmtId="177" fontId="2" fillId="2" borderId="1" xfId="0" applyNumberFormat="1" applyFont="1" applyFill="1" applyBorder="1" applyAlignment="1">
      <alignment horizontal="right"/>
    </xf>
    <xf numFmtId="177" fontId="0" fillId="2" borderId="1" xfId="0" applyNumberFormat="1" applyFont="1" applyFill="1" applyBorder="1" applyAlignment="1">
      <alignment horizontal="right"/>
    </xf>
    <xf numFmtId="0" fontId="0" fillId="2" borderId="1" xfId="0" applyFont="1" applyFill="1" applyBorder="1" applyAlignment="1">
      <alignment horizontal="center"/>
    </xf>
    <xf numFmtId="177" fontId="0" fillId="0" borderId="1" xfId="0" applyNumberFormat="1" applyFont="1" applyBorder="1" applyAlignment="1">
      <alignment horizontal="right"/>
    </xf>
    <xf numFmtId="3" fontId="0" fillId="2" borderId="1" xfId="0" applyNumberFormat="1" applyFont="1" applyFill="1" applyBorder="1" applyAlignment="1">
      <alignment horizontal="right"/>
    </xf>
    <xf numFmtId="177" fontId="8" fillId="0" borderId="0" xfId="0" applyNumberFormat="1" applyFont="1" applyAlignment="1">
      <alignment wrapText="1"/>
    </xf>
    <xf numFmtId="1" fontId="3" fillId="2" borderId="0" xfId="0" applyNumberFormat="1" applyFont="1" applyFill="1" applyAlignment="1">
      <alignment horizontal="right"/>
    </xf>
    <xf numFmtId="177" fontId="13" fillId="2" borderId="3" xfId="0" applyNumberFormat="1" applyFont="1" applyFill="1" applyBorder="1" applyAlignment="1">
      <alignment wrapText="1"/>
    </xf>
    <xf numFmtId="1" fontId="0" fillId="2" borderId="0" xfId="0" applyNumberFormat="1" applyFont="1" applyFill="1" applyAlignment="1">
      <alignment horizontal="right"/>
    </xf>
    <xf numFmtId="177" fontId="0" fillId="2" borderId="3" xfId="0" applyNumberFormat="1" applyFont="1" applyFill="1" applyBorder="1" applyAlignment="1">
      <alignment horizontal="left" wrapText="1"/>
    </xf>
    <xf numFmtId="177" fontId="0" fillId="2" borderId="3" xfId="0" applyNumberFormat="1" applyFont="1" applyFill="1" applyBorder="1" applyAlignment="1">
      <alignment horizontal="right"/>
    </xf>
    <xf numFmtId="177" fontId="0" fillId="2" borderId="3" xfId="0" applyNumberFormat="1" applyFont="1" applyFill="1" applyBorder="1" applyAlignment="1">
      <alignment horizontal="left"/>
    </xf>
    <xf numFmtId="3" fontId="0" fillId="2" borderId="3" xfId="0" applyNumberFormat="1" applyFont="1" applyFill="1" applyBorder="1" applyAlignment="1">
      <alignment horizontal="right"/>
    </xf>
    <xf numFmtId="0" fontId="14" fillId="0" borderId="0" xfId="1" applyAlignment="1">
      <alignment wrapText="1"/>
    </xf>
    <xf numFmtId="0" fontId="0" fillId="0" borderId="0" xfId="0" applyFont="1" applyAlignment="1"/>
    <xf numFmtId="0" fontId="0" fillId="0" borderId="0" xfId="0" applyFont="1" applyAlignment="1">
      <alignment horizontal="center"/>
    </xf>
    <xf numFmtId="49" fontId="2" fillId="2" borderId="1" xfId="0" applyNumberFormat="1" applyFont="1" applyFill="1" applyBorder="1" applyAlignment="1">
      <alignment horizontal="center"/>
    </xf>
    <xf numFmtId="0" fontId="2" fillId="2" borderId="1" xfId="0" applyFont="1" applyFill="1" applyBorder="1" applyAlignment="1">
      <alignment horizontal="center"/>
    </xf>
    <xf numFmtId="3" fontId="2" fillId="2" borderId="1" xfId="0" applyNumberFormat="1" applyFont="1" applyFill="1" applyBorder="1" applyAlignment="1">
      <alignment horizontal="right"/>
    </xf>
    <xf numFmtId="1" fontId="3" fillId="2" borderId="1" xfId="0" applyNumberFormat="1" applyFont="1" applyFill="1" applyBorder="1" applyAlignment="1">
      <alignment horizontal="center"/>
    </xf>
    <xf numFmtId="0" fontId="2" fillId="2" borderId="1" xfId="0" applyFont="1" applyFill="1" applyBorder="1" applyAlignment="1"/>
    <xf numFmtId="0" fontId="2" fillId="2" borderId="1" xfId="0" applyFont="1" applyFill="1" applyBorder="1" applyAlignment="1">
      <alignment horizontal="right"/>
    </xf>
    <xf numFmtId="0" fontId="2" fillId="2" borderId="4" xfId="0" applyFont="1" applyFill="1" applyBorder="1" applyAlignment="1">
      <alignment horizontal="right"/>
    </xf>
    <xf numFmtId="0" fontId="3" fillId="2" borderId="4" xfId="0" applyFont="1" applyFill="1" applyBorder="1" applyAlignment="1">
      <alignment horizontal="center"/>
    </xf>
    <xf numFmtId="0" fontId="3" fillId="2" borderId="2" xfId="0" applyFont="1" applyFill="1" applyBorder="1" applyAlignment="1">
      <alignment horizontal="center"/>
    </xf>
    <xf numFmtId="0" fontId="2" fillId="2" borderId="2" xfId="0" applyFont="1" applyFill="1" applyBorder="1" applyAlignment="1"/>
    <xf numFmtId="176" fontId="4" fillId="3" borderId="1" xfId="0" applyNumberFormat="1" applyFont="1" applyFill="1" applyBorder="1" applyAlignment="1">
      <alignment horizontal="center"/>
    </xf>
    <xf numFmtId="0" fontId="4" fillId="3" borderId="1" xfId="0" applyFont="1" applyFill="1" applyBorder="1" applyAlignment="1">
      <alignment horizontal="center"/>
    </xf>
    <xf numFmtId="1" fontId="0" fillId="3" borderId="1" xfId="0" applyNumberFormat="1" applyFont="1" applyFill="1" applyBorder="1" applyAlignment="1">
      <alignment horizontal="center"/>
    </xf>
    <xf numFmtId="0" fontId="0" fillId="3" borderId="1" xfId="0" applyFont="1" applyFill="1" applyBorder="1" applyAlignment="1"/>
    <xf numFmtId="0" fontId="0" fillId="3" borderId="1" xfId="0" applyFont="1" applyFill="1" applyBorder="1" applyAlignment="1">
      <alignment horizontal="right"/>
    </xf>
    <xf numFmtId="0" fontId="0" fillId="3" borderId="4" xfId="0" applyFont="1" applyFill="1" applyBorder="1" applyAlignment="1">
      <alignment horizontal="right"/>
    </xf>
    <xf numFmtId="0" fontId="0" fillId="3" borderId="4" xfId="0" applyFont="1" applyFill="1" applyBorder="1" applyAlignment="1">
      <alignment horizontal="center"/>
    </xf>
    <xf numFmtId="0" fontId="0" fillId="3" borderId="2" xfId="0" applyFont="1" applyFill="1" applyBorder="1" applyAlignment="1">
      <alignment horizontal="center"/>
    </xf>
    <xf numFmtId="0" fontId="0" fillId="3" borderId="2" xfId="0" applyFont="1" applyFill="1" applyBorder="1" applyAlignment="1"/>
    <xf numFmtId="0" fontId="0" fillId="0" borderId="1" xfId="0" applyFont="1" applyBorder="1" applyAlignment="1">
      <alignment horizontal="left"/>
    </xf>
    <xf numFmtId="1" fontId="5" fillId="4" borderId="1" xfId="0" applyNumberFormat="1" applyFont="1" applyFill="1" applyBorder="1" applyAlignment="1">
      <alignment horizontal="center"/>
    </xf>
    <xf numFmtId="177" fontId="0" fillId="4" borderId="1" xfId="0" applyNumberFormat="1" applyFont="1" applyFill="1" applyBorder="1" applyAlignment="1"/>
    <xf numFmtId="3" fontId="0" fillId="4" borderId="4" xfId="0" applyNumberFormat="1" applyFont="1" applyFill="1" applyBorder="1" applyAlignment="1">
      <alignment horizontal="right"/>
    </xf>
    <xf numFmtId="0" fontId="5" fillId="4" borderId="4" xfId="0" applyFont="1" applyFill="1" applyBorder="1" applyAlignment="1">
      <alignment horizontal="center"/>
    </xf>
    <xf numFmtId="0" fontId="5" fillId="4" borderId="2" xfId="0" applyFont="1" applyFill="1" applyBorder="1" applyAlignment="1">
      <alignment horizontal="center"/>
    </xf>
    <xf numFmtId="0" fontId="0" fillId="4" borderId="2" xfId="0" applyFont="1" applyFill="1" applyBorder="1" applyAlignment="1"/>
    <xf numFmtId="0" fontId="0" fillId="4" borderId="1" xfId="0" applyFont="1" applyFill="1" applyBorder="1" applyAlignment="1"/>
    <xf numFmtId="178" fontId="0" fillId="2" borderId="1" xfId="0" applyNumberFormat="1" applyFont="1" applyFill="1" applyBorder="1" applyAlignment="1">
      <alignment horizontal="center"/>
    </xf>
    <xf numFmtId="3" fontId="0" fillId="2" borderId="1" xfId="0" applyNumberFormat="1" applyFont="1" applyFill="1" applyBorder="1" applyAlignment="1">
      <alignment horizontal="center"/>
    </xf>
    <xf numFmtId="1" fontId="6" fillId="2" borderId="1" xfId="0" applyNumberFormat="1" applyFont="1" applyFill="1" applyBorder="1" applyAlignment="1">
      <alignment horizontal="center"/>
    </xf>
    <xf numFmtId="0" fontId="0" fillId="2" borderId="1" xfId="0" applyFont="1" applyFill="1" applyBorder="1" applyAlignment="1"/>
    <xf numFmtId="3" fontId="6" fillId="2" borderId="1" xfId="0" applyNumberFormat="1" applyFont="1" applyFill="1" applyBorder="1" applyAlignment="1">
      <alignment horizontal="right"/>
    </xf>
    <xf numFmtId="3" fontId="6" fillId="2" borderId="4" xfId="0" applyNumberFormat="1" applyFont="1" applyFill="1" applyBorder="1" applyAlignment="1">
      <alignment horizontal="right"/>
    </xf>
    <xf numFmtId="0" fontId="6" fillId="2" borderId="4" xfId="0" applyFont="1" applyFill="1" applyBorder="1" applyAlignment="1">
      <alignment horizontal="center"/>
    </xf>
    <xf numFmtId="0" fontId="6" fillId="2" borderId="2" xfId="0" applyFont="1" applyFill="1" applyBorder="1" applyAlignment="1">
      <alignment horizontal="center"/>
    </xf>
    <xf numFmtId="0" fontId="0" fillId="2" borderId="2" xfId="0" applyFont="1" applyFill="1" applyBorder="1" applyAlignment="1"/>
    <xf numFmtId="0" fontId="6" fillId="2" borderId="1" xfId="0" applyFont="1" applyFill="1" applyBorder="1" applyAlignment="1"/>
    <xf numFmtId="0" fontId="0" fillId="0" borderId="0" xfId="0" applyFont="1" applyAlignment="1">
      <alignment horizontal="right"/>
    </xf>
    <xf numFmtId="0" fontId="0" fillId="0" borderId="0" xfId="0" applyFont="1" applyAlignment="1">
      <alignment horizontal="left"/>
    </xf>
    <xf numFmtId="1" fontId="3" fillId="2" borderId="1" xfId="0" applyNumberFormat="1" applyFont="1" applyFill="1" applyBorder="1" applyAlignment="1"/>
    <xf numFmtId="0" fontId="2" fillId="2" borderId="2" xfId="0" applyFont="1" applyFill="1" applyBorder="1" applyAlignment="1">
      <alignment horizontal="left"/>
    </xf>
    <xf numFmtId="1" fontId="0" fillId="3" borderId="1" xfId="0" applyNumberFormat="1" applyFont="1" applyFill="1" applyBorder="1" applyAlignment="1"/>
    <xf numFmtId="0" fontId="0" fillId="3" borderId="2" xfId="0" applyFont="1" applyFill="1" applyBorder="1" applyAlignment="1">
      <alignment horizontal="left"/>
    </xf>
    <xf numFmtId="177" fontId="0" fillId="4" borderId="1" xfId="0" applyNumberFormat="1"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178" fontId="0" fillId="2" borderId="1" xfId="0" applyNumberFormat="1" applyFont="1" applyFill="1" applyBorder="1" applyAlignment="1"/>
    <xf numFmtId="1" fontId="6" fillId="2" borderId="1" xfId="0" applyNumberFormat="1" applyFont="1" applyFill="1" applyBorder="1" applyAlignment="1"/>
    <xf numFmtId="0" fontId="6" fillId="2" borderId="4" xfId="0" applyFont="1" applyFill="1" applyBorder="1" applyAlignment="1"/>
    <xf numFmtId="0" fontId="6" fillId="2" borderId="2" xfId="0" applyFont="1" applyFill="1" applyBorder="1" applyAlignment="1"/>
    <xf numFmtId="0" fontId="0" fillId="2" borderId="2" xfId="0" applyFont="1" applyFill="1" applyBorder="1" applyAlignment="1">
      <alignment horizontal="left"/>
    </xf>
    <xf numFmtId="0" fontId="0" fillId="3" borderId="4" xfId="0" applyFont="1" applyFill="1" applyBorder="1" applyAlignment="1"/>
    <xf numFmtId="0" fontId="5" fillId="4" borderId="4" xfId="0" applyFont="1" applyFill="1" applyBorder="1" applyAlignment="1"/>
    <xf numFmtId="0" fontId="5" fillId="4" borderId="2" xfId="0" applyFont="1" applyFill="1" applyBorder="1" applyAlignment="1"/>
    <xf numFmtId="3" fontId="0" fillId="3" borderId="1" xfId="0" applyNumberFormat="1" applyFont="1" applyFill="1" applyBorder="1" applyAlignment="1"/>
    <xf numFmtId="3" fontId="0" fillId="0" borderId="1" xfId="0" applyNumberFormat="1" applyFont="1" applyBorder="1" applyAlignment="1"/>
    <xf numFmtId="3" fontId="0" fillId="2" borderId="1" xfId="0" applyNumberFormat="1" applyFont="1" applyFill="1" applyBorder="1" applyAlignment="1"/>
    <xf numFmtId="1" fontId="3" fillId="2" borderId="1" xfId="0" applyNumberFormat="1" applyFont="1" applyFill="1" applyBorder="1" applyAlignment="1">
      <alignment horizontal="right"/>
    </xf>
    <xf numFmtId="0" fontId="0" fillId="0" borderId="1" xfId="0" applyFont="1" applyBorder="1" applyAlignment="1">
      <alignment horizontal="right"/>
    </xf>
    <xf numFmtId="0" fontId="0" fillId="4" borderId="1" xfId="0" applyFont="1" applyFill="1" applyBorder="1" applyAlignment="1">
      <alignment horizontal="right"/>
    </xf>
    <xf numFmtId="177" fontId="2" fillId="2" borderId="1" xfId="0" applyNumberFormat="1" applyFont="1" applyFill="1" applyBorder="1" applyAlignment="1">
      <alignment horizontal="left"/>
    </xf>
    <xf numFmtId="177" fontId="2" fillId="2" borderId="1" xfId="0" applyNumberFormat="1" applyFont="1" applyFill="1" applyBorder="1" applyAlignment="1">
      <alignment horizontal="center"/>
    </xf>
    <xf numFmtId="1" fontId="5" fillId="4" borderId="1" xfId="0" applyNumberFormat="1" applyFont="1" applyFill="1" applyBorder="1" applyAlignment="1"/>
    <xf numFmtId="177" fontId="0" fillId="0" borderId="1" xfId="0" applyNumberFormat="1" applyFont="1" applyBorder="1" applyAlignment="1"/>
    <xf numFmtId="177" fontId="0" fillId="5" borderId="1" xfId="0" applyNumberFormat="1" applyFont="1" applyFill="1" applyBorder="1" applyAlignment="1">
      <alignment horizontal="left" wrapText="1"/>
    </xf>
    <xf numFmtId="1" fontId="5" fillId="3" borderId="1" xfId="0" applyNumberFormat="1" applyFont="1" applyFill="1" applyBorder="1" applyAlignment="1"/>
    <xf numFmtId="177" fontId="0" fillId="2" borderId="1" xfId="0" applyNumberFormat="1" applyFont="1" applyFill="1" applyBorder="1" applyAlignment="1">
      <alignment horizontal="left"/>
    </xf>
    <xf numFmtId="3" fontId="0" fillId="4" borderId="1" xfId="0" applyNumberFormat="1" applyFont="1" applyFill="1" applyBorder="1" applyAlignment="1">
      <alignment horizontal="right" wrapText="1"/>
    </xf>
    <xf numFmtId="0" fontId="2" fillId="2" borderId="3" xfId="0" applyFont="1" applyFill="1" applyBorder="1" applyAlignment="1"/>
    <xf numFmtId="177" fontId="6" fillId="2" borderId="3" xfId="0" applyNumberFormat="1" applyFont="1" applyFill="1" applyBorder="1" applyAlignment="1">
      <alignment horizontal="left"/>
    </xf>
    <xf numFmtId="177" fontId="0" fillId="4" borderId="1" xfId="0" applyNumberFormat="1" applyFont="1" applyFill="1" applyBorder="1" applyAlignment="1">
      <alignment horizontal="right"/>
    </xf>
    <xf numFmtId="3" fontId="4" fillId="3" borderId="1" xfId="0" applyNumberFormat="1" applyFont="1" applyFill="1" applyBorder="1" applyAlignment="1">
      <alignment horizontal="right"/>
    </xf>
    <xf numFmtId="3" fontId="9" fillId="2" borderId="1" xfId="0" applyNumberFormat="1" applyFont="1" applyFill="1" applyBorder="1" applyAlignment="1">
      <alignment horizontal="right"/>
    </xf>
    <xf numFmtId="0" fontId="0" fillId="2" borderId="3" xfId="0" applyFont="1" applyFill="1" applyBorder="1" applyAlignment="1"/>
    <xf numFmtId="177" fontId="0" fillId="2" borderId="1" xfId="0" applyNumberFormat="1" applyFont="1" applyFill="1" applyBorder="1" applyAlignment="1">
      <alignment horizontal="center"/>
    </xf>
    <xf numFmtId="49" fontId="0" fillId="2" borderId="1" xfId="0" applyNumberFormat="1" applyFont="1" applyFill="1" applyBorder="1" applyAlignment="1">
      <alignment horizontal="left"/>
    </xf>
    <xf numFmtId="0" fontId="0" fillId="0" borderId="0" xfId="0" applyFont="1" applyAlignment="1"/>
    <xf numFmtId="0" fontId="0" fillId="0" borderId="0" xfId="0" applyFont="1" applyAlignment="1"/>
    <xf numFmtId="0" fontId="0" fillId="0" borderId="0" xfId="0" applyFont="1" applyAlignment="1"/>
    <xf numFmtId="0" fontId="0" fillId="0" borderId="3" xfId="0" applyFont="1" applyBorder="1" applyAlignment="1"/>
    <xf numFmtId="0" fontId="0" fillId="0" borderId="0" xfId="0" applyFont="1" applyAlignment="1"/>
    <xf numFmtId="0" fontId="7" fillId="0" borderId="0" xfId="0" applyFont="1" applyAlignment="1">
      <alignment wrapText="1"/>
    </xf>
    <xf numFmtId="0" fontId="2" fillId="2" borderId="1" xfId="0" applyFont="1" applyFill="1" applyBorder="1" applyAlignment="1">
      <alignment horizontal="left" wrapText="1"/>
    </xf>
    <xf numFmtId="1" fontId="2" fillId="2" borderId="1" xfId="0" applyNumberFormat="1" applyFont="1" applyFill="1" applyBorder="1" applyAlignment="1">
      <alignment horizontal="left" wrapText="1"/>
    </xf>
    <xf numFmtId="1" fontId="11" fillId="0" borderId="1" xfId="0" applyNumberFormat="1" applyFont="1" applyBorder="1" applyAlignment="1">
      <alignment horizontal="left" wrapText="1"/>
    </xf>
    <xf numFmtId="0" fontId="12" fillId="0" borderId="1" xfId="0" applyFont="1" applyBorder="1" applyAlignment="1">
      <alignment wrapText="1"/>
    </xf>
    <xf numFmtId="1" fontId="0" fillId="2" borderId="1" xfId="0" applyNumberFormat="1" applyFont="1" applyFill="1" applyBorder="1" applyAlignment="1">
      <alignment horizontal="left" wrapText="1"/>
    </xf>
    <xf numFmtId="1" fontId="0" fillId="0" borderId="1" xfId="0" applyNumberFormat="1" applyFont="1" applyBorder="1" applyAlignment="1">
      <alignment horizontal="left" wrapText="1"/>
    </xf>
    <xf numFmtId="176" fontId="0" fillId="2" borderId="1" xfId="0" applyNumberFormat="1" applyFont="1" applyFill="1" applyBorder="1" applyAlignment="1">
      <alignment horizontal="left" wrapText="1"/>
    </xf>
    <xf numFmtId="0" fontId="0" fillId="3" borderId="1" xfId="0" applyFont="1" applyFill="1" applyBorder="1" applyAlignment="1">
      <alignment horizontal="left" wrapText="1"/>
    </xf>
    <xf numFmtId="1" fontId="0" fillId="3" borderId="1" xfId="0" applyNumberFormat="1" applyFont="1" applyFill="1" applyBorder="1" applyAlignment="1">
      <alignment horizontal="left" wrapText="1"/>
    </xf>
    <xf numFmtId="1" fontId="0" fillId="0" borderId="1" xfId="0" applyNumberFormat="1" applyFont="1" applyBorder="1" applyAlignment="1">
      <alignment horizontal="left"/>
    </xf>
    <xf numFmtId="1" fontId="0" fillId="0" borderId="1" xfId="0" applyNumberFormat="1" applyFont="1" applyBorder="1" applyAlignment="1">
      <alignment wrapText="1"/>
    </xf>
    <xf numFmtId="0" fontId="0" fillId="4" borderId="1" xfId="0" applyFont="1" applyFill="1" applyBorder="1" applyAlignment="1">
      <alignment horizontal="center" wrapText="1"/>
    </xf>
    <xf numFmtId="49" fontId="0" fillId="3" borderId="1" xfId="0" applyNumberFormat="1" applyFont="1" applyFill="1" applyBorder="1" applyAlignment="1">
      <alignment horizontal="left" shrinkToFit="1"/>
    </xf>
    <xf numFmtId="49" fontId="0" fillId="0" borderId="1" xfId="0" applyNumberFormat="1" applyFont="1" applyBorder="1" applyAlignment="1">
      <alignment horizontal="left" shrinkToFit="1"/>
    </xf>
    <xf numFmtId="0" fontId="0" fillId="3" borderId="1" xfId="0" applyFont="1" applyFill="1" applyBorder="1" applyAlignment="1">
      <alignment horizontal="left" shrinkToFit="1"/>
    </xf>
    <xf numFmtId="0" fontId="0" fillId="5" borderId="1" xfId="0" applyFont="1" applyFill="1" applyBorder="1" applyAlignment="1">
      <alignment wrapText="1"/>
    </xf>
    <xf numFmtId="179" fontId="2" fillId="2" borderId="1" xfId="0" applyNumberFormat="1" applyFont="1" applyFill="1" applyBorder="1" applyAlignment="1">
      <alignment horizontal="center" wrapText="1"/>
    </xf>
    <xf numFmtId="1" fontId="2" fillId="2" borderId="1" xfId="0" applyNumberFormat="1" applyFont="1" applyFill="1" applyBorder="1" applyAlignment="1">
      <alignment horizontal="center" wrapText="1"/>
    </xf>
    <xf numFmtId="179" fontId="0" fillId="0" borderId="1" xfId="0" applyNumberFormat="1" applyFont="1" applyBorder="1" applyAlignment="1">
      <alignment horizontal="center" wrapText="1"/>
    </xf>
    <xf numFmtId="0" fontId="0" fillId="0" borderId="1" xfId="0" quotePrefix="1" applyFont="1" applyBorder="1" applyAlignment="1">
      <alignment horizontal="left" wrapText="1"/>
    </xf>
    <xf numFmtId="179" fontId="0" fillId="2" borderId="1" xfId="0" applyNumberFormat="1" applyFont="1" applyFill="1" applyBorder="1" applyAlignment="1">
      <alignment horizontal="center" wrapText="1"/>
    </xf>
    <xf numFmtId="179" fontId="0" fillId="2" borderId="1" xfId="0" applyNumberFormat="1" applyFont="1" applyFill="1" applyBorder="1" applyAlignment="1">
      <alignment horizontal="left" wrapText="1"/>
    </xf>
    <xf numFmtId="179" fontId="0" fillId="2" borderId="1" xfId="0" applyNumberFormat="1" applyFont="1" applyFill="1" applyBorder="1" applyAlignment="1">
      <alignment wrapText="1"/>
    </xf>
    <xf numFmtId="1" fontId="0" fillId="2" borderId="1" xfId="0" applyNumberFormat="1" applyFont="1" applyFill="1" applyBorder="1" applyAlignment="1">
      <alignment wrapText="1"/>
    </xf>
    <xf numFmtId="0" fontId="0" fillId="0" borderId="1" xfId="0" applyFont="1" applyBorder="1" applyAlignment="1">
      <alignment horizontal="left" wrapText="1"/>
    </xf>
    <xf numFmtId="0" fontId="0" fillId="0" borderId="1" xfId="0" applyFont="1" applyBorder="1" applyAlignment="1"/>
    <xf numFmtId="0" fontId="7" fillId="0" borderId="1" xfId="0" applyFont="1" applyBorder="1" applyAlignment="1">
      <alignment wrapText="1"/>
    </xf>
    <xf numFmtId="179" fontId="0" fillId="0" borderId="1" xfId="0" applyNumberFormat="1" applyFont="1" applyBorder="1" applyAlignment="1">
      <alignment horizontal="left" wrapText="1"/>
    </xf>
    <xf numFmtId="179" fontId="0" fillId="0" borderId="1" xfId="0" applyNumberFormat="1" applyFont="1" applyBorder="1" applyAlignment="1">
      <alignment wrapText="1"/>
    </xf>
    <xf numFmtId="0" fontId="0" fillId="2" borderId="4" xfId="0" applyFont="1" applyFill="1" applyBorder="1" applyAlignment="1">
      <alignment horizontal="left" wrapText="1"/>
    </xf>
    <xf numFmtId="0" fontId="1" fillId="0" borderId="5" xfId="0" applyFont="1" applyBorder="1" applyAlignment="1"/>
    <xf numFmtId="0" fontId="0" fillId="2" borderId="4" xfId="0" applyFont="1" applyFill="1" applyBorder="1" applyAlignment="1">
      <alignment wrapText="1"/>
    </xf>
    <xf numFmtId="179" fontId="0" fillId="0" borderId="1" xfId="0" applyNumberFormat="1" applyFont="1" applyBorder="1" applyAlignment="1">
      <alignment horizontal="left" wrapText="1"/>
    </xf>
    <xf numFmtId="0" fontId="0" fillId="0" borderId="1" xfId="0" applyFont="1" applyBorder="1" applyAlignment="1"/>
    <xf numFmtId="179" fontId="0" fillId="0" borderId="1" xfId="0" applyNumberFormat="1" applyFont="1" applyBorder="1" applyAlignment="1">
      <alignment wrapText="1"/>
    </xf>
    <xf numFmtId="0" fontId="0" fillId="0" borderId="1" xfId="0" applyFont="1" applyBorder="1" applyAlignment="1">
      <alignment horizontal="left" wrapText="1"/>
    </xf>
    <xf numFmtId="0" fontId="7" fillId="0" borderId="1" xfId="0" applyFont="1" applyBorder="1" applyAlignment="1">
      <alignment wrapText="1"/>
    </xf>
    <xf numFmtId="1" fontId="10" fillId="0" borderId="1" xfId="0" applyNumberFormat="1" applyFont="1" applyBorder="1" applyAlignment="1">
      <alignment horizontal="left" wrapText="1"/>
    </xf>
  </cellXfs>
  <cellStyles count="2">
    <cellStyle name="Hyperlink" xfId="1" xr:uid="{00000000-000B-0000-0000-000008000000}"/>
    <cellStyle name="標準" xfId="0" builtinId="0"/>
  </cellStyles>
  <dxfs count="15">
    <dxf>
      <font>
        <color rgb="FF000000"/>
        <name val="游ゴシック"/>
      </font>
      <fill>
        <patternFill patternType="solid">
          <fgColor rgb="FFFFFFFF"/>
          <bgColor rgb="FFFFFFFF"/>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000000"/>
        <name val="游ゴシック"/>
      </font>
      <fill>
        <patternFill patternType="solid">
          <fgColor rgb="FFFFFFFF"/>
          <bgColor rgb="FFFFFFFF"/>
        </patternFill>
      </fill>
    </dxf>
    <dxf>
      <font>
        <color rgb="FF000000"/>
        <name val="游ゴシック"/>
      </font>
      <fill>
        <patternFill patternType="solid">
          <fgColor rgb="FFFFFFFF"/>
          <bgColor rgb="FFFFFFFF"/>
        </patternFill>
      </fill>
    </dxf>
    <dxf>
      <font>
        <color rgb="FFFF0000"/>
        <name val="游ゴシック"/>
      </font>
      <fill>
        <patternFill patternType="solid">
          <fgColor rgb="FFFF0000"/>
          <bgColor rgb="FFFF0000"/>
        </patternFill>
      </fill>
    </dxf>
    <dxf>
      <font>
        <color rgb="FFFF0000"/>
        <name val="游ゴシック"/>
      </font>
      <fill>
        <patternFill patternType="solid">
          <fgColor rgb="FFFF0000"/>
          <bgColor rgb="FFFF0000"/>
        </patternFill>
      </fill>
    </dxf>
    <dxf>
      <font>
        <color rgb="FF000000"/>
        <name val="游ゴシック"/>
      </font>
      <fill>
        <patternFill patternType="solid">
          <fgColor rgb="FFFFFFFF"/>
          <bgColor rgb="FFFFFFFF"/>
        </patternFill>
      </fill>
    </dxf>
    <dxf>
      <font>
        <color rgb="FF000000"/>
        <name val="游ゴシック"/>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cobli.github.io/Ne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e-tax.nta.go.jp/hojin/gimuka/csv_jyoho4_5_2.pdf" TargetMode="External"/><Relationship Id="rId2" Type="http://schemas.openxmlformats.org/officeDocument/2006/relationships/hyperlink" Target="https://www.e-tax.nta.go.jp/hojin/gimuka/csv_jyoho4_5_1.pdf" TargetMode="External"/><Relationship Id="rId1" Type="http://schemas.openxmlformats.org/officeDocument/2006/relationships/hyperlink" Target="https://www.e-tax.nta.go.jp/hojin/gimuka/csv_jyoho4.htm" TargetMode="External"/><Relationship Id="rId4" Type="http://schemas.openxmlformats.org/officeDocument/2006/relationships/hyperlink" Target="https://clientweb.e-tax.nta.go.jp/UF_WEB_OP/WP000/FCSECS010/SECS0010SCR.do"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clientweb.e-tax.nta.go.jp/UF_WEB_OP/WP000/FCSECS010/SECS0010SCR.do" TargetMode="External"/><Relationship Id="rId2" Type="http://schemas.openxmlformats.org/officeDocument/2006/relationships/hyperlink" Target="https://www.e-tax.nta.go.jp/hojin/gimuka/csv_jyoho1/2/all2.pdf" TargetMode="External"/><Relationship Id="rId1" Type="http://schemas.openxmlformats.org/officeDocument/2006/relationships/hyperlink" Target="https://www.e-tax.nta.go.jp/hojin/gimuka/csv_jyoho2.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90"/>
  <sheetViews>
    <sheetView workbookViewId="0">
      <pane ySplit="2" topLeftCell="A3" activePane="bottomLeft" state="frozen"/>
      <selection pane="bottomLeft"/>
    </sheetView>
  </sheetViews>
  <sheetFormatPr defaultColWidth="14.42578125" defaultRowHeight="16.5" customHeight="1"/>
  <cols>
    <col min="1" max="1" width="12.140625" style="85" customWidth="1"/>
    <col min="2" max="2" width="5.28515625" style="85" customWidth="1"/>
    <col min="3" max="3" width="7" style="85" customWidth="1"/>
    <col min="4" max="5" width="12.140625" style="123" customWidth="1"/>
    <col min="6" max="6" width="17" style="124" customWidth="1"/>
    <col min="7" max="7" width="5.28515625" style="85" customWidth="1"/>
    <col min="8" max="9" width="7" style="84" customWidth="1"/>
    <col min="10" max="10" width="3.5703125" style="85" customWidth="1"/>
    <col min="11" max="11" width="24.140625" style="84" customWidth="1"/>
    <col min="12" max="13" width="12.140625" style="123" customWidth="1"/>
    <col min="14" max="15" width="1.85546875" style="85" customWidth="1"/>
    <col min="16" max="17" width="24.140625" style="84" customWidth="1"/>
    <col min="18" max="16384" width="14.42578125" style="84"/>
  </cols>
  <sheetData>
    <row r="1" spans="1:17" ht="16.5" customHeight="1">
      <c r="A1" s="86" t="s">
        <v>0</v>
      </c>
      <c r="B1" s="87" t="s">
        <v>1</v>
      </c>
      <c r="C1" s="87" t="s">
        <v>2</v>
      </c>
      <c r="D1" s="88" t="str">
        <f>IF((D$90&lt;E$90),E$90-D$90,"借方金額")</f>
        <v>借方金額</v>
      </c>
      <c r="E1" s="88" t="str">
        <f>IF((E$90&lt;D$90),D$90-E$90,"貸方金額")</f>
        <v>貸方金額</v>
      </c>
      <c r="F1" s="1" t="s">
        <v>3</v>
      </c>
      <c r="G1" s="87" t="s">
        <v>4</v>
      </c>
      <c r="H1" s="88" t="s">
        <v>5</v>
      </c>
      <c r="I1" s="88" t="s">
        <v>6</v>
      </c>
      <c r="J1" s="125">
        <f>IF(OR(COUNTIF(J$2:J$89,-1),集計!F81=-1),-1,)</f>
        <v>0</v>
      </c>
      <c r="K1" s="90" t="s">
        <v>7</v>
      </c>
      <c r="L1" s="91" t="s">
        <v>8</v>
      </c>
      <c r="M1" s="92" t="s">
        <v>9</v>
      </c>
      <c r="N1" s="93"/>
      <c r="O1" s="94" t="s">
        <v>10</v>
      </c>
      <c r="P1" s="95" t="s">
        <v>11</v>
      </c>
      <c r="Q1" s="90" t="s">
        <v>12</v>
      </c>
    </row>
    <row r="2" spans="1:17" ht="16.5" hidden="1" customHeight="1">
      <c r="A2" s="96"/>
      <c r="B2" s="97"/>
      <c r="C2" s="97"/>
      <c r="D2" s="27"/>
      <c r="E2" s="27"/>
      <c r="F2" s="2"/>
      <c r="G2" s="25"/>
      <c r="H2" s="140"/>
      <c r="I2" s="140"/>
      <c r="J2" s="98"/>
      <c r="K2" s="99"/>
      <c r="L2" s="100"/>
      <c r="M2" s="101"/>
      <c r="N2" s="102"/>
      <c r="O2" s="103"/>
      <c r="P2" s="104"/>
      <c r="Q2" s="99"/>
    </row>
    <row r="3" spans="1:17" ht="16.5" customHeight="1">
      <c r="A3" s="3">
        <v>43831</v>
      </c>
      <c r="B3" s="4"/>
      <c r="C3" s="5">
        <v>1.1000000000000001</v>
      </c>
      <c r="D3" s="6">
        <v>2000000</v>
      </c>
      <c r="E3" s="8"/>
      <c r="F3" s="105" t="s">
        <v>10</v>
      </c>
      <c r="G3" s="5"/>
      <c r="H3" s="141"/>
      <c r="I3" s="141"/>
      <c r="J3" s="106">
        <f>IF(診断,-1,IF(SUMIF(N$2:N$89,N3,貸方)=SUMIF(N$2:N$89,N3,借方),IF(COUNTIF(F3,O$1),C3,),-1))</f>
        <v>1.1000000000000001</v>
      </c>
      <c r="K3" s="107" t="str">
        <f>IF(ISBLANK(C3),"",VLOOKUP(C3,科目設定,2,0))</f>
        <v>普通預金 ゆうちょ銀行</v>
      </c>
      <c r="L3" s="21">
        <f>IF(ISBLANK(C3),"",IF(VLOOKUP(C3,科目設定,9,0)="借方",SUMIF(C$2:C3,C3,借方)-SUMIF(C$2:C3,C3,貸方),""))</f>
        <v>2000000</v>
      </c>
      <c r="M3" s="108" t="str">
        <f>IF(ISBLANK(C3),"",IF(VLOOKUP(C3,科目設定,9,0)="貸方",SUMIF(C$2:C3,C3,貸方)-SUMIF(C$2:C3,C3,借方),""))</f>
        <v/>
      </c>
      <c r="N3" s="109">
        <f t="shared" ref="N3:N88" si="0">256*INT(A3)+B3</f>
        <v>11220736</v>
      </c>
      <c r="O3" s="110">
        <f t="shared" ref="O3:O88" si="1">IF(ISBLANK(D3),N3,-N3)</f>
        <v>-11220736</v>
      </c>
      <c r="P3" s="111" t="str">
        <f>IF(ISBLANK(C3),"",IF(C3=J3,"前期繰越",IF(COUNTIF(O$2:O$89,-O3)=1,VLOOKUP(INDEX(科目,MATCH(-O3,O$2:O$89,0),1),科目設定,2,0),"諸口")))</f>
        <v>前期繰越</v>
      </c>
      <c r="Q3" s="112" t="str">
        <f>IF(ISBLANK(G3),"",VLOOKUP(G3,品番設定,2,0))</f>
        <v/>
      </c>
    </row>
    <row r="4" spans="1:17" ht="16.5" customHeight="1">
      <c r="A4" s="3">
        <v>43831</v>
      </c>
      <c r="B4" s="4"/>
      <c r="C4" s="5">
        <v>101.1</v>
      </c>
      <c r="D4" s="8"/>
      <c r="E4" s="6">
        <v>1027106</v>
      </c>
      <c r="F4" s="105" t="s">
        <v>10</v>
      </c>
      <c r="G4" s="5"/>
      <c r="H4" s="141"/>
      <c r="I4" s="141"/>
      <c r="J4" s="106">
        <f>IF(診断,-1,IF(SUMIF(N$2:N$89,N4,貸方)=SUMIF(N$2:N$89,N4,借方),IF(COUNTIF(F4,O$1),C4,),-1))</f>
        <v>101.1</v>
      </c>
      <c r="K4" s="107" t="str">
        <f>IF(ISBLANK(C4),"",VLOOKUP(C4,科目設定,2,0))</f>
        <v>役員からの短期借入金 1</v>
      </c>
      <c r="L4" s="21" t="str">
        <f>IF(ISBLANK(C4),"",IF(VLOOKUP(C4,科目設定,9,0)="借方",SUMIF(C$2:C4,C4,借方)-SUMIF(C$2:C4,C4,貸方),""))</f>
        <v/>
      </c>
      <c r="M4" s="108">
        <f>IF(ISBLANK(C4),"",IF(VLOOKUP(C4,科目設定,9,0)="貸方",SUMIF(C$2:C4,C4,貸方)-SUMIF(C$2:C4,C4,借方),""))</f>
        <v>1027106</v>
      </c>
      <c r="N4" s="109">
        <f t="shared" ref="N4:N67" si="2">256*INT(A4)+B4</f>
        <v>11220736</v>
      </c>
      <c r="O4" s="110">
        <f t="shared" ref="O4:O67" si="3">IF(ISBLANK(D4),N4,-N4)</f>
        <v>11220736</v>
      </c>
      <c r="P4" s="111" t="str">
        <f>IF(ISBLANK(C4),"",IF(C4=J4,"前期繰越",IF(COUNTIF(O$2:O$89,-O4)=1,VLOOKUP(INDEX(科目,MATCH(-O4,O$2:O$89,0),1),科目設定,2,0),"諸口")))</f>
        <v>前期繰越</v>
      </c>
      <c r="Q4" s="112" t="str">
        <f>IF(ISBLANK(G4),"",VLOOKUP(G4,品番設定,2,0))</f>
        <v/>
      </c>
    </row>
    <row r="5" spans="1:17" ht="16.5" customHeight="1">
      <c r="A5" s="3">
        <v>43831</v>
      </c>
      <c r="B5" s="4"/>
      <c r="C5" s="5">
        <v>105</v>
      </c>
      <c r="D5" s="8"/>
      <c r="E5" s="6">
        <v>11494</v>
      </c>
      <c r="F5" s="105" t="s">
        <v>10</v>
      </c>
      <c r="G5" s="5"/>
      <c r="H5" s="141"/>
      <c r="I5" s="141"/>
      <c r="J5" s="106">
        <f>IF(診断,-1,IF(SUMIF(N$2:N$89,N5,貸方)=SUMIF(N$2:N$89,N5,借方),IF(COUNTIF(F5,O$1),C5,),-1))</f>
        <v>105</v>
      </c>
      <c r="K5" s="107" t="str">
        <f>IF(ISBLANK(C5),"",VLOOKUP(C5,科目設定,2,0))</f>
        <v>預り金</v>
      </c>
      <c r="L5" s="21" t="str">
        <f>IF(ISBLANK(C5),"",IF(VLOOKUP(C5,科目設定,9,0)="借方",SUMIF(C$2:C5,C5,借方)-SUMIF(C$2:C5,C5,貸方),""))</f>
        <v/>
      </c>
      <c r="M5" s="108">
        <f>IF(ISBLANK(C5),"",IF(VLOOKUP(C5,科目設定,9,0)="貸方",SUMIF(C$2:C5,C5,貸方)-SUMIF(C$2:C5,C5,借方),""))</f>
        <v>11494</v>
      </c>
      <c r="N5" s="109">
        <f t="shared" si="2"/>
        <v>11220736</v>
      </c>
      <c r="O5" s="110">
        <f t="shared" si="3"/>
        <v>11220736</v>
      </c>
      <c r="P5" s="111" t="str">
        <f>IF(ISBLANK(C5),"",IF(C5=J5,"前期繰越",IF(COUNTIF(O$2:O$89,-O5)=1,VLOOKUP(INDEX(科目,MATCH(-O5,O$2:O$89,0),1),科目設定,2,0),"諸口")))</f>
        <v>前期繰越</v>
      </c>
      <c r="Q5" s="112" t="str">
        <f>IF(ISBLANK(G5),"",VLOOKUP(G5,品番設定,2,0))</f>
        <v/>
      </c>
    </row>
    <row r="6" spans="1:17" ht="16.5" customHeight="1">
      <c r="A6" s="3">
        <v>43831</v>
      </c>
      <c r="B6" s="4"/>
      <c r="C6" s="5">
        <v>200</v>
      </c>
      <c r="D6" s="8"/>
      <c r="E6" s="6">
        <v>2000000</v>
      </c>
      <c r="F6" s="105" t="s">
        <v>10</v>
      </c>
      <c r="G6" s="5"/>
      <c r="H6" s="141"/>
      <c r="I6" s="141" t="s">
        <v>13</v>
      </c>
      <c r="J6" s="106">
        <f>IF(診断,-1,IF(SUMIF(N$2:N$89,N6,貸方)=SUMIF(N$2:N$89,N6,借方),IF(COUNTIF(F6,O$1),C6,),-1))</f>
        <v>200</v>
      </c>
      <c r="K6" s="107" t="str">
        <f>IF(ISBLANK(C6),"",VLOOKUP(C6,科目設定,2,0))</f>
        <v>資本金</v>
      </c>
      <c r="L6" s="21" t="str">
        <f>IF(ISBLANK(C6),"",IF(VLOOKUP(C6,科目設定,9,0)="借方",SUMIF(C$2:C6,C6,借方)-SUMIF(C$2:C6,C6,貸方),""))</f>
        <v/>
      </c>
      <c r="M6" s="108">
        <f>IF(ISBLANK(C6),"",IF(VLOOKUP(C6,科目設定,9,0)="貸方",SUMIF(C$2:C6,C6,貸方)-SUMIF(C$2:C6,C6,借方),""))</f>
        <v>2000000</v>
      </c>
      <c r="N6" s="109">
        <f t="shared" si="2"/>
        <v>11220736</v>
      </c>
      <c r="O6" s="110">
        <f t="shared" si="3"/>
        <v>11220736</v>
      </c>
      <c r="P6" s="111" t="str">
        <f>IF(ISBLANK(C6),"",IF(C6=J6,"前期繰越",IF(COUNTIF(O$2:O$89,-O6)=1,VLOOKUP(INDEX(科目,MATCH(-O6,O$2:O$89,0),1),科目設定,2,0),"諸口")))</f>
        <v>前期繰越</v>
      </c>
      <c r="Q6" s="112" t="str">
        <f>IF(ISBLANK(G6),"",VLOOKUP(G6,品番設定,2,0))</f>
        <v/>
      </c>
    </row>
    <row r="7" spans="1:17" ht="16.5" customHeight="1">
      <c r="A7" s="3">
        <v>43831</v>
      </c>
      <c r="B7" s="4"/>
      <c r="C7" s="5">
        <v>212</v>
      </c>
      <c r="D7" s="8"/>
      <c r="E7" s="6">
        <v>-1038600</v>
      </c>
      <c r="F7" s="105" t="s">
        <v>10</v>
      </c>
      <c r="G7" s="5"/>
      <c r="H7" s="141"/>
      <c r="I7" s="141"/>
      <c r="J7" s="106">
        <f>IF(診断,-1,IF(SUMIF(N$2:N$89,N7,貸方)=SUMIF(N$2:N$89,N7,借方),IF(COUNTIF(F7,O$1),C7,),-1))</f>
        <v>212</v>
      </c>
      <c r="K7" s="107" t="str">
        <f>IF(ISBLANK(C7),"",VLOOKUP(C7,科目設定,2,0))</f>
        <v>繰越利益剰余金</v>
      </c>
      <c r="L7" s="21" t="str">
        <f>IF(ISBLANK(C7),"",IF(VLOOKUP(C7,科目設定,9,0)="借方",SUMIF(C$2:C7,C7,借方)-SUMIF(C$2:C7,C7,貸方),""))</f>
        <v/>
      </c>
      <c r="M7" s="108">
        <f>IF(ISBLANK(C7),"",IF(VLOOKUP(C7,科目設定,9,0)="貸方",SUMIF(C$2:C7,C7,貸方)-SUMIF(C$2:C7,C7,借方),""))</f>
        <v>-1038600</v>
      </c>
      <c r="N7" s="109">
        <f t="shared" si="2"/>
        <v>11220736</v>
      </c>
      <c r="O7" s="110">
        <f t="shared" si="3"/>
        <v>11220736</v>
      </c>
      <c r="P7" s="111" t="str">
        <f>IF(ISBLANK(C7),"",IF(C7=J7,"前期繰越",IF(COUNTIF(O$2:O$89,-O7)=1,VLOOKUP(INDEX(科目,MATCH(-O7,O$2:O$89,0),1),科目設定,2,0),"諸口")))</f>
        <v>前期繰越</v>
      </c>
      <c r="Q7" s="112" t="str">
        <f>IF(ISBLANK(G7),"",VLOOKUP(G7,品番設定,2,0))</f>
        <v/>
      </c>
    </row>
    <row r="8" spans="1:17" ht="16.5" customHeight="1">
      <c r="A8" s="3">
        <v>43836</v>
      </c>
      <c r="B8" s="5"/>
      <c r="C8" s="5">
        <v>1.1000000000000001</v>
      </c>
      <c r="D8" s="8"/>
      <c r="E8" s="6">
        <v>23287</v>
      </c>
      <c r="F8" s="192"/>
      <c r="G8" s="5"/>
      <c r="H8" s="141"/>
      <c r="I8" s="141"/>
      <c r="J8" s="106">
        <f>IF(診断,-1,IF(SUMIF(N$2:N$89,N8,貸方)=SUMIF(N$2:N$89,N8,借方),IF(COUNTIF(F8,O$1),C8,),-1))</f>
        <v>0</v>
      </c>
      <c r="K8" s="107" t="str">
        <f>IF(ISBLANK(C8),"",VLOOKUP(C8,科目設定,2,0))</f>
        <v>普通預金 ゆうちょ銀行</v>
      </c>
      <c r="L8" s="21">
        <f>IF(ISBLANK(C8),"",IF(VLOOKUP(C8,科目設定,9,0)="借方",SUMIF(C$2:C8,C8,借方)-SUMIF(C$2:C8,C8,貸方),""))</f>
        <v>1976713</v>
      </c>
      <c r="M8" s="108" t="str">
        <f>IF(ISBLANK(C8),"",IF(VLOOKUP(C8,科目設定,9,0)="貸方",SUMIF(C$2:C8,C8,貸方)-SUMIF(C$2:C8,C8,借方),""))</f>
        <v/>
      </c>
      <c r="N8" s="109">
        <f t="shared" si="2"/>
        <v>11222016</v>
      </c>
      <c r="O8" s="110">
        <f t="shared" si="3"/>
        <v>11222016</v>
      </c>
      <c r="P8" s="111" t="str">
        <f>IF(ISBLANK(C8),"",IF(C8=J8,"前期繰越",IF(COUNTIF(O$2:O$89,-O8)=1,VLOOKUP(INDEX(科目,MATCH(-O8,O$2:O$89,0),1),科目設定,2,0),"諸口")))</f>
        <v>諸口</v>
      </c>
      <c r="Q8" s="112" t="str">
        <f>IF(ISBLANK(G8),"",VLOOKUP(G8,品番設定,2,0))</f>
        <v/>
      </c>
    </row>
    <row r="9" spans="1:17" ht="16.5" customHeight="1">
      <c r="A9" s="3">
        <v>43836</v>
      </c>
      <c r="B9" s="4"/>
      <c r="C9" s="5">
        <v>422</v>
      </c>
      <c r="D9" s="6">
        <v>11793</v>
      </c>
      <c r="E9" s="8"/>
      <c r="F9" s="192"/>
      <c r="G9" s="5"/>
      <c r="H9" s="141"/>
      <c r="I9" s="141"/>
      <c r="J9" s="106">
        <f>IF(診断,-1,IF(SUMIF(N$2:N$89,N9,貸方)=SUMIF(N$2:N$89,N9,借方),IF(COUNTIF(F9,O$1),C9,),-1))</f>
        <v>0</v>
      </c>
      <c r="K9" s="107" t="str">
        <f>IF(ISBLANK(C9),"",VLOOKUP(C9,科目設定,2,0))</f>
        <v>法定福利費</v>
      </c>
      <c r="L9" s="21">
        <f>IF(ISBLANK(C9),"",IF(VLOOKUP(C9,科目設定,9,0)="借方",SUMIF(C$2:C9,C9,借方)-SUMIF(C$2:C9,C9,貸方),""))</f>
        <v>11793</v>
      </c>
      <c r="M9" s="108" t="str">
        <f>IF(ISBLANK(C9),"",IF(VLOOKUP(C9,科目設定,9,0)="貸方",SUMIF(C$2:C9,C9,貸方)-SUMIF(C$2:C9,C9,借方),""))</f>
        <v/>
      </c>
      <c r="N9" s="109">
        <f t="shared" si="2"/>
        <v>11222016</v>
      </c>
      <c r="O9" s="110">
        <f t="shared" si="3"/>
        <v>-11222016</v>
      </c>
      <c r="P9" s="111" t="str">
        <f>IF(ISBLANK(C9),"",IF(C9=J9,"前期繰越",IF(COUNTIF(O$2:O$89,-O9)=1,VLOOKUP(INDEX(科目,MATCH(-O9,O$2:O$89,0),1),科目設定,2,0),"諸口")))</f>
        <v>普通預金 ゆうちょ銀行</v>
      </c>
      <c r="Q9" s="112" t="str">
        <f>IF(ISBLANK(G9),"",VLOOKUP(G9,品番設定,2,0))</f>
        <v/>
      </c>
    </row>
    <row r="10" spans="1:17" ht="16.5" customHeight="1">
      <c r="A10" s="3">
        <v>43836</v>
      </c>
      <c r="B10" s="4"/>
      <c r="C10" s="5">
        <v>105</v>
      </c>
      <c r="D10" s="6">
        <v>11494</v>
      </c>
      <c r="E10" s="8"/>
      <c r="F10" s="192"/>
      <c r="G10" s="5"/>
      <c r="H10" s="141"/>
      <c r="I10" s="141"/>
      <c r="J10" s="106">
        <f>IF(診断,-1,IF(SUMIF(N$2:N$89,N10,貸方)=SUMIF(N$2:N$89,N10,借方),IF(COUNTIF(F10,O$1),C10,),-1))</f>
        <v>0</v>
      </c>
      <c r="K10" s="107" t="str">
        <f>IF(ISBLANK(C10),"",VLOOKUP(C10,科目設定,2,0))</f>
        <v>預り金</v>
      </c>
      <c r="L10" s="21" t="str">
        <f>IF(ISBLANK(C10),"",IF(VLOOKUP(C10,科目設定,9,0)="借方",SUMIF(C$2:C10,C10,借方)-SUMIF(C$2:C10,C10,貸方),""))</f>
        <v/>
      </c>
      <c r="M10" s="108">
        <f>IF(ISBLANK(C10),"",IF(VLOOKUP(C10,科目設定,9,0)="貸方",SUMIF(C$2:C10,C10,貸方)-SUMIF(C$2:C10,C10,借方),""))</f>
        <v>0</v>
      </c>
      <c r="N10" s="109">
        <f t="shared" si="2"/>
        <v>11222016</v>
      </c>
      <c r="O10" s="110">
        <f t="shared" si="3"/>
        <v>-11222016</v>
      </c>
      <c r="P10" s="111" t="str">
        <f>IF(ISBLANK(C10),"",IF(C10=J10,"前期繰越",IF(COUNTIF(O$2:O$89,-O10)=1,VLOOKUP(INDEX(科目,MATCH(-O10,O$2:O$89,0),1),科目設定,2,0),"諸口")))</f>
        <v>普通預金 ゆうちょ銀行</v>
      </c>
      <c r="Q10" s="112" t="str">
        <f>IF(ISBLANK(G10),"",VLOOKUP(G10,品番設定,2,0))</f>
        <v/>
      </c>
    </row>
    <row r="11" spans="1:17" ht="16.5" customHeight="1">
      <c r="A11" s="3">
        <v>43850</v>
      </c>
      <c r="B11" s="4"/>
      <c r="C11" s="5">
        <v>101.1</v>
      </c>
      <c r="D11" s="8"/>
      <c r="E11" s="6">
        <v>34406</v>
      </c>
      <c r="F11" s="192"/>
      <c r="G11" s="5"/>
      <c r="H11" s="141"/>
      <c r="I11" s="141"/>
      <c r="J11" s="106">
        <f>IF(診断,-1,IF(SUMIF(N$2:N$89,N11,貸方)=SUMIF(N$2:N$89,N11,借方),IF(COUNTIF(F11,O$1),C11,),-1))</f>
        <v>0</v>
      </c>
      <c r="K11" s="107" t="str">
        <f>IF(ISBLANK(C11),"",VLOOKUP(C11,科目設定,2,0))</f>
        <v>役員からの短期借入金 1</v>
      </c>
      <c r="L11" s="21" t="str">
        <f>IF(ISBLANK(C11),"",IF(VLOOKUP(C11,科目設定,9,0)="借方",SUMIF(C$2:C11,C11,借方)-SUMIF(C$2:C11,C11,貸方),""))</f>
        <v/>
      </c>
      <c r="M11" s="108">
        <f>IF(ISBLANK(C11),"",IF(VLOOKUP(C11,科目設定,9,0)="貸方",SUMIF(C$2:C11,C11,貸方)-SUMIF(C$2:C11,C11,借方),""))</f>
        <v>1061512</v>
      </c>
      <c r="N11" s="109">
        <f t="shared" si="2"/>
        <v>11225600</v>
      </c>
      <c r="O11" s="110">
        <f t="shared" si="3"/>
        <v>11225600</v>
      </c>
      <c r="P11" s="111" t="str">
        <f>IF(ISBLANK(C11),"",IF(C11=J11,"前期繰越",IF(COUNTIF(O$2:O$89,-O11)=1,VLOOKUP(INDEX(科目,MATCH(-O11,O$2:O$89,0),1),科目設定,2,0),"諸口")))</f>
        <v>役員報酬 1</v>
      </c>
      <c r="Q11" s="112" t="str">
        <f>IF(ISBLANK(G11),"",VLOOKUP(G11,品番設定,2,0))</f>
        <v/>
      </c>
    </row>
    <row r="12" spans="1:17" ht="16.5" customHeight="1">
      <c r="A12" s="3">
        <v>43850</v>
      </c>
      <c r="B12" s="4"/>
      <c r="C12" s="5">
        <v>105.1</v>
      </c>
      <c r="D12" s="8"/>
      <c r="E12" s="6">
        <v>11494</v>
      </c>
      <c r="F12" s="192"/>
      <c r="G12" s="5"/>
      <c r="H12" s="141"/>
      <c r="I12" s="141"/>
      <c r="J12" s="106">
        <f>IF(診断,-1,IF(SUMIF(N$2:N$89,N12,貸方)=SUMIF(N$2:N$89,N12,借方),IF(COUNTIF(F12,O$1),C12,),-1))</f>
        <v>0</v>
      </c>
      <c r="K12" s="107" t="str">
        <f>IF(ISBLANK(C12),"",VLOOKUP(C12,科目設定,2,0))</f>
        <v>社保預り金 1</v>
      </c>
      <c r="L12" s="21" t="str">
        <f>IF(ISBLANK(C12),"",IF(VLOOKUP(C12,科目設定,9,0)="借方",SUMIF(C$2:C12,C12,借方)-SUMIF(C$2:C12,C12,貸方),""))</f>
        <v/>
      </c>
      <c r="M12" s="108">
        <f>IF(ISBLANK(C12),"",IF(VLOOKUP(C12,科目設定,9,0)="貸方",SUMIF(C$2:C12,C12,貸方)-SUMIF(C$2:C12,C12,借方),""))</f>
        <v>11494</v>
      </c>
      <c r="N12" s="109">
        <f t="shared" si="2"/>
        <v>11225600</v>
      </c>
      <c r="O12" s="110">
        <f t="shared" si="3"/>
        <v>11225600</v>
      </c>
      <c r="P12" s="111" t="str">
        <f>IF(ISBLANK(C12),"",IF(C12=J12,"前期繰越",IF(COUNTIF(O$2:O$89,-O12)=1,VLOOKUP(INDEX(科目,MATCH(-O12,O$2:O$89,0),1),科目設定,2,0),"諸口")))</f>
        <v>役員報酬 1</v>
      </c>
      <c r="Q12" s="112" t="str">
        <f>IF(ISBLANK(G12),"",VLOOKUP(G12,品番設定,2,0))</f>
        <v/>
      </c>
    </row>
    <row r="13" spans="1:17" ht="16.5" customHeight="1">
      <c r="A13" s="3">
        <v>43850</v>
      </c>
      <c r="B13" s="4"/>
      <c r="C13" s="5">
        <v>421.1</v>
      </c>
      <c r="D13" s="6">
        <v>45900</v>
      </c>
      <c r="E13" s="8"/>
      <c r="F13" s="192"/>
      <c r="G13" s="5"/>
      <c r="H13" s="141"/>
      <c r="I13" s="141"/>
      <c r="J13" s="106">
        <f>IF(診断,-1,IF(SUMIF(N$2:N$89,N13,貸方)=SUMIF(N$2:N$89,N13,借方),IF(COUNTIF(F13,O$1),C13,),-1))</f>
        <v>0</v>
      </c>
      <c r="K13" s="107" t="str">
        <f>IF(ISBLANK(C13),"",VLOOKUP(C13,科目設定,2,0))</f>
        <v>役員報酬 1</v>
      </c>
      <c r="L13" s="21">
        <f>IF(ISBLANK(C13),"",IF(VLOOKUP(C13,科目設定,9,0)="借方",SUMIF(C$2:C13,C13,借方)-SUMIF(C$2:C13,C13,貸方),""))</f>
        <v>45900</v>
      </c>
      <c r="M13" s="108" t="str">
        <f>IF(ISBLANK(C13),"",IF(VLOOKUP(C13,科目設定,9,0)="貸方",SUMIF(C$2:C13,C13,貸方)-SUMIF(C$2:C13,C13,借方),""))</f>
        <v/>
      </c>
      <c r="N13" s="109">
        <f t="shared" si="2"/>
        <v>11225600</v>
      </c>
      <c r="O13" s="110">
        <f t="shared" si="3"/>
        <v>-11225600</v>
      </c>
      <c r="P13" s="111" t="str">
        <f>IF(ISBLANK(C13),"",IF(C13=J13,"前期繰越",IF(COUNTIF(O$2:O$89,-O13)=1,VLOOKUP(INDEX(科目,MATCH(-O13,O$2:O$89,0),1),科目設定,2,0),"諸口")))</f>
        <v>諸口</v>
      </c>
      <c r="Q13" s="112" t="str">
        <f>IF(ISBLANK(G13),"",VLOOKUP(G13,品番設定,2,0))</f>
        <v/>
      </c>
    </row>
    <row r="14" spans="1:17" ht="16.5" customHeight="1">
      <c r="A14" s="3">
        <v>43861</v>
      </c>
      <c r="B14" s="4"/>
      <c r="C14" s="5">
        <v>1.1000000000000001</v>
      </c>
      <c r="D14" s="8"/>
      <c r="E14" s="6">
        <v>23287</v>
      </c>
      <c r="F14" s="192"/>
      <c r="G14" s="5"/>
      <c r="H14" s="141"/>
      <c r="I14" s="141"/>
      <c r="J14" s="106">
        <f>IF(診断,-1,IF(SUMIF(N$2:N$89,N14,貸方)=SUMIF(N$2:N$89,N14,借方),IF(COUNTIF(F14,O$1),C14,),-1))</f>
        <v>0</v>
      </c>
      <c r="K14" s="107" t="str">
        <f>IF(ISBLANK(C14),"",VLOOKUP(C14,科目設定,2,0))</f>
        <v>普通預金 ゆうちょ銀行</v>
      </c>
      <c r="L14" s="21">
        <f>IF(ISBLANK(C14),"",IF(VLOOKUP(C14,科目設定,9,0)="借方",SUMIF(C$2:C14,C14,借方)-SUMIF(C$2:C14,C14,貸方),""))</f>
        <v>1953426</v>
      </c>
      <c r="M14" s="108" t="str">
        <f>IF(ISBLANK(C14),"",IF(VLOOKUP(C14,科目設定,9,0)="貸方",SUMIF(C$2:C14,C14,貸方)-SUMIF(C$2:C14,C14,借方),""))</f>
        <v/>
      </c>
      <c r="N14" s="109">
        <f t="shared" si="2"/>
        <v>11228416</v>
      </c>
      <c r="O14" s="110">
        <f t="shared" si="3"/>
        <v>11228416</v>
      </c>
      <c r="P14" s="111" t="str">
        <f>IF(ISBLANK(C14),"",IF(C14=J14,"前期繰越",IF(COUNTIF(O$2:O$89,-O14)=1,VLOOKUP(INDEX(科目,MATCH(-O14,O$2:O$89,0),1),科目設定,2,0),"諸口")))</f>
        <v>諸口</v>
      </c>
      <c r="Q14" s="112" t="str">
        <f>IF(ISBLANK(G14),"",VLOOKUP(G14,品番設定,2,0))</f>
        <v/>
      </c>
    </row>
    <row r="15" spans="1:17" ht="16.5" customHeight="1">
      <c r="A15" s="3">
        <v>43861</v>
      </c>
      <c r="B15" s="4"/>
      <c r="C15" s="5">
        <v>105</v>
      </c>
      <c r="D15" s="6">
        <v>11494</v>
      </c>
      <c r="E15" s="8"/>
      <c r="F15" s="192"/>
      <c r="G15" s="5"/>
      <c r="H15" s="141"/>
      <c r="I15" s="141"/>
      <c r="J15" s="106">
        <f>IF(診断,-1,IF(SUMIF(N$2:N$89,N15,貸方)=SUMIF(N$2:N$89,N15,借方),IF(COUNTIF(F15,O$1),C15,),-1))</f>
        <v>0</v>
      </c>
      <c r="K15" s="107" t="str">
        <f>IF(ISBLANK(C15),"",VLOOKUP(C15,科目設定,2,0))</f>
        <v>預り金</v>
      </c>
      <c r="L15" s="21" t="str">
        <f>IF(ISBLANK(C15),"",IF(VLOOKUP(C15,科目設定,9,0)="借方",SUMIF(C$2:C15,C15,借方)-SUMIF(C$2:C15,C15,貸方),""))</f>
        <v/>
      </c>
      <c r="M15" s="108">
        <f>IF(ISBLANK(C15),"",IF(VLOOKUP(C15,科目設定,9,0)="貸方",SUMIF(C$2:C15,C15,貸方)-SUMIF(C$2:C15,C15,借方),""))</f>
        <v>-11494</v>
      </c>
      <c r="N15" s="109">
        <f t="shared" si="2"/>
        <v>11228416</v>
      </c>
      <c r="O15" s="110">
        <f t="shared" si="3"/>
        <v>-11228416</v>
      </c>
      <c r="P15" s="111" t="str">
        <f>IF(ISBLANK(C15),"",IF(C15=J15,"前期繰越",IF(COUNTIF(O$2:O$89,-O15)=1,VLOOKUP(INDEX(科目,MATCH(-O15,O$2:O$89,0),1),科目設定,2,0),"諸口")))</f>
        <v>普通預金 ゆうちょ銀行</v>
      </c>
      <c r="Q15" s="112" t="str">
        <f>IF(ISBLANK(G15),"",VLOOKUP(G15,品番設定,2,0))</f>
        <v/>
      </c>
    </row>
    <row r="16" spans="1:17" ht="16.5" customHeight="1">
      <c r="A16" s="3">
        <v>43861</v>
      </c>
      <c r="B16" s="4"/>
      <c r="C16" s="5">
        <v>422</v>
      </c>
      <c r="D16" s="6">
        <v>11793</v>
      </c>
      <c r="E16" s="8"/>
      <c r="F16" s="192"/>
      <c r="G16" s="5"/>
      <c r="H16" s="141"/>
      <c r="I16" s="141"/>
      <c r="J16" s="106">
        <f>IF(診断,-1,IF(SUMIF(N$2:N$89,N16,貸方)=SUMIF(N$2:N$89,N16,借方),IF(COUNTIF(F16,O$1),C16,),-1))</f>
        <v>0</v>
      </c>
      <c r="K16" s="107" t="str">
        <f>IF(ISBLANK(C16),"",VLOOKUP(C16,科目設定,2,0))</f>
        <v>法定福利費</v>
      </c>
      <c r="L16" s="21">
        <f>IF(ISBLANK(C16),"",IF(VLOOKUP(C16,科目設定,9,0)="借方",SUMIF(C$2:C16,C16,借方)-SUMIF(C$2:C16,C16,貸方),""))</f>
        <v>23586</v>
      </c>
      <c r="M16" s="108" t="str">
        <f>IF(ISBLANK(C16),"",IF(VLOOKUP(C16,科目設定,9,0)="貸方",SUMIF(C$2:C16,C16,貸方)-SUMIF(C$2:C16,C16,借方),""))</f>
        <v/>
      </c>
      <c r="N16" s="109">
        <f t="shared" si="2"/>
        <v>11228416</v>
      </c>
      <c r="O16" s="110">
        <f t="shared" si="3"/>
        <v>-11228416</v>
      </c>
      <c r="P16" s="111" t="str">
        <f>IF(ISBLANK(C16),"",IF(C16=J16,"前期繰越",IF(COUNTIF(O$2:O$89,-O16)=1,VLOOKUP(INDEX(科目,MATCH(-O16,O$2:O$89,0),1),科目設定,2,0),"諸口")))</f>
        <v>普通預金 ゆうちょ銀行</v>
      </c>
      <c r="Q16" s="112" t="str">
        <f>IF(ISBLANK(G16),"",VLOOKUP(G16,品番設定,2,0))</f>
        <v/>
      </c>
    </row>
    <row r="17" spans="1:17" ht="16.5" customHeight="1">
      <c r="A17" s="3">
        <v>43880</v>
      </c>
      <c r="B17" s="5">
        <v>1</v>
      </c>
      <c r="C17" s="5">
        <v>1.1000000000000001</v>
      </c>
      <c r="D17" s="8">
        <v>400000</v>
      </c>
      <c r="E17" s="6"/>
      <c r="F17" s="192"/>
      <c r="G17" s="5"/>
      <c r="H17" s="141"/>
      <c r="I17" s="141"/>
      <c r="J17" s="106">
        <f>IF(診断,-1,IF(SUMIF(N$2:N$89,N17,貸方)=SUMIF(N$2:N$89,N17,借方),IF(COUNTIF(F17,O$1),C17,),-1))</f>
        <v>0</v>
      </c>
      <c r="K17" s="107" t="str">
        <f>IF(ISBLANK(C17),"",VLOOKUP(C17,科目設定,2,0))</f>
        <v>普通預金 ゆうちょ銀行</v>
      </c>
      <c r="L17" s="21">
        <f>IF(ISBLANK(C17),"",IF(VLOOKUP(C17,科目設定,9,0)="借方",SUMIF(C$2:C17,C17,借方)-SUMIF(C$2:C17,C17,貸方),""))</f>
        <v>2353426</v>
      </c>
      <c r="M17" s="108" t="str">
        <f>IF(ISBLANK(C17),"",IF(VLOOKUP(C17,科目設定,9,0)="貸方",SUMIF(C$2:C17,C17,貸方)-SUMIF(C$2:C17,C17,借方),""))</f>
        <v/>
      </c>
      <c r="N17" s="109">
        <f t="shared" si="2"/>
        <v>11233281</v>
      </c>
      <c r="O17" s="110">
        <f t="shared" si="3"/>
        <v>-11233281</v>
      </c>
      <c r="P17" s="111" t="str">
        <f>IF(ISBLANK(C17),"",IF(C17=J17,"前期繰越",IF(COUNTIF(O$2:O$89,-O17)=1,VLOOKUP(INDEX(科目,MATCH(-O17,O$2:O$89,0),1),科目設定,2,0),"諸口")))</f>
        <v>役員からの短期借入金 1</v>
      </c>
      <c r="Q17" s="112" t="str">
        <f>IF(ISBLANK(G17),"",VLOOKUP(G17,品番設定,2,0))</f>
        <v/>
      </c>
    </row>
    <row r="18" spans="1:17" ht="16.5" customHeight="1">
      <c r="A18" s="3">
        <v>43880</v>
      </c>
      <c r="B18" s="5">
        <v>1</v>
      </c>
      <c r="C18" s="5">
        <v>101.1</v>
      </c>
      <c r="D18" s="6"/>
      <c r="E18" s="8">
        <v>400000</v>
      </c>
      <c r="F18" s="192"/>
      <c r="G18" s="5"/>
      <c r="H18" s="141"/>
      <c r="I18" s="141"/>
      <c r="J18" s="106">
        <f>IF(診断,-1,IF(SUMIF(N$2:N$89,N18,貸方)=SUMIF(N$2:N$89,N18,借方),IF(COUNTIF(F18,O$1),C18,),-1))</f>
        <v>0</v>
      </c>
      <c r="K18" s="107" t="str">
        <f>IF(ISBLANK(C18),"",VLOOKUP(C18,科目設定,2,0))</f>
        <v>役員からの短期借入金 1</v>
      </c>
      <c r="L18" s="21" t="str">
        <f>IF(ISBLANK(C18),"",IF(VLOOKUP(C18,科目設定,9,0)="借方",SUMIF(C$2:C18,C18,借方)-SUMIF(C$2:C18,C18,貸方),""))</f>
        <v/>
      </c>
      <c r="M18" s="108">
        <f>IF(ISBLANK(C18),"",IF(VLOOKUP(C18,科目設定,9,0)="貸方",SUMIF(C$2:C18,C18,貸方)-SUMIF(C$2:C18,C18,借方),""))</f>
        <v>1461512</v>
      </c>
      <c r="N18" s="109">
        <f t="shared" si="2"/>
        <v>11233281</v>
      </c>
      <c r="O18" s="110">
        <f t="shared" si="3"/>
        <v>11233281</v>
      </c>
      <c r="P18" s="111" t="str">
        <f>IF(ISBLANK(C18),"",IF(C18=J18,"前期繰越",IF(COUNTIF(O$2:O$89,-O18)=1,VLOOKUP(INDEX(科目,MATCH(-O18,O$2:O$89,0),1),科目設定,2,0),"諸口")))</f>
        <v>普通預金 ゆうちょ銀行</v>
      </c>
      <c r="Q18" s="112" t="str">
        <f>IF(ISBLANK(G18),"",VLOOKUP(G18,品番設定,2,0))</f>
        <v/>
      </c>
    </row>
    <row r="19" spans="1:17" ht="16.5" customHeight="1">
      <c r="A19" s="3">
        <v>43880</v>
      </c>
      <c r="B19" s="5">
        <v>2</v>
      </c>
      <c r="C19" s="5">
        <v>1.1000000000000001</v>
      </c>
      <c r="D19" s="8"/>
      <c r="E19" s="6">
        <v>82000</v>
      </c>
      <c r="F19" s="192"/>
      <c r="G19" s="5"/>
      <c r="H19" s="141"/>
      <c r="I19" s="141"/>
      <c r="J19" s="106">
        <f>IF(診断,-1,IF(SUMIF(N$2:N$89,N19,貸方)=SUMIF(N$2:N$89,N19,借方),IF(COUNTIF(F19,O$1),C19,),-1))</f>
        <v>0</v>
      </c>
      <c r="K19" s="107" t="str">
        <f>IF(ISBLANK(C19),"",VLOOKUP(C19,科目設定,2,0))</f>
        <v>普通預金 ゆうちょ銀行</v>
      </c>
      <c r="L19" s="21">
        <f>IF(ISBLANK(C19),"",IF(VLOOKUP(C19,科目設定,9,0)="借方",SUMIF(C$2:C19,C19,借方)-SUMIF(C$2:C19,C19,貸方),""))</f>
        <v>2271426</v>
      </c>
      <c r="M19" s="108" t="str">
        <f>IF(ISBLANK(C19),"",IF(VLOOKUP(C19,科目設定,9,0)="貸方",SUMIF(C$2:C19,C19,貸方)-SUMIF(C$2:C19,C19,借方),""))</f>
        <v/>
      </c>
      <c r="N19" s="109">
        <f t="shared" si="2"/>
        <v>11233282</v>
      </c>
      <c r="O19" s="110">
        <f t="shared" si="3"/>
        <v>11233282</v>
      </c>
      <c r="P19" s="111" t="str">
        <f>IF(ISBLANK(C19),"",IF(C19=J19,"前期繰越",IF(COUNTIF(O$2:O$89,-O19)=1,VLOOKUP(INDEX(科目,MATCH(-O19,O$2:O$89,0),1),科目設定,2,0),"諸口")))</f>
        <v>諸口</v>
      </c>
      <c r="Q19" s="112" t="str">
        <f>IF(ISBLANK(G19),"",VLOOKUP(G19,品番設定,2,0))</f>
        <v/>
      </c>
    </row>
    <row r="20" spans="1:17" ht="16.5" customHeight="1">
      <c r="A20" s="3">
        <v>43880</v>
      </c>
      <c r="B20" s="5">
        <v>2</v>
      </c>
      <c r="C20" s="5">
        <v>482</v>
      </c>
      <c r="D20" s="6">
        <v>22000</v>
      </c>
      <c r="E20" s="8"/>
      <c r="F20" s="192"/>
      <c r="G20" s="5"/>
      <c r="H20" s="141"/>
      <c r="I20" s="141"/>
      <c r="J20" s="106">
        <f>IF(診断,-1,IF(SUMIF(N$2:N$89,N20,貸方)=SUMIF(N$2:N$89,N20,借方),IF(COUNTIF(F20,O$1),C20,),-1))</f>
        <v>0</v>
      </c>
      <c r="K20" s="107" t="str">
        <f>IF(ISBLANK(C20),"",VLOOKUP(C20,科目設定,2,0))</f>
        <v>法人県民税等</v>
      </c>
      <c r="L20" s="21">
        <f>IF(ISBLANK(C20),"",IF(VLOOKUP(C20,科目設定,9,0)="借方",SUMIF(C$2:C20,C20,借方)-SUMIF(C$2:C20,C20,貸方),""))</f>
        <v>22000</v>
      </c>
      <c r="M20" s="108" t="str">
        <f>IF(ISBLANK(C20),"",IF(VLOOKUP(C20,科目設定,9,0)="貸方",SUMIF(C$2:C20,C20,貸方)-SUMIF(C$2:C20,C20,借方),""))</f>
        <v/>
      </c>
      <c r="N20" s="109">
        <f t="shared" si="2"/>
        <v>11233282</v>
      </c>
      <c r="O20" s="110">
        <f t="shared" si="3"/>
        <v>-11233282</v>
      </c>
      <c r="P20" s="111" t="str">
        <f>IF(ISBLANK(C20),"",IF(C20=J20,"前期繰越",IF(COUNTIF(O$2:O$89,-O20)=1,VLOOKUP(INDEX(科目,MATCH(-O20,O$2:O$89,0),1),科目設定,2,0),"諸口")))</f>
        <v>普通預金 ゆうちょ銀行</v>
      </c>
      <c r="Q20" s="112" t="str">
        <f>IF(ISBLANK(G20),"",VLOOKUP(G20,品番設定,2,0))</f>
        <v/>
      </c>
    </row>
    <row r="21" spans="1:17" ht="16.5" customHeight="1">
      <c r="A21" s="3">
        <v>43880</v>
      </c>
      <c r="B21" s="5">
        <v>2</v>
      </c>
      <c r="C21" s="5">
        <v>483</v>
      </c>
      <c r="D21" s="6">
        <v>60000</v>
      </c>
      <c r="E21" s="8"/>
      <c r="F21" s="192"/>
      <c r="G21" s="5"/>
      <c r="H21" s="141"/>
      <c r="I21" s="141"/>
      <c r="J21" s="106">
        <f>IF(診断,-1,IF(SUMIF(N$2:N$89,N21,貸方)=SUMIF(N$2:N$89,N21,借方),IF(COUNTIF(F21,O$1),C21,),-1))</f>
        <v>0</v>
      </c>
      <c r="K21" s="107" t="str">
        <f>IF(ISBLANK(C21),"",VLOOKUP(C21,科目設定,2,0))</f>
        <v>法人市民税</v>
      </c>
      <c r="L21" s="21">
        <f>IF(ISBLANK(C21),"",IF(VLOOKUP(C21,科目設定,9,0)="借方",SUMIF(C$2:C21,C21,借方)-SUMIF(C$2:C21,C21,貸方),""))</f>
        <v>60000</v>
      </c>
      <c r="M21" s="108" t="str">
        <f>IF(ISBLANK(C21),"",IF(VLOOKUP(C21,科目設定,9,0)="貸方",SUMIF(C$2:C21,C21,貸方)-SUMIF(C$2:C21,C21,借方),""))</f>
        <v/>
      </c>
      <c r="N21" s="109">
        <f t="shared" si="2"/>
        <v>11233282</v>
      </c>
      <c r="O21" s="110">
        <f t="shared" si="3"/>
        <v>-11233282</v>
      </c>
      <c r="P21" s="111" t="str">
        <f>IF(ISBLANK(C21),"",IF(C21=J21,"前期繰越",IF(COUNTIF(O$2:O$89,-O21)=1,VLOOKUP(INDEX(科目,MATCH(-O21,O$2:O$89,0),1),科目設定,2,0),"諸口")))</f>
        <v>普通預金 ゆうちょ銀行</v>
      </c>
      <c r="Q21" s="112" t="str">
        <f>IF(ISBLANK(G21),"",VLOOKUP(G21,品番設定,2,0))</f>
        <v/>
      </c>
    </row>
    <row r="22" spans="1:17" ht="16.5" customHeight="1">
      <c r="A22" s="3">
        <v>43881</v>
      </c>
      <c r="B22" s="5"/>
      <c r="C22" s="5">
        <v>101.1</v>
      </c>
      <c r="D22" s="8"/>
      <c r="E22" s="6">
        <v>34406</v>
      </c>
      <c r="F22" s="192"/>
      <c r="G22" s="5"/>
      <c r="H22" s="141"/>
      <c r="I22" s="141"/>
      <c r="J22" s="106">
        <f>IF(診断,-1,IF(SUMIF(N$2:N$89,N22,貸方)=SUMIF(N$2:N$89,N22,借方),IF(COUNTIF(F22,O$1),C22,),-1))</f>
        <v>0</v>
      </c>
      <c r="K22" s="107" t="str">
        <f>IF(ISBLANK(C22),"",VLOOKUP(C22,科目設定,2,0))</f>
        <v>役員からの短期借入金 1</v>
      </c>
      <c r="L22" s="21" t="str">
        <f>IF(ISBLANK(C22),"",IF(VLOOKUP(C22,科目設定,9,0)="借方",SUMIF(C$2:C22,C22,借方)-SUMIF(C$2:C22,C22,貸方),""))</f>
        <v/>
      </c>
      <c r="M22" s="108">
        <f>IF(ISBLANK(C22),"",IF(VLOOKUP(C22,科目設定,9,0)="貸方",SUMIF(C$2:C22,C22,貸方)-SUMIF(C$2:C22,C22,借方),""))</f>
        <v>1495918</v>
      </c>
      <c r="N22" s="109">
        <f t="shared" si="2"/>
        <v>11233536</v>
      </c>
      <c r="O22" s="110">
        <f t="shared" si="3"/>
        <v>11233536</v>
      </c>
      <c r="P22" s="111" t="str">
        <f>IF(ISBLANK(C22),"",IF(C22=J22,"前期繰越",IF(COUNTIF(O$2:O$89,-O22)=1,VLOOKUP(INDEX(科目,MATCH(-O22,O$2:O$89,0),1),科目設定,2,0),"諸口")))</f>
        <v>役員報酬 1</v>
      </c>
      <c r="Q22" s="112" t="str">
        <f>IF(ISBLANK(G22),"",VLOOKUP(G22,品番設定,2,0))</f>
        <v/>
      </c>
    </row>
    <row r="23" spans="1:17" ht="16.5" customHeight="1">
      <c r="A23" s="3">
        <v>43881</v>
      </c>
      <c r="B23" s="5"/>
      <c r="C23" s="5">
        <v>105.1</v>
      </c>
      <c r="D23" s="8"/>
      <c r="E23" s="6">
        <v>11494</v>
      </c>
      <c r="F23" s="192"/>
      <c r="G23" s="5"/>
      <c r="H23" s="141"/>
      <c r="I23" s="141"/>
      <c r="J23" s="106">
        <f>IF(診断,-1,IF(SUMIF(N$2:N$89,N23,貸方)=SUMIF(N$2:N$89,N23,借方),IF(COUNTIF(F23,O$1),C23,),-1))</f>
        <v>0</v>
      </c>
      <c r="K23" s="107" t="str">
        <f>IF(ISBLANK(C23),"",VLOOKUP(C23,科目設定,2,0))</f>
        <v>社保預り金 1</v>
      </c>
      <c r="L23" s="21" t="str">
        <f>IF(ISBLANK(C23),"",IF(VLOOKUP(C23,科目設定,9,0)="借方",SUMIF(C$2:C23,C23,借方)-SUMIF(C$2:C23,C23,貸方),""))</f>
        <v/>
      </c>
      <c r="M23" s="108">
        <f>IF(ISBLANK(C23),"",IF(VLOOKUP(C23,科目設定,9,0)="貸方",SUMIF(C$2:C23,C23,貸方)-SUMIF(C$2:C23,C23,借方),""))</f>
        <v>22988</v>
      </c>
      <c r="N23" s="109">
        <f t="shared" si="2"/>
        <v>11233536</v>
      </c>
      <c r="O23" s="110">
        <f t="shared" si="3"/>
        <v>11233536</v>
      </c>
      <c r="P23" s="111" t="str">
        <f>IF(ISBLANK(C23),"",IF(C23=J23,"前期繰越",IF(COUNTIF(O$2:O$89,-O23)=1,VLOOKUP(INDEX(科目,MATCH(-O23,O$2:O$89,0),1),科目設定,2,0),"諸口")))</f>
        <v>役員報酬 1</v>
      </c>
      <c r="Q23" s="112" t="str">
        <f>IF(ISBLANK(G23),"",VLOOKUP(G23,品番設定,2,0))</f>
        <v/>
      </c>
    </row>
    <row r="24" spans="1:17" ht="16.5" customHeight="1">
      <c r="A24" s="3">
        <v>43881</v>
      </c>
      <c r="B24" s="5"/>
      <c r="C24" s="5">
        <v>421.1</v>
      </c>
      <c r="D24" s="6">
        <v>45900</v>
      </c>
      <c r="E24" s="8"/>
      <c r="F24" s="192"/>
      <c r="G24" s="5"/>
      <c r="H24" s="141"/>
      <c r="I24" s="141"/>
      <c r="J24" s="106">
        <f>IF(診断,-1,IF(SUMIF(N$2:N$89,N24,貸方)=SUMIF(N$2:N$89,N24,借方),IF(COUNTIF(F24,O$1),C24,),-1))</f>
        <v>0</v>
      </c>
      <c r="K24" s="107" t="str">
        <f>IF(ISBLANK(C24),"",VLOOKUP(C24,科目設定,2,0))</f>
        <v>役員報酬 1</v>
      </c>
      <c r="L24" s="21">
        <f>IF(ISBLANK(C24),"",IF(VLOOKUP(C24,科目設定,9,0)="借方",SUMIF(C$2:C24,C24,借方)-SUMIF(C$2:C24,C24,貸方),""))</f>
        <v>91800</v>
      </c>
      <c r="M24" s="108" t="str">
        <f>IF(ISBLANK(C24),"",IF(VLOOKUP(C24,科目設定,9,0)="貸方",SUMIF(C$2:C24,C24,貸方)-SUMIF(C$2:C24,C24,借方),""))</f>
        <v/>
      </c>
      <c r="N24" s="109">
        <f t="shared" si="2"/>
        <v>11233536</v>
      </c>
      <c r="O24" s="110">
        <f t="shared" si="3"/>
        <v>-11233536</v>
      </c>
      <c r="P24" s="111" t="str">
        <f>IF(ISBLANK(C24),"",IF(C24=J24,"前期繰越",IF(COUNTIF(O$2:O$89,-O24)=1,VLOOKUP(INDEX(科目,MATCH(-O24,O$2:O$89,0),1),科目設定,2,0),"諸口")))</f>
        <v>諸口</v>
      </c>
      <c r="Q24" s="112" t="str">
        <f>IF(ISBLANK(G24),"",VLOOKUP(G24,品番設定,2,0))</f>
        <v/>
      </c>
    </row>
    <row r="25" spans="1:17" ht="16.5" customHeight="1">
      <c r="A25" s="3">
        <v>43892</v>
      </c>
      <c r="B25" s="4"/>
      <c r="C25" s="5">
        <v>1.1000000000000001</v>
      </c>
      <c r="D25" s="8"/>
      <c r="E25" s="6">
        <v>23287</v>
      </c>
      <c r="F25" s="192"/>
      <c r="G25" s="5"/>
      <c r="H25" s="141"/>
      <c r="I25" s="141"/>
      <c r="J25" s="106">
        <f>IF(診断,-1,IF(SUMIF(N$2:N$89,N25,貸方)=SUMIF(N$2:N$89,N25,借方),IF(COUNTIF(F25,O$1),C25,),-1))</f>
        <v>0</v>
      </c>
      <c r="K25" s="107" t="str">
        <f>IF(ISBLANK(C25),"",VLOOKUP(C25,科目設定,2,0))</f>
        <v>普通預金 ゆうちょ銀行</v>
      </c>
      <c r="L25" s="21">
        <f>IF(ISBLANK(C25),"",IF(VLOOKUP(C25,科目設定,9,0)="借方",SUMIF(C$2:C25,C25,借方)-SUMIF(C$2:C25,C25,貸方),""))</f>
        <v>2248139</v>
      </c>
      <c r="M25" s="108" t="str">
        <f>IF(ISBLANK(C25),"",IF(VLOOKUP(C25,科目設定,9,0)="貸方",SUMIF(C$2:C25,C25,貸方)-SUMIF(C$2:C25,C25,借方),""))</f>
        <v/>
      </c>
      <c r="N25" s="109">
        <f t="shared" si="2"/>
        <v>11236352</v>
      </c>
      <c r="O25" s="110">
        <f t="shared" si="3"/>
        <v>11236352</v>
      </c>
      <c r="P25" s="111" t="str">
        <f>IF(ISBLANK(C25),"",IF(C25=J25,"前期繰越",IF(COUNTIF(O$2:O$89,-O25)=1,VLOOKUP(INDEX(科目,MATCH(-O25,O$2:O$89,0),1),科目設定,2,0),"諸口")))</f>
        <v>諸口</v>
      </c>
      <c r="Q25" s="112" t="str">
        <f>IF(ISBLANK(G25),"",VLOOKUP(G25,品番設定,2,0))</f>
        <v/>
      </c>
    </row>
    <row r="26" spans="1:17" ht="16.5" customHeight="1">
      <c r="A26" s="3">
        <v>43892</v>
      </c>
      <c r="B26" s="4"/>
      <c r="C26" s="5">
        <v>105</v>
      </c>
      <c r="D26" s="6">
        <v>11494</v>
      </c>
      <c r="E26" s="8"/>
      <c r="F26" s="192"/>
      <c r="G26" s="5"/>
      <c r="H26" s="141"/>
      <c r="I26" s="141"/>
      <c r="J26" s="106">
        <f>IF(診断,-1,IF(SUMIF(N$2:N$89,N26,貸方)=SUMIF(N$2:N$89,N26,借方),IF(COUNTIF(F26,O$1),C26,),-1))</f>
        <v>0</v>
      </c>
      <c r="K26" s="107" t="str">
        <f>IF(ISBLANK(C26),"",VLOOKUP(C26,科目設定,2,0))</f>
        <v>預り金</v>
      </c>
      <c r="L26" s="21" t="str">
        <f>IF(ISBLANK(C26),"",IF(VLOOKUP(C26,科目設定,9,0)="借方",SUMIF(C$2:C26,C26,借方)-SUMIF(C$2:C26,C26,貸方),""))</f>
        <v/>
      </c>
      <c r="M26" s="108">
        <f>IF(ISBLANK(C26),"",IF(VLOOKUP(C26,科目設定,9,0)="貸方",SUMIF(C$2:C26,C26,貸方)-SUMIF(C$2:C26,C26,借方),""))</f>
        <v>-22988</v>
      </c>
      <c r="N26" s="109">
        <f t="shared" si="2"/>
        <v>11236352</v>
      </c>
      <c r="O26" s="110">
        <f t="shared" si="3"/>
        <v>-11236352</v>
      </c>
      <c r="P26" s="111" t="str">
        <f>IF(ISBLANK(C26),"",IF(C26=J26,"前期繰越",IF(COUNTIF(O$2:O$89,-O26)=1,VLOOKUP(INDEX(科目,MATCH(-O26,O$2:O$89,0),1),科目設定,2,0),"諸口")))</f>
        <v>普通預金 ゆうちょ銀行</v>
      </c>
      <c r="Q26" s="112" t="str">
        <f>IF(ISBLANK(G26),"",VLOOKUP(G26,品番設定,2,0))</f>
        <v/>
      </c>
    </row>
    <row r="27" spans="1:17" ht="16.5" customHeight="1">
      <c r="A27" s="3">
        <v>43892</v>
      </c>
      <c r="B27" s="4"/>
      <c r="C27" s="5">
        <v>422</v>
      </c>
      <c r="D27" s="6">
        <v>11793</v>
      </c>
      <c r="E27" s="8"/>
      <c r="F27" s="192"/>
      <c r="G27" s="5"/>
      <c r="H27" s="141"/>
      <c r="I27" s="141"/>
      <c r="J27" s="106">
        <f>IF(診断,-1,IF(SUMIF(N$2:N$89,N27,貸方)=SUMIF(N$2:N$89,N27,借方),IF(COUNTIF(F27,O$1),C27,),-1))</f>
        <v>0</v>
      </c>
      <c r="K27" s="107" t="str">
        <f>IF(ISBLANK(C27),"",VLOOKUP(C27,科目設定,2,0))</f>
        <v>法定福利費</v>
      </c>
      <c r="L27" s="21">
        <f>IF(ISBLANK(C27),"",IF(VLOOKUP(C27,科目設定,9,0)="借方",SUMIF(C$2:C27,C27,借方)-SUMIF(C$2:C27,C27,貸方),""))</f>
        <v>35379</v>
      </c>
      <c r="M27" s="108" t="str">
        <f>IF(ISBLANK(C27),"",IF(VLOOKUP(C27,科目設定,9,0)="貸方",SUMIF(C$2:C27,C27,貸方)-SUMIF(C$2:C27,C27,借方),""))</f>
        <v/>
      </c>
      <c r="N27" s="109">
        <f t="shared" si="2"/>
        <v>11236352</v>
      </c>
      <c r="O27" s="110">
        <f t="shared" si="3"/>
        <v>-11236352</v>
      </c>
      <c r="P27" s="111" t="str">
        <f>IF(ISBLANK(C27),"",IF(C27=J27,"前期繰越",IF(COUNTIF(O$2:O$89,-O27)=1,VLOOKUP(INDEX(科目,MATCH(-O27,O$2:O$89,0),1),科目設定,2,0),"諸口")))</f>
        <v>普通預金 ゆうちょ銀行</v>
      </c>
      <c r="Q27" s="112" t="str">
        <f>IF(ISBLANK(G27),"",VLOOKUP(G27,品番設定,2,0))</f>
        <v/>
      </c>
    </row>
    <row r="28" spans="1:17" ht="16.5" customHeight="1">
      <c r="A28" s="3">
        <v>43910</v>
      </c>
      <c r="B28" s="4"/>
      <c r="C28" s="5">
        <v>101.1</v>
      </c>
      <c r="D28" s="8"/>
      <c r="E28" s="6">
        <v>34406</v>
      </c>
      <c r="F28" s="192"/>
      <c r="G28" s="5"/>
      <c r="H28" s="141"/>
      <c r="I28" s="141"/>
      <c r="J28" s="106">
        <f>IF(診断,-1,IF(SUMIF(N$2:N$89,N28,貸方)=SUMIF(N$2:N$89,N28,借方),IF(COUNTIF(F28,O$1),C28,),-1))</f>
        <v>0</v>
      </c>
      <c r="K28" s="107" t="str">
        <f>IF(ISBLANK(C28),"",VLOOKUP(C28,科目設定,2,0))</f>
        <v>役員からの短期借入金 1</v>
      </c>
      <c r="L28" s="21" t="str">
        <f>IF(ISBLANK(C28),"",IF(VLOOKUP(C28,科目設定,9,0)="借方",SUMIF(C$2:C28,C28,借方)-SUMIF(C$2:C28,C28,貸方),""))</f>
        <v/>
      </c>
      <c r="M28" s="108">
        <f>IF(ISBLANK(C28),"",IF(VLOOKUP(C28,科目設定,9,0)="貸方",SUMIF(C$2:C28,C28,貸方)-SUMIF(C$2:C28,C28,借方),""))</f>
        <v>1530324</v>
      </c>
      <c r="N28" s="109">
        <f t="shared" si="2"/>
        <v>11240960</v>
      </c>
      <c r="O28" s="110">
        <f t="shared" si="3"/>
        <v>11240960</v>
      </c>
      <c r="P28" s="111" t="str">
        <f>IF(ISBLANK(C28),"",IF(C28=J28,"前期繰越",IF(COUNTIF(O$2:O$89,-O28)=1,VLOOKUP(INDEX(科目,MATCH(-O28,O$2:O$89,0),1),科目設定,2,0),"諸口")))</f>
        <v>役員報酬 1</v>
      </c>
      <c r="Q28" s="112" t="str">
        <f>IF(ISBLANK(G28),"",VLOOKUP(G28,品番設定,2,0))</f>
        <v/>
      </c>
    </row>
    <row r="29" spans="1:17" ht="16.5" customHeight="1">
      <c r="A29" s="3">
        <v>43910</v>
      </c>
      <c r="B29" s="4"/>
      <c r="C29" s="5">
        <v>105.1</v>
      </c>
      <c r="D29" s="8"/>
      <c r="E29" s="6">
        <v>11494</v>
      </c>
      <c r="F29" s="192"/>
      <c r="G29" s="5"/>
      <c r="H29" s="141"/>
      <c r="I29" s="141"/>
      <c r="J29" s="106">
        <f>IF(診断,-1,IF(SUMIF(N$2:N$89,N29,貸方)=SUMIF(N$2:N$89,N29,借方),IF(COUNTIF(F29,O$1),C29,),-1))</f>
        <v>0</v>
      </c>
      <c r="K29" s="107" t="str">
        <f>IF(ISBLANK(C29),"",VLOOKUP(C29,科目設定,2,0))</f>
        <v>社保預り金 1</v>
      </c>
      <c r="L29" s="21" t="str">
        <f>IF(ISBLANK(C29),"",IF(VLOOKUP(C29,科目設定,9,0)="借方",SUMIF(C$2:C29,C29,借方)-SUMIF(C$2:C29,C29,貸方),""))</f>
        <v/>
      </c>
      <c r="M29" s="108">
        <f>IF(ISBLANK(C29),"",IF(VLOOKUP(C29,科目設定,9,0)="貸方",SUMIF(C$2:C29,C29,貸方)-SUMIF(C$2:C29,C29,借方),""))</f>
        <v>34482</v>
      </c>
      <c r="N29" s="109">
        <f t="shared" si="2"/>
        <v>11240960</v>
      </c>
      <c r="O29" s="110">
        <f t="shared" si="3"/>
        <v>11240960</v>
      </c>
      <c r="P29" s="111" t="str">
        <f>IF(ISBLANK(C29),"",IF(C29=J29,"前期繰越",IF(COUNTIF(O$2:O$89,-O29)=1,VLOOKUP(INDEX(科目,MATCH(-O29,O$2:O$89,0),1),科目設定,2,0),"諸口")))</f>
        <v>役員報酬 1</v>
      </c>
      <c r="Q29" s="112" t="str">
        <f>IF(ISBLANK(G29),"",VLOOKUP(G29,品番設定,2,0))</f>
        <v/>
      </c>
    </row>
    <row r="30" spans="1:17" ht="16.5" customHeight="1">
      <c r="A30" s="3">
        <v>43910</v>
      </c>
      <c r="B30" s="4"/>
      <c r="C30" s="5">
        <v>421.1</v>
      </c>
      <c r="D30" s="6">
        <v>45900</v>
      </c>
      <c r="E30" s="8"/>
      <c r="F30" s="192"/>
      <c r="G30" s="5"/>
      <c r="H30" s="141"/>
      <c r="I30" s="141"/>
      <c r="J30" s="106">
        <f>IF(診断,-1,IF(SUMIF(N$2:N$89,N30,貸方)=SUMIF(N$2:N$89,N30,借方),IF(COUNTIF(F30,O$1),C30,),-1))</f>
        <v>0</v>
      </c>
      <c r="K30" s="107" t="str">
        <f>IF(ISBLANK(C30),"",VLOOKUP(C30,科目設定,2,0))</f>
        <v>役員報酬 1</v>
      </c>
      <c r="L30" s="21">
        <f>IF(ISBLANK(C30),"",IF(VLOOKUP(C30,科目設定,9,0)="借方",SUMIF(C$2:C30,C30,借方)-SUMIF(C$2:C30,C30,貸方),""))</f>
        <v>137700</v>
      </c>
      <c r="M30" s="108" t="str">
        <f>IF(ISBLANK(C30),"",IF(VLOOKUP(C30,科目設定,9,0)="貸方",SUMIF(C$2:C30,C30,貸方)-SUMIF(C$2:C30,C30,借方),""))</f>
        <v/>
      </c>
      <c r="N30" s="109">
        <f t="shared" si="2"/>
        <v>11240960</v>
      </c>
      <c r="O30" s="110">
        <f t="shared" si="3"/>
        <v>-11240960</v>
      </c>
      <c r="P30" s="111" t="str">
        <f>IF(ISBLANK(C30),"",IF(C30=J30,"前期繰越",IF(COUNTIF(O$2:O$89,-O30)=1,VLOOKUP(INDEX(科目,MATCH(-O30,O$2:O$89,0),1),科目設定,2,0),"諸口")))</f>
        <v>諸口</v>
      </c>
      <c r="Q30" s="112" t="str">
        <f>IF(ISBLANK(G30),"",VLOOKUP(G30,品番設定,2,0))</f>
        <v/>
      </c>
    </row>
    <row r="31" spans="1:17" ht="16.5" customHeight="1">
      <c r="A31" s="3">
        <v>43921</v>
      </c>
      <c r="B31" s="4"/>
      <c r="C31" s="5">
        <v>1.1000000000000001</v>
      </c>
      <c r="D31" s="8"/>
      <c r="E31" s="6">
        <v>23287</v>
      </c>
      <c r="F31" s="192"/>
      <c r="G31" s="5"/>
      <c r="H31" s="141"/>
      <c r="I31" s="141"/>
      <c r="J31" s="106">
        <f>IF(診断,-1,IF(SUMIF(N$2:N$89,N31,貸方)=SUMIF(N$2:N$89,N31,借方),IF(COUNTIF(F31,O$1),C31,),-1))</f>
        <v>0</v>
      </c>
      <c r="K31" s="107" t="str">
        <f>IF(ISBLANK(C31),"",VLOOKUP(C31,科目設定,2,0))</f>
        <v>普通預金 ゆうちょ銀行</v>
      </c>
      <c r="L31" s="21">
        <f>IF(ISBLANK(C31),"",IF(VLOOKUP(C31,科目設定,9,0)="借方",SUMIF(C$2:C31,C31,借方)-SUMIF(C$2:C31,C31,貸方),""))</f>
        <v>2224852</v>
      </c>
      <c r="M31" s="108" t="str">
        <f>IF(ISBLANK(C31),"",IF(VLOOKUP(C31,科目設定,9,0)="貸方",SUMIF(C$2:C31,C31,貸方)-SUMIF(C$2:C31,C31,借方),""))</f>
        <v/>
      </c>
      <c r="N31" s="109">
        <f t="shared" si="2"/>
        <v>11243776</v>
      </c>
      <c r="O31" s="110">
        <f t="shared" si="3"/>
        <v>11243776</v>
      </c>
      <c r="P31" s="111" t="str">
        <f>IF(ISBLANK(C31),"",IF(C31=J31,"前期繰越",IF(COUNTIF(O$2:O$89,-O31)=1,VLOOKUP(INDEX(科目,MATCH(-O31,O$2:O$89,0),1),科目設定,2,0),"諸口")))</f>
        <v>諸口</v>
      </c>
      <c r="Q31" s="112" t="str">
        <f>IF(ISBLANK(G31),"",VLOOKUP(G31,品番設定,2,0))</f>
        <v/>
      </c>
    </row>
    <row r="32" spans="1:17" ht="16.5" customHeight="1">
      <c r="A32" s="3">
        <v>43921</v>
      </c>
      <c r="B32" s="4"/>
      <c r="C32" s="5">
        <v>105</v>
      </c>
      <c r="D32" s="6">
        <v>11494</v>
      </c>
      <c r="E32" s="8"/>
      <c r="F32" s="192"/>
      <c r="G32" s="5"/>
      <c r="H32" s="141"/>
      <c r="I32" s="141"/>
      <c r="J32" s="106">
        <f>IF(診断,-1,IF(SUMIF(N$2:N$89,N32,貸方)=SUMIF(N$2:N$89,N32,借方),IF(COUNTIF(F32,O$1),C32,),-1))</f>
        <v>0</v>
      </c>
      <c r="K32" s="107" t="str">
        <f>IF(ISBLANK(C32),"",VLOOKUP(C32,科目設定,2,0))</f>
        <v>預り金</v>
      </c>
      <c r="L32" s="21" t="str">
        <f>IF(ISBLANK(C32),"",IF(VLOOKUP(C32,科目設定,9,0)="借方",SUMIF(C$2:C32,C32,借方)-SUMIF(C$2:C32,C32,貸方),""))</f>
        <v/>
      </c>
      <c r="M32" s="108">
        <f>IF(ISBLANK(C32),"",IF(VLOOKUP(C32,科目設定,9,0)="貸方",SUMIF(C$2:C32,C32,貸方)-SUMIF(C$2:C32,C32,借方),""))</f>
        <v>-34482</v>
      </c>
      <c r="N32" s="109">
        <f t="shared" si="2"/>
        <v>11243776</v>
      </c>
      <c r="O32" s="110">
        <f t="shared" si="3"/>
        <v>-11243776</v>
      </c>
      <c r="P32" s="111" t="str">
        <f>IF(ISBLANK(C32),"",IF(C32=J32,"前期繰越",IF(COUNTIF(O$2:O$89,-O32)=1,VLOOKUP(INDEX(科目,MATCH(-O32,O$2:O$89,0),1),科目設定,2,0),"諸口")))</f>
        <v>普通預金 ゆうちょ銀行</v>
      </c>
      <c r="Q32" s="112" t="str">
        <f>IF(ISBLANK(G32),"",VLOOKUP(G32,品番設定,2,0))</f>
        <v/>
      </c>
    </row>
    <row r="33" spans="1:17" ht="16.5" customHeight="1">
      <c r="A33" s="3">
        <v>43921</v>
      </c>
      <c r="B33" s="4"/>
      <c r="C33" s="5">
        <v>422</v>
      </c>
      <c r="D33" s="6">
        <v>11793</v>
      </c>
      <c r="E33" s="8"/>
      <c r="F33" s="192"/>
      <c r="G33" s="5"/>
      <c r="H33" s="141"/>
      <c r="I33" s="141"/>
      <c r="J33" s="106">
        <f>IF(診断,-1,IF(SUMIF(N$2:N$89,N33,貸方)=SUMIF(N$2:N$89,N33,借方),IF(COUNTIF(F33,O$1),C33,),-1))</f>
        <v>0</v>
      </c>
      <c r="K33" s="107" t="str">
        <f>IF(ISBLANK(C33),"",VLOOKUP(C33,科目設定,2,0))</f>
        <v>法定福利費</v>
      </c>
      <c r="L33" s="21">
        <f>IF(ISBLANK(C33),"",IF(VLOOKUP(C33,科目設定,9,0)="借方",SUMIF(C$2:C33,C33,借方)-SUMIF(C$2:C33,C33,貸方),""))</f>
        <v>47172</v>
      </c>
      <c r="M33" s="108" t="str">
        <f>IF(ISBLANK(C33),"",IF(VLOOKUP(C33,科目設定,9,0)="貸方",SUMIF(C$2:C33,C33,貸方)-SUMIF(C$2:C33,C33,借方),""))</f>
        <v/>
      </c>
      <c r="N33" s="109">
        <f t="shared" si="2"/>
        <v>11243776</v>
      </c>
      <c r="O33" s="110">
        <f t="shared" si="3"/>
        <v>-11243776</v>
      </c>
      <c r="P33" s="111" t="str">
        <f>IF(ISBLANK(C33),"",IF(C33=J33,"前期繰越",IF(COUNTIF(O$2:O$89,-O33)=1,VLOOKUP(INDEX(科目,MATCH(-O33,O$2:O$89,0),1),科目設定,2,0),"諸口")))</f>
        <v>普通預金 ゆうちょ銀行</v>
      </c>
      <c r="Q33" s="112" t="str">
        <f>IF(ISBLANK(G33),"",VLOOKUP(G33,品番設定,2,0))</f>
        <v/>
      </c>
    </row>
    <row r="34" spans="1:17" ht="16.5" customHeight="1">
      <c r="A34" s="3">
        <v>43941</v>
      </c>
      <c r="B34" s="4"/>
      <c r="C34" s="5">
        <v>101.1</v>
      </c>
      <c r="D34" s="8"/>
      <c r="E34" s="6">
        <v>34388</v>
      </c>
      <c r="F34" s="192"/>
      <c r="G34" s="5"/>
      <c r="H34" s="141"/>
      <c r="I34" s="141"/>
      <c r="J34" s="106">
        <f>IF(診断,-1,IF(SUMIF(N$2:N$89,N34,貸方)=SUMIF(N$2:N$89,N34,借方),IF(COUNTIF(F34,O$1),C34,),-1))</f>
        <v>0</v>
      </c>
      <c r="K34" s="107" t="str">
        <f>IF(ISBLANK(C34),"",VLOOKUP(C34,科目設定,2,0))</f>
        <v>役員からの短期借入金 1</v>
      </c>
      <c r="L34" s="21" t="str">
        <f>IF(ISBLANK(C34),"",IF(VLOOKUP(C34,科目設定,9,0)="借方",SUMIF(C$2:C34,C34,借方)-SUMIF(C$2:C34,C34,貸方),""))</f>
        <v/>
      </c>
      <c r="M34" s="108">
        <f>IF(ISBLANK(C34),"",IF(VLOOKUP(C34,科目設定,9,0)="貸方",SUMIF(C$2:C34,C34,貸方)-SUMIF(C$2:C34,C34,借方),""))</f>
        <v>1564712</v>
      </c>
      <c r="N34" s="109">
        <f t="shared" si="2"/>
        <v>11248896</v>
      </c>
      <c r="O34" s="110">
        <f t="shared" si="3"/>
        <v>11248896</v>
      </c>
      <c r="P34" s="111" t="str">
        <f>IF(ISBLANK(C34),"",IF(C34=J34,"前期繰越",IF(COUNTIF(O$2:O$89,-O34)=1,VLOOKUP(INDEX(科目,MATCH(-O34,O$2:O$89,0),1),科目設定,2,0),"諸口")))</f>
        <v>役員報酬 1</v>
      </c>
      <c r="Q34" s="112" t="str">
        <f>IF(ISBLANK(G34),"",VLOOKUP(G34,品番設定,2,0))</f>
        <v/>
      </c>
    </row>
    <row r="35" spans="1:17" ht="16.5" customHeight="1">
      <c r="A35" s="3">
        <v>43941</v>
      </c>
      <c r="B35" s="4"/>
      <c r="C35" s="5">
        <v>105.1</v>
      </c>
      <c r="D35" s="8"/>
      <c r="E35" s="6">
        <v>11512</v>
      </c>
      <c r="F35" s="192"/>
      <c r="G35" s="5"/>
      <c r="H35" s="141"/>
      <c r="I35" s="141"/>
      <c r="J35" s="106">
        <f>IF(診断,-1,IF(SUMIF(N$2:N$89,N35,貸方)=SUMIF(N$2:N$89,N35,借方),IF(COUNTIF(F35,O$1),C35,),-1))</f>
        <v>0</v>
      </c>
      <c r="K35" s="107" t="str">
        <f>IF(ISBLANK(C35),"",VLOOKUP(C35,科目設定,2,0))</f>
        <v>社保預り金 1</v>
      </c>
      <c r="L35" s="21" t="str">
        <f>IF(ISBLANK(C35),"",IF(VLOOKUP(C35,科目設定,9,0)="借方",SUMIF(C$2:C35,C35,借方)-SUMIF(C$2:C35,C35,貸方),""))</f>
        <v/>
      </c>
      <c r="M35" s="108">
        <f>IF(ISBLANK(C35),"",IF(VLOOKUP(C35,科目設定,9,0)="貸方",SUMIF(C$2:C35,C35,貸方)-SUMIF(C$2:C35,C35,借方),""))</f>
        <v>45994</v>
      </c>
      <c r="N35" s="109">
        <f t="shared" si="2"/>
        <v>11248896</v>
      </c>
      <c r="O35" s="110">
        <f t="shared" si="3"/>
        <v>11248896</v>
      </c>
      <c r="P35" s="111" t="str">
        <f>IF(ISBLANK(C35),"",IF(C35=J35,"前期繰越",IF(COUNTIF(O$2:O$89,-O35)=1,VLOOKUP(INDEX(科目,MATCH(-O35,O$2:O$89,0),1),科目設定,2,0),"諸口")))</f>
        <v>役員報酬 1</v>
      </c>
      <c r="Q35" s="112" t="str">
        <f>IF(ISBLANK(G35),"",VLOOKUP(G35,品番設定,2,0))</f>
        <v/>
      </c>
    </row>
    <row r="36" spans="1:17" ht="16.5" customHeight="1">
      <c r="A36" s="3">
        <v>43941</v>
      </c>
      <c r="B36" s="4"/>
      <c r="C36" s="5">
        <v>421.1</v>
      </c>
      <c r="D36" s="6">
        <v>45900</v>
      </c>
      <c r="E36" s="8"/>
      <c r="F36" s="192"/>
      <c r="G36" s="5"/>
      <c r="H36" s="141"/>
      <c r="I36" s="141"/>
      <c r="J36" s="106">
        <f>IF(診断,-1,IF(SUMIF(N$2:N$89,N36,貸方)=SUMIF(N$2:N$89,N36,借方),IF(COUNTIF(F36,O$1),C36,),-1))</f>
        <v>0</v>
      </c>
      <c r="K36" s="107" t="str">
        <f>IF(ISBLANK(C36),"",VLOOKUP(C36,科目設定,2,0))</f>
        <v>役員報酬 1</v>
      </c>
      <c r="L36" s="21">
        <f>IF(ISBLANK(C36),"",IF(VLOOKUP(C36,科目設定,9,0)="借方",SUMIF(C$2:C36,C36,借方)-SUMIF(C$2:C36,C36,貸方),""))</f>
        <v>183600</v>
      </c>
      <c r="M36" s="108" t="str">
        <f>IF(ISBLANK(C36),"",IF(VLOOKUP(C36,科目設定,9,0)="貸方",SUMIF(C$2:C36,C36,貸方)-SUMIF(C$2:C36,C36,借方),""))</f>
        <v/>
      </c>
      <c r="N36" s="109">
        <f t="shared" si="2"/>
        <v>11248896</v>
      </c>
      <c r="O36" s="110">
        <f t="shared" si="3"/>
        <v>-11248896</v>
      </c>
      <c r="P36" s="111" t="str">
        <f>IF(ISBLANK(C36),"",IF(C36=J36,"前期繰越",IF(COUNTIF(O$2:O$89,-O36)=1,VLOOKUP(INDEX(科目,MATCH(-O36,O$2:O$89,0),1),科目設定,2,0),"諸口")))</f>
        <v>諸口</v>
      </c>
      <c r="Q36" s="112" t="str">
        <f>IF(ISBLANK(G36),"",VLOOKUP(G36,品番設定,2,0))</f>
        <v/>
      </c>
    </row>
    <row r="37" spans="1:17" ht="16.5" customHeight="1">
      <c r="A37" s="3">
        <v>43951</v>
      </c>
      <c r="B37" s="4"/>
      <c r="C37" s="5">
        <v>1.1000000000000001</v>
      </c>
      <c r="D37" s="8"/>
      <c r="E37" s="6">
        <v>23322</v>
      </c>
      <c r="F37" s="192"/>
      <c r="G37" s="5"/>
      <c r="H37" s="141"/>
      <c r="I37" s="141"/>
      <c r="J37" s="106">
        <f>IF(診断,-1,IF(SUMIF(N$2:N$89,N37,貸方)=SUMIF(N$2:N$89,N37,借方),IF(COUNTIF(F37,O$1),C37,),-1))</f>
        <v>0</v>
      </c>
      <c r="K37" s="107" t="str">
        <f>IF(ISBLANK(C37),"",VLOOKUP(C37,科目設定,2,0))</f>
        <v>普通預金 ゆうちょ銀行</v>
      </c>
      <c r="L37" s="21">
        <f>IF(ISBLANK(C37),"",IF(VLOOKUP(C37,科目設定,9,0)="借方",SUMIF(C$2:C37,C37,借方)-SUMIF(C$2:C37,C37,貸方),""))</f>
        <v>2201530</v>
      </c>
      <c r="M37" s="108" t="str">
        <f>IF(ISBLANK(C37),"",IF(VLOOKUP(C37,科目設定,9,0)="貸方",SUMIF(C$2:C37,C37,貸方)-SUMIF(C$2:C37,C37,借方),""))</f>
        <v/>
      </c>
      <c r="N37" s="109">
        <f t="shared" si="2"/>
        <v>11251456</v>
      </c>
      <c r="O37" s="110">
        <f t="shared" si="3"/>
        <v>11251456</v>
      </c>
      <c r="P37" s="111" t="str">
        <f>IF(ISBLANK(C37),"",IF(C37=J37,"前期繰越",IF(COUNTIF(O$2:O$89,-O37)=1,VLOOKUP(INDEX(科目,MATCH(-O37,O$2:O$89,0),1),科目設定,2,0),"諸口")))</f>
        <v>諸口</v>
      </c>
      <c r="Q37" s="112" t="str">
        <f>IF(ISBLANK(G37),"",VLOOKUP(G37,品番設定,2,0))</f>
        <v/>
      </c>
    </row>
    <row r="38" spans="1:17" ht="16.5" customHeight="1">
      <c r="A38" s="3">
        <v>43951</v>
      </c>
      <c r="B38" s="4"/>
      <c r="C38" s="5">
        <v>105</v>
      </c>
      <c r="D38" s="6">
        <v>11512</v>
      </c>
      <c r="E38" s="8"/>
      <c r="F38" s="192" t="s">
        <v>14</v>
      </c>
      <c r="G38" s="5"/>
      <c r="H38" s="141"/>
      <c r="I38" s="141"/>
      <c r="J38" s="106">
        <f>IF(診断,-1,IF(SUMIF(N$2:N$89,N38,貸方)=SUMIF(N$2:N$89,N38,借方),IF(COUNTIF(F38,O$1),C38,),-1))</f>
        <v>0</v>
      </c>
      <c r="K38" s="107" t="str">
        <f>IF(ISBLANK(C38),"",VLOOKUP(C38,科目設定,2,0))</f>
        <v>預り金</v>
      </c>
      <c r="L38" s="21" t="str">
        <f>IF(ISBLANK(C38),"",IF(VLOOKUP(C38,科目設定,9,0)="借方",SUMIF(C$2:C38,C38,借方)-SUMIF(C$2:C38,C38,貸方),""))</f>
        <v/>
      </c>
      <c r="M38" s="108">
        <f>IF(ISBLANK(C38),"",IF(VLOOKUP(C38,科目設定,9,0)="貸方",SUMIF(C$2:C38,C38,貸方)-SUMIF(C$2:C38,C38,借方),""))</f>
        <v>-45994</v>
      </c>
      <c r="N38" s="109">
        <f t="shared" si="2"/>
        <v>11251456</v>
      </c>
      <c r="O38" s="110">
        <f t="shared" si="3"/>
        <v>-11251456</v>
      </c>
      <c r="P38" s="111" t="str">
        <f>IF(ISBLANK(C38),"",IF(C38=J38,"前期繰越",IF(COUNTIF(O$2:O$89,-O38)=1,VLOOKUP(INDEX(科目,MATCH(-O38,O$2:O$89,0),1),科目設定,2,0),"諸口")))</f>
        <v>普通預金 ゆうちょ銀行</v>
      </c>
      <c r="Q38" s="112" t="str">
        <f>IF(ISBLANK(G38),"",VLOOKUP(G38,品番設定,2,0))</f>
        <v/>
      </c>
    </row>
    <row r="39" spans="1:17" ht="16.5" customHeight="1">
      <c r="A39" s="3">
        <v>43951</v>
      </c>
      <c r="B39" s="4"/>
      <c r="C39" s="5">
        <v>422</v>
      </c>
      <c r="D39" s="6">
        <v>11810</v>
      </c>
      <c r="E39" s="8"/>
      <c r="F39" s="192" t="s">
        <v>14</v>
      </c>
      <c r="G39" s="5"/>
      <c r="H39" s="141"/>
      <c r="I39" s="141"/>
      <c r="J39" s="106">
        <f>IF(診断,-1,IF(SUMIF(N$2:N$89,N39,貸方)=SUMIF(N$2:N$89,N39,借方),IF(COUNTIF(F39,O$1),C39,),-1))</f>
        <v>0</v>
      </c>
      <c r="K39" s="107" t="str">
        <f>IF(ISBLANK(C39),"",VLOOKUP(C39,科目設定,2,0))</f>
        <v>法定福利費</v>
      </c>
      <c r="L39" s="21">
        <f>IF(ISBLANK(C39),"",IF(VLOOKUP(C39,科目設定,9,0)="借方",SUMIF(C$2:C39,C39,借方)-SUMIF(C$2:C39,C39,貸方),""))</f>
        <v>58982</v>
      </c>
      <c r="M39" s="108" t="str">
        <f>IF(ISBLANK(C39),"",IF(VLOOKUP(C39,科目設定,9,0)="貸方",SUMIF(C$2:C39,C39,貸方)-SUMIF(C$2:C39,C39,借方),""))</f>
        <v/>
      </c>
      <c r="N39" s="109">
        <f t="shared" si="2"/>
        <v>11251456</v>
      </c>
      <c r="O39" s="110">
        <f t="shared" si="3"/>
        <v>-11251456</v>
      </c>
      <c r="P39" s="111" t="str">
        <f>IF(ISBLANK(C39),"",IF(C39=J39,"前期繰越",IF(COUNTIF(O$2:O$89,-O39)=1,VLOOKUP(INDEX(科目,MATCH(-O39,O$2:O$89,0),1),科目設定,2,0),"諸口")))</f>
        <v>普通預金 ゆうちょ銀行</v>
      </c>
      <c r="Q39" s="112" t="str">
        <f>IF(ISBLANK(G39),"",VLOOKUP(G39,品番設定,2,0))</f>
        <v/>
      </c>
    </row>
    <row r="40" spans="1:17" ht="16.5" customHeight="1">
      <c r="A40" s="3">
        <v>43971</v>
      </c>
      <c r="B40" s="4"/>
      <c r="C40" s="5">
        <v>101.1</v>
      </c>
      <c r="D40" s="8"/>
      <c r="E40" s="6">
        <v>34388</v>
      </c>
      <c r="F40" s="192"/>
      <c r="G40" s="5"/>
      <c r="H40" s="141"/>
      <c r="I40" s="141"/>
      <c r="J40" s="106">
        <f>IF(診断,-1,IF(SUMIF(N$2:N$89,N40,貸方)=SUMIF(N$2:N$89,N40,借方),IF(COUNTIF(F40,O$1),C40,),-1))</f>
        <v>0</v>
      </c>
      <c r="K40" s="107" t="str">
        <f>IF(ISBLANK(C40),"",VLOOKUP(C40,科目設定,2,0))</f>
        <v>役員からの短期借入金 1</v>
      </c>
      <c r="L40" s="21" t="str">
        <f>IF(ISBLANK(C40),"",IF(VLOOKUP(C40,科目設定,9,0)="借方",SUMIF(C$2:C40,C40,借方)-SUMIF(C$2:C40,C40,貸方),""))</f>
        <v/>
      </c>
      <c r="M40" s="108">
        <f>IF(ISBLANK(C40),"",IF(VLOOKUP(C40,科目設定,9,0)="貸方",SUMIF(C$2:C40,C40,貸方)-SUMIF(C$2:C40,C40,借方),""))</f>
        <v>1599100</v>
      </c>
      <c r="N40" s="109">
        <f t="shared" si="2"/>
        <v>11256576</v>
      </c>
      <c r="O40" s="110">
        <f t="shared" si="3"/>
        <v>11256576</v>
      </c>
      <c r="P40" s="111" t="str">
        <f>IF(ISBLANK(C40),"",IF(C40=J40,"前期繰越",IF(COUNTIF(O$2:O$89,-O40)=1,VLOOKUP(INDEX(科目,MATCH(-O40,O$2:O$89,0),1),科目設定,2,0),"諸口")))</f>
        <v>役員報酬 1</v>
      </c>
      <c r="Q40" s="112" t="str">
        <f>IF(ISBLANK(G40),"",VLOOKUP(G40,品番設定,2,0))</f>
        <v/>
      </c>
    </row>
    <row r="41" spans="1:17" ht="16.5" customHeight="1">
      <c r="A41" s="3">
        <v>43971</v>
      </c>
      <c r="B41" s="4"/>
      <c r="C41" s="5">
        <v>105.1</v>
      </c>
      <c r="D41" s="8"/>
      <c r="E41" s="6">
        <v>11512</v>
      </c>
      <c r="F41" s="192"/>
      <c r="G41" s="5"/>
      <c r="H41" s="141"/>
      <c r="I41" s="141"/>
      <c r="J41" s="106">
        <f>IF(診断,-1,IF(SUMIF(N$2:N$89,N41,貸方)=SUMIF(N$2:N$89,N41,借方),IF(COUNTIF(F41,O$1),C41,),-1))</f>
        <v>0</v>
      </c>
      <c r="K41" s="107" t="str">
        <f>IF(ISBLANK(C41),"",VLOOKUP(C41,科目設定,2,0))</f>
        <v>社保預り金 1</v>
      </c>
      <c r="L41" s="21" t="str">
        <f>IF(ISBLANK(C41),"",IF(VLOOKUP(C41,科目設定,9,0)="借方",SUMIF(C$2:C41,C41,借方)-SUMIF(C$2:C41,C41,貸方),""))</f>
        <v/>
      </c>
      <c r="M41" s="108">
        <f>IF(ISBLANK(C41),"",IF(VLOOKUP(C41,科目設定,9,0)="貸方",SUMIF(C$2:C41,C41,貸方)-SUMIF(C$2:C41,C41,借方),""))</f>
        <v>57506</v>
      </c>
      <c r="N41" s="109">
        <f t="shared" si="2"/>
        <v>11256576</v>
      </c>
      <c r="O41" s="110">
        <f t="shared" si="3"/>
        <v>11256576</v>
      </c>
      <c r="P41" s="111" t="str">
        <f>IF(ISBLANK(C41),"",IF(C41=J41,"前期繰越",IF(COUNTIF(O$2:O$89,-O41)=1,VLOOKUP(INDEX(科目,MATCH(-O41,O$2:O$89,0),1),科目設定,2,0),"諸口")))</f>
        <v>役員報酬 1</v>
      </c>
      <c r="Q41" s="112" t="str">
        <f>IF(ISBLANK(G41),"",VLOOKUP(G41,品番設定,2,0))</f>
        <v/>
      </c>
    </row>
    <row r="42" spans="1:17" ht="16.5" customHeight="1">
      <c r="A42" s="3">
        <v>43971</v>
      </c>
      <c r="B42" s="4"/>
      <c r="C42" s="5">
        <v>421.1</v>
      </c>
      <c r="D42" s="6">
        <v>45900</v>
      </c>
      <c r="E42" s="8"/>
      <c r="F42" s="192"/>
      <c r="G42" s="5"/>
      <c r="H42" s="141"/>
      <c r="I42" s="141"/>
      <c r="J42" s="106">
        <f>IF(診断,-1,IF(SUMIF(N$2:N$89,N42,貸方)=SUMIF(N$2:N$89,N42,借方),IF(COUNTIF(F42,O$1),C42,),-1))</f>
        <v>0</v>
      </c>
      <c r="K42" s="107" t="str">
        <f>IF(ISBLANK(C42),"",VLOOKUP(C42,科目設定,2,0))</f>
        <v>役員報酬 1</v>
      </c>
      <c r="L42" s="21">
        <f>IF(ISBLANK(C42),"",IF(VLOOKUP(C42,科目設定,9,0)="借方",SUMIF(C$2:C42,C42,借方)-SUMIF(C$2:C42,C42,貸方),""))</f>
        <v>229500</v>
      </c>
      <c r="M42" s="108" t="str">
        <f>IF(ISBLANK(C42),"",IF(VLOOKUP(C42,科目設定,9,0)="貸方",SUMIF(C$2:C42,C42,貸方)-SUMIF(C$2:C42,C42,借方),""))</f>
        <v/>
      </c>
      <c r="N42" s="109">
        <f t="shared" si="2"/>
        <v>11256576</v>
      </c>
      <c r="O42" s="110">
        <f t="shared" si="3"/>
        <v>-11256576</v>
      </c>
      <c r="P42" s="111" t="str">
        <f>IF(ISBLANK(C42),"",IF(C42=J42,"前期繰越",IF(COUNTIF(O$2:O$89,-O42)=1,VLOOKUP(INDEX(科目,MATCH(-O42,O$2:O$89,0),1),科目設定,2,0),"諸口")))</f>
        <v>諸口</v>
      </c>
      <c r="Q42" s="112" t="str">
        <f>IF(ISBLANK(G42),"",VLOOKUP(G42,品番設定,2,0))</f>
        <v/>
      </c>
    </row>
    <row r="43" spans="1:17" ht="16.5" customHeight="1">
      <c r="A43" s="3">
        <v>43983</v>
      </c>
      <c r="B43" s="4"/>
      <c r="C43" s="5">
        <v>1.1000000000000001</v>
      </c>
      <c r="D43" s="8"/>
      <c r="E43" s="6">
        <v>23339</v>
      </c>
      <c r="F43" s="192"/>
      <c r="G43" s="5"/>
      <c r="H43" s="141"/>
      <c r="I43" s="141"/>
      <c r="J43" s="106">
        <f>IF(診断,-1,IF(SUMIF(N$2:N$89,N43,貸方)=SUMIF(N$2:N$89,N43,借方),IF(COUNTIF(F43,O$1),C43,),-1))</f>
        <v>0</v>
      </c>
      <c r="K43" s="107" t="str">
        <f>IF(ISBLANK(C43),"",VLOOKUP(C43,科目設定,2,0))</f>
        <v>普通預金 ゆうちょ銀行</v>
      </c>
      <c r="L43" s="21">
        <f>IF(ISBLANK(C43),"",IF(VLOOKUP(C43,科目設定,9,0)="借方",SUMIF(C$2:C43,C43,借方)-SUMIF(C$2:C43,C43,貸方),""))</f>
        <v>2178191</v>
      </c>
      <c r="M43" s="108" t="str">
        <f>IF(ISBLANK(C43),"",IF(VLOOKUP(C43,科目設定,9,0)="貸方",SUMIF(C$2:C43,C43,貸方)-SUMIF(C$2:C43,C43,借方),""))</f>
        <v/>
      </c>
      <c r="N43" s="109">
        <f t="shared" si="2"/>
        <v>11259648</v>
      </c>
      <c r="O43" s="110">
        <f t="shared" si="3"/>
        <v>11259648</v>
      </c>
      <c r="P43" s="111" t="str">
        <f>IF(ISBLANK(C43),"",IF(C43=J43,"前期繰越",IF(COUNTIF(O$2:O$89,-O43)=1,VLOOKUP(INDEX(科目,MATCH(-O43,O$2:O$89,0),1),科目設定,2,0),"諸口")))</f>
        <v>諸口</v>
      </c>
      <c r="Q43" s="112" t="str">
        <f>IF(ISBLANK(G43),"",VLOOKUP(G43,品番設定,2,0))</f>
        <v/>
      </c>
    </row>
    <row r="44" spans="1:17" ht="16.5" customHeight="1">
      <c r="A44" s="3">
        <v>43983</v>
      </c>
      <c r="B44" s="4"/>
      <c r="C44" s="5">
        <v>105</v>
      </c>
      <c r="D44" s="6">
        <v>11512</v>
      </c>
      <c r="E44" s="8"/>
      <c r="F44" s="192"/>
      <c r="G44" s="5"/>
      <c r="H44" s="141"/>
      <c r="I44" s="141"/>
      <c r="J44" s="106">
        <f>IF(診断,-1,IF(SUMIF(N$2:N$89,N44,貸方)=SUMIF(N$2:N$89,N44,借方),IF(COUNTIF(F44,O$1),C44,),-1))</f>
        <v>0</v>
      </c>
      <c r="K44" s="107" t="str">
        <f>IF(ISBLANK(C44),"",VLOOKUP(C44,科目設定,2,0))</f>
        <v>預り金</v>
      </c>
      <c r="L44" s="21" t="str">
        <f>IF(ISBLANK(C44),"",IF(VLOOKUP(C44,科目設定,9,0)="借方",SUMIF(C$2:C44,C44,借方)-SUMIF(C$2:C44,C44,貸方),""))</f>
        <v/>
      </c>
      <c r="M44" s="108">
        <f>IF(ISBLANK(C44),"",IF(VLOOKUP(C44,科目設定,9,0)="貸方",SUMIF(C$2:C44,C44,貸方)-SUMIF(C$2:C44,C44,借方),""))</f>
        <v>-57506</v>
      </c>
      <c r="N44" s="109">
        <f t="shared" si="2"/>
        <v>11259648</v>
      </c>
      <c r="O44" s="110">
        <f t="shared" si="3"/>
        <v>-11259648</v>
      </c>
      <c r="P44" s="111" t="str">
        <f>IF(ISBLANK(C44),"",IF(C44=J44,"前期繰越",IF(COUNTIF(O$2:O$89,-O44)=1,VLOOKUP(INDEX(科目,MATCH(-O44,O$2:O$89,0),1),科目設定,2,0),"諸口")))</f>
        <v>普通預金 ゆうちょ銀行</v>
      </c>
      <c r="Q44" s="112" t="str">
        <f>IF(ISBLANK(G44),"",VLOOKUP(G44,品番設定,2,0))</f>
        <v/>
      </c>
    </row>
    <row r="45" spans="1:17" ht="16.5" customHeight="1">
      <c r="A45" s="3">
        <v>43983</v>
      </c>
      <c r="B45" s="4"/>
      <c r="C45" s="5">
        <v>422</v>
      </c>
      <c r="D45" s="6">
        <v>11827</v>
      </c>
      <c r="E45" s="8"/>
      <c r="F45" s="192" t="s">
        <v>15</v>
      </c>
      <c r="G45" s="5"/>
      <c r="H45" s="141"/>
      <c r="I45" s="141"/>
      <c r="J45" s="106">
        <f>IF(診断,-1,IF(SUMIF(N$2:N$89,N45,貸方)=SUMIF(N$2:N$89,N45,借方),IF(COUNTIF(F45,O$1),C45,),-1))</f>
        <v>0</v>
      </c>
      <c r="K45" s="107" t="str">
        <f>IF(ISBLANK(C45),"",VLOOKUP(C45,科目設定,2,0))</f>
        <v>法定福利費</v>
      </c>
      <c r="L45" s="21">
        <f>IF(ISBLANK(C45),"",IF(VLOOKUP(C45,科目設定,9,0)="借方",SUMIF(C$2:C45,C45,借方)-SUMIF(C$2:C45,C45,貸方),""))</f>
        <v>70809</v>
      </c>
      <c r="M45" s="108" t="str">
        <f>IF(ISBLANK(C45),"",IF(VLOOKUP(C45,科目設定,9,0)="貸方",SUMIF(C$2:C45,C45,貸方)-SUMIF(C$2:C45,C45,借方),""))</f>
        <v/>
      </c>
      <c r="N45" s="109">
        <f t="shared" si="2"/>
        <v>11259648</v>
      </c>
      <c r="O45" s="110">
        <f t="shared" si="3"/>
        <v>-11259648</v>
      </c>
      <c r="P45" s="111" t="str">
        <f>IF(ISBLANK(C45),"",IF(C45=J45,"前期繰越",IF(COUNTIF(O$2:O$89,-O45)=1,VLOOKUP(INDEX(科目,MATCH(-O45,O$2:O$89,0),1),科目設定,2,0),"諸口")))</f>
        <v>普通預金 ゆうちょ銀行</v>
      </c>
      <c r="Q45" s="112" t="str">
        <f>IF(ISBLANK(G45),"",VLOOKUP(G45,品番設定,2,0))</f>
        <v/>
      </c>
    </row>
    <row r="46" spans="1:17" ht="16.5" customHeight="1">
      <c r="A46" s="3">
        <v>44002</v>
      </c>
      <c r="B46" s="4"/>
      <c r="C46" s="5">
        <v>101.1</v>
      </c>
      <c r="D46" s="8"/>
      <c r="E46" s="6">
        <v>34388</v>
      </c>
      <c r="F46" s="192"/>
      <c r="G46" s="5"/>
      <c r="H46" s="141"/>
      <c r="I46" s="141"/>
      <c r="J46" s="106">
        <f>IF(診断,-1,IF(SUMIF(N$2:N$89,N46,貸方)=SUMIF(N$2:N$89,N46,借方),IF(COUNTIF(F46,O$1),C46,),-1))</f>
        <v>0</v>
      </c>
      <c r="K46" s="107" t="str">
        <f>IF(ISBLANK(C46),"",VLOOKUP(C46,科目設定,2,0))</f>
        <v>役員からの短期借入金 1</v>
      </c>
      <c r="L46" s="21" t="str">
        <f>IF(ISBLANK(C46),"",IF(VLOOKUP(C46,科目設定,9,0)="借方",SUMIF(C$2:C46,C46,借方)-SUMIF(C$2:C46,C46,貸方),""))</f>
        <v/>
      </c>
      <c r="M46" s="108">
        <f>IF(ISBLANK(C46),"",IF(VLOOKUP(C46,科目設定,9,0)="貸方",SUMIF(C$2:C46,C46,貸方)-SUMIF(C$2:C46,C46,借方),""))</f>
        <v>1633488</v>
      </c>
      <c r="N46" s="109">
        <f t="shared" si="2"/>
        <v>11264512</v>
      </c>
      <c r="O46" s="110">
        <f t="shared" si="3"/>
        <v>11264512</v>
      </c>
      <c r="P46" s="111" t="str">
        <f>IF(ISBLANK(C46),"",IF(C46=J46,"前期繰越",IF(COUNTIF(O$2:O$89,-O46)=1,VLOOKUP(INDEX(科目,MATCH(-O46,O$2:O$89,0),1),科目設定,2,0),"諸口")))</f>
        <v>役員報酬 1</v>
      </c>
      <c r="Q46" s="112" t="str">
        <f>IF(ISBLANK(G46),"",VLOOKUP(G46,品番設定,2,0))</f>
        <v/>
      </c>
    </row>
    <row r="47" spans="1:17" ht="16.5" customHeight="1">
      <c r="A47" s="3">
        <v>44002</v>
      </c>
      <c r="B47" s="4"/>
      <c r="C47" s="5">
        <v>105.1</v>
      </c>
      <c r="D47" s="8"/>
      <c r="E47" s="6">
        <v>11512</v>
      </c>
      <c r="F47" s="192"/>
      <c r="G47" s="5"/>
      <c r="H47" s="141"/>
      <c r="I47" s="141"/>
      <c r="J47" s="106">
        <f>IF(診断,-1,IF(SUMIF(N$2:N$89,N47,貸方)=SUMIF(N$2:N$89,N47,借方),IF(COUNTIF(F47,O$1),C47,),-1))</f>
        <v>0</v>
      </c>
      <c r="K47" s="107" t="str">
        <f>IF(ISBLANK(C47),"",VLOOKUP(C47,科目設定,2,0))</f>
        <v>社保預り金 1</v>
      </c>
      <c r="L47" s="21" t="str">
        <f>IF(ISBLANK(C47),"",IF(VLOOKUP(C47,科目設定,9,0)="借方",SUMIF(C$2:C47,C47,借方)-SUMIF(C$2:C47,C47,貸方),""))</f>
        <v/>
      </c>
      <c r="M47" s="108">
        <f>IF(ISBLANK(C47),"",IF(VLOOKUP(C47,科目設定,9,0)="貸方",SUMIF(C$2:C47,C47,貸方)-SUMIF(C$2:C47,C47,借方),""))</f>
        <v>69018</v>
      </c>
      <c r="N47" s="109">
        <f t="shared" si="2"/>
        <v>11264512</v>
      </c>
      <c r="O47" s="110">
        <f t="shared" si="3"/>
        <v>11264512</v>
      </c>
      <c r="P47" s="111" t="str">
        <f>IF(ISBLANK(C47),"",IF(C47=J47,"前期繰越",IF(COUNTIF(O$2:O$89,-O47)=1,VLOOKUP(INDEX(科目,MATCH(-O47,O$2:O$89,0),1),科目設定,2,0),"諸口")))</f>
        <v>役員報酬 1</v>
      </c>
      <c r="Q47" s="112" t="str">
        <f>IF(ISBLANK(G47),"",VLOOKUP(G47,品番設定,2,0))</f>
        <v/>
      </c>
    </row>
    <row r="48" spans="1:17" ht="16.5" customHeight="1">
      <c r="A48" s="3">
        <v>44002</v>
      </c>
      <c r="B48" s="4"/>
      <c r="C48" s="5">
        <v>421.1</v>
      </c>
      <c r="D48" s="6">
        <v>45900</v>
      </c>
      <c r="E48" s="8"/>
      <c r="F48" s="192"/>
      <c r="G48" s="5"/>
      <c r="H48" s="141"/>
      <c r="I48" s="141"/>
      <c r="J48" s="106">
        <f>IF(診断,-1,IF(SUMIF(N$2:N$89,N48,貸方)=SUMIF(N$2:N$89,N48,借方),IF(COUNTIF(F48,O$1),C48,),-1))</f>
        <v>0</v>
      </c>
      <c r="K48" s="107" t="str">
        <f>IF(ISBLANK(C48),"",VLOOKUP(C48,科目設定,2,0))</f>
        <v>役員報酬 1</v>
      </c>
      <c r="L48" s="21">
        <f>IF(ISBLANK(C48),"",IF(VLOOKUP(C48,科目設定,9,0)="借方",SUMIF(C$2:C48,C48,借方)-SUMIF(C$2:C48,C48,貸方),""))</f>
        <v>275400</v>
      </c>
      <c r="M48" s="108" t="str">
        <f>IF(ISBLANK(C48),"",IF(VLOOKUP(C48,科目設定,9,0)="貸方",SUMIF(C$2:C48,C48,貸方)-SUMIF(C$2:C48,C48,借方),""))</f>
        <v/>
      </c>
      <c r="N48" s="109">
        <f t="shared" si="2"/>
        <v>11264512</v>
      </c>
      <c r="O48" s="110">
        <f t="shared" si="3"/>
        <v>-11264512</v>
      </c>
      <c r="P48" s="111" t="str">
        <f>IF(ISBLANK(C48),"",IF(C48=J48,"前期繰越",IF(COUNTIF(O$2:O$89,-O48)=1,VLOOKUP(INDEX(科目,MATCH(-O48,O$2:O$89,0),1),科目設定,2,0),"諸口")))</f>
        <v>諸口</v>
      </c>
      <c r="Q48" s="112" t="str">
        <f>IF(ISBLANK(G48),"",VLOOKUP(G48,品番設定,2,0))</f>
        <v/>
      </c>
    </row>
    <row r="49" spans="1:17" ht="16.5" customHeight="1">
      <c r="A49" s="3">
        <v>44012</v>
      </c>
      <c r="B49" s="4"/>
      <c r="C49" s="5">
        <v>1.1000000000000001</v>
      </c>
      <c r="D49" s="8"/>
      <c r="E49" s="6">
        <v>23339</v>
      </c>
      <c r="F49" s="192"/>
      <c r="G49" s="5"/>
      <c r="H49" s="141"/>
      <c r="I49" s="141"/>
      <c r="J49" s="106">
        <f>IF(診断,-1,IF(SUMIF(N$2:N$89,N49,貸方)=SUMIF(N$2:N$89,N49,借方),IF(COUNTIF(F49,O$1),C49,),-1))</f>
        <v>0</v>
      </c>
      <c r="K49" s="107" t="str">
        <f>IF(ISBLANK(C49),"",VLOOKUP(C49,科目設定,2,0))</f>
        <v>普通預金 ゆうちょ銀行</v>
      </c>
      <c r="L49" s="21">
        <f>IF(ISBLANK(C49),"",IF(VLOOKUP(C49,科目設定,9,0)="借方",SUMIF(C$2:C49,C49,借方)-SUMIF(C$2:C49,C49,貸方),""))</f>
        <v>2154852</v>
      </c>
      <c r="M49" s="108" t="str">
        <f>IF(ISBLANK(C49),"",IF(VLOOKUP(C49,科目設定,9,0)="貸方",SUMIF(C$2:C49,C49,貸方)-SUMIF(C$2:C49,C49,借方),""))</f>
        <v/>
      </c>
      <c r="N49" s="109">
        <f t="shared" si="2"/>
        <v>11267072</v>
      </c>
      <c r="O49" s="110">
        <f t="shared" si="3"/>
        <v>11267072</v>
      </c>
      <c r="P49" s="111" t="str">
        <f>IF(ISBLANK(C49),"",IF(C49=J49,"前期繰越",IF(COUNTIF(O$2:O$89,-O49)=1,VLOOKUP(INDEX(科目,MATCH(-O49,O$2:O$89,0),1),科目設定,2,0),"諸口")))</f>
        <v>諸口</v>
      </c>
      <c r="Q49" s="112" t="str">
        <f>IF(ISBLANK(G49),"",VLOOKUP(G49,品番設定,2,0))</f>
        <v/>
      </c>
    </row>
    <row r="50" spans="1:17" ht="16.5" customHeight="1">
      <c r="A50" s="3">
        <v>44012</v>
      </c>
      <c r="B50" s="4"/>
      <c r="C50" s="5">
        <v>105</v>
      </c>
      <c r="D50" s="6">
        <v>11512</v>
      </c>
      <c r="E50" s="8"/>
      <c r="F50" s="192"/>
      <c r="G50" s="5"/>
      <c r="H50" s="141"/>
      <c r="I50" s="141"/>
      <c r="J50" s="106">
        <f>IF(診断,-1,IF(SUMIF(N$2:N$89,N50,貸方)=SUMIF(N$2:N$89,N50,借方),IF(COUNTIF(F50,O$1),C50,),-1))</f>
        <v>0</v>
      </c>
      <c r="K50" s="107" t="str">
        <f>IF(ISBLANK(C50),"",VLOOKUP(C50,科目設定,2,0))</f>
        <v>預り金</v>
      </c>
      <c r="L50" s="21" t="str">
        <f>IF(ISBLANK(C50),"",IF(VLOOKUP(C50,科目設定,9,0)="借方",SUMIF(C$2:C50,C50,借方)-SUMIF(C$2:C50,C50,貸方),""))</f>
        <v/>
      </c>
      <c r="M50" s="108">
        <f>IF(ISBLANK(C50),"",IF(VLOOKUP(C50,科目設定,9,0)="貸方",SUMIF(C$2:C50,C50,貸方)-SUMIF(C$2:C50,C50,借方),""))</f>
        <v>-69018</v>
      </c>
      <c r="N50" s="109">
        <f t="shared" si="2"/>
        <v>11267072</v>
      </c>
      <c r="O50" s="110">
        <f t="shared" si="3"/>
        <v>-11267072</v>
      </c>
      <c r="P50" s="111" t="str">
        <f>IF(ISBLANK(C50),"",IF(C50=J50,"前期繰越",IF(COUNTIF(O$2:O$89,-O50)=1,VLOOKUP(INDEX(科目,MATCH(-O50,O$2:O$89,0),1),科目設定,2,0),"諸口")))</f>
        <v>普通預金 ゆうちょ銀行</v>
      </c>
      <c r="Q50" s="112" t="str">
        <f>IF(ISBLANK(G50),"",VLOOKUP(G50,品番設定,2,0))</f>
        <v/>
      </c>
    </row>
    <row r="51" spans="1:17" ht="16.5" customHeight="1">
      <c r="A51" s="3">
        <v>44012</v>
      </c>
      <c r="B51" s="4"/>
      <c r="C51" s="5">
        <v>422</v>
      </c>
      <c r="D51" s="6">
        <v>11827</v>
      </c>
      <c r="E51" s="8"/>
      <c r="F51" s="192"/>
      <c r="G51" s="5"/>
      <c r="H51" s="141"/>
      <c r="I51" s="141"/>
      <c r="J51" s="106">
        <f>IF(診断,-1,IF(SUMIF(N$2:N$89,N51,貸方)=SUMIF(N$2:N$89,N51,借方),IF(COUNTIF(F51,O$1),C51,),-1))</f>
        <v>0</v>
      </c>
      <c r="K51" s="107" t="str">
        <f>IF(ISBLANK(C51),"",VLOOKUP(C51,科目設定,2,0))</f>
        <v>法定福利費</v>
      </c>
      <c r="L51" s="21">
        <f>IF(ISBLANK(C51),"",IF(VLOOKUP(C51,科目設定,9,0)="借方",SUMIF(C$2:C51,C51,借方)-SUMIF(C$2:C51,C51,貸方),""))</f>
        <v>82636</v>
      </c>
      <c r="M51" s="108" t="str">
        <f>IF(ISBLANK(C51),"",IF(VLOOKUP(C51,科目設定,9,0)="貸方",SUMIF(C$2:C51,C51,貸方)-SUMIF(C$2:C51,C51,借方),""))</f>
        <v/>
      </c>
      <c r="N51" s="109">
        <f t="shared" si="2"/>
        <v>11267072</v>
      </c>
      <c r="O51" s="110">
        <f t="shared" si="3"/>
        <v>-11267072</v>
      </c>
      <c r="P51" s="111" t="str">
        <f>IF(ISBLANK(C51),"",IF(C51=J51,"前期繰越",IF(COUNTIF(O$2:O$89,-O51)=1,VLOOKUP(INDEX(科目,MATCH(-O51,O$2:O$89,0),1),科目設定,2,0),"諸口")))</f>
        <v>普通預金 ゆうちょ銀行</v>
      </c>
      <c r="Q51" s="112" t="str">
        <f>IF(ISBLANK(G51),"",VLOOKUP(G51,品番設定,2,0))</f>
        <v/>
      </c>
    </row>
    <row r="52" spans="1:17" ht="16.5" customHeight="1">
      <c r="A52" s="3">
        <v>44032</v>
      </c>
      <c r="B52" s="4"/>
      <c r="C52" s="5">
        <v>101.1</v>
      </c>
      <c r="D52" s="8"/>
      <c r="E52" s="6">
        <v>34388</v>
      </c>
      <c r="F52" s="192"/>
      <c r="G52" s="5"/>
      <c r="H52" s="141"/>
      <c r="I52" s="141"/>
      <c r="J52" s="106">
        <f>IF(診断,-1,IF(SUMIF(N$2:N$89,N52,貸方)=SUMIF(N$2:N$89,N52,借方),IF(COUNTIF(F52,O$1),C52,),-1))</f>
        <v>0</v>
      </c>
      <c r="K52" s="107" t="str">
        <f>IF(ISBLANK(C52),"",VLOOKUP(C52,科目設定,2,0))</f>
        <v>役員からの短期借入金 1</v>
      </c>
      <c r="L52" s="21" t="str">
        <f>IF(ISBLANK(C52),"",IF(VLOOKUP(C52,科目設定,9,0)="借方",SUMIF(C$2:C52,C52,借方)-SUMIF(C$2:C52,C52,貸方),""))</f>
        <v/>
      </c>
      <c r="M52" s="108">
        <f>IF(ISBLANK(C52),"",IF(VLOOKUP(C52,科目設定,9,0)="貸方",SUMIF(C$2:C52,C52,貸方)-SUMIF(C$2:C52,C52,借方),""))</f>
        <v>1667876</v>
      </c>
      <c r="N52" s="109">
        <f t="shared" si="2"/>
        <v>11272192</v>
      </c>
      <c r="O52" s="110">
        <f t="shared" si="3"/>
        <v>11272192</v>
      </c>
      <c r="P52" s="111" t="str">
        <f>IF(ISBLANK(C52),"",IF(C52=J52,"前期繰越",IF(COUNTIF(O$2:O$89,-O52)=1,VLOOKUP(INDEX(科目,MATCH(-O52,O$2:O$89,0),1),科目設定,2,0),"諸口")))</f>
        <v>役員報酬 1</v>
      </c>
      <c r="Q52" s="112" t="str">
        <f>IF(ISBLANK(G52),"",VLOOKUP(G52,品番設定,2,0))</f>
        <v/>
      </c>
    </row>
    <row r="53" spans="1:17" ht="16.5" customHeight="1">
      <c r="A53" s="3">
        <v>44032</v>
      </c>
      <c r="B53" s="4"/>
      <c r="C53" s="5">
        <v>105.1</v>
      </c>
      <c r="D53" s="8"/>
      <c r="E53" s="6">
        <v>11512</v>
      </c>
      <c r="F53" s="192"/>
      <c r="G53" s="5"/>
      <c r="H53" s="141"/>
      <c r="I53" s="141"/>
      <c r="J53" s="106">
        <f>IF(診断,-1,IF(SUMIF(N$2:N$89,N53,貸方)=SUMIF(N$2:N$89,N53,借方),IF(COUNTIF(F53,O$1),C53,),-1))</f>
        <v>0</v>
      </c>
      <c r="K53" s="107" t="str">
        <f>IF(ISBLANK(C53),"",VLOOKUP(C53,科目設定,2,0))</f>
        <v>社保預り金 1</v>
      </c>
      <c r="L53" s="21" t="str">
        <f>IF(ISBLANK(C53),"",IF(VLOOKUP(C53,科目設定,9,0)="借方",SUMIF(C$2:C53,C53,借方)-SUMIF(C$2:C53,C53,貸方),""))</f>
        <v/>
      </c>
      <c r="M53" s="108">
        <f>IF(ISBLANK(C53),"",IF(VLOOKUP(C53,科目設定,9,0)="貸方",SUMIF(C$2:C53,C53,貸方)-SUMIF(C$2:C53,C53,借方),""))</f>
        <v>80530</v>
      </c>
      <c r="N53" s="109">
        <f t="shared" si="2"/>
        <v>11272192</v>
      </c>
      <c r="O53" s="110">
        <f t="shared" si="3"/>
        <v>11272192</v>
      </c>
      <c r="P53" s="111" t="str">
        <f>IF(ISBLANK(C53),"",IF(C53=J53,"前期繰越",IF(COUNTIF(O$2:O$89,-O53)=1,VLOOKUP(INDEX(科目,MATCH(-O53,O$2:O$89,0),1),科目設定,2,0),"諸口")))</f>
        <v>役員報酬 1</v>
      </c>
      <c r="Q53" s="112" t="str">
        <f>IF(ISBLANK(G53),"",VLOOKUP(G53,品番設定,2,0))</f>
        <v/>
      </c>
    </row>
    <row r="54" spans="1:17" ht="16.5" customHeight="1">
      <c r="A54" s="3">
        <v>44032</v>
      </c>
      <c r="B54" s="4"/>
      <c r="C54" s="5">
        <v>421.1</v>
      </c>
      <c r="D54" s="6">
        <v>45900</v>
      </c>
      <c r="E54" s="8"/>
      <c r="F54" s="192"/>
      <c r="G54" s="5"/>
      <c r="H54" s="141"/>
      <c r="I54" s="141"/>
      <c r="J54" s="106">
        <f>IF(診断,-1,IF(SUMIF(N$2:N$89,N54,貸方)=SUMIF(N$2:N$89,N54,借方),IF(COUNTIF(F54,O$1),C54,),-1))</f>
        <v>0</v>
      </c>
      <c r="K54" s="107" t="str">
        <f>IF(ISBLANK(C54),"",VLOOKUP(C54,科目設定,2,0))</f>
        <v>役員報酬 1</v>
      </c>
      <c r="L54" s="21">
        <f>IF(ISBLANK(C54),"",IF(VLOOKUP(C54,科目設定,9,0)="借方",SUMIF(C$2:C54,C54,借方)-SUMIF(C$2:C54,C54,貸方),""))</f>
        <v>321300</v>
      </c>
      <c r="M54" s="108" t="str">
        <f>IF(ISBLANK(C54),"",IF(VLOOKUP(C54,科目設定,9,0)="貸方",SUMIF(C$2:C54,C54,貸方)-SUMIF(C$2:C54,C54,借方),""))</f>
        <v/>
      </c>
      <c r="N54" s="109">
        <f t="shared" si="2"/>
        <v>11272192</v>
      </c>
      <c r="O54" s="110">
        <f t="shared" si="3"/>
        <v>-11272192</v>
      </c>
      <c r="P54" s="111" t="str">
        <f>IF(ISBLANK(C54),"",IF(C54=J54,"前期繰越",IF(COUNTIF(O$2:O$89,-O54)=1,VLOOKUP(INDEX(科目,MATCH(-O54,O$2:O$89,0),1),科目設定,2,0),"諸口")))</f>
        <v>諸口</v>
      </c>
      <c r="Q54" s="112" t="str">
        <f>IF(ISBLANK(G54),"",VLOOKUP(G54,品番設定,2,0))</f>
        <v/>
      </c>
    </row>
    <row r="55" spans="1:17" ht="16.5" customHeight="1">
      <c r="A55" s="3">
        <v>44043</v>
      </c>
      <c r="B55" s="4"/>
      <c r="C55" s="5">
        <v>1.1000000000000001</v>
      </c>
      <c r="D55" s="8"/>
      <c r="E55" s="6">
        <v>23339</v>
      </c>
      <c r="F55" s="192"/>
      <c r="G55" s="5"/>
      <c r="H55" s="141"/>
      <c r="I55" s="141"/>
      <c r="J55" s="106">
        <f>IF(診断,-1,IF(SUMIF(N$2:N$89,N55,貸方)=SUMIF(N$2:N$89,N55,借方),IF(COUNTIF(F55,O$1),C55,),-1))</f>
        <v>0</v>
      </c>
      <c r="K55" s="107" t="str">
        <f>IF(ISBLANK(C55),"",VLOOKUP(C55,科目設定,2,0))</f>
        <v>普通預金 ゆうちょ銀行</v>
      </c>
      <c r="L55" s="21">
        <f>IF(ISBLANK(C55),"",IF(VLOOKUP(C55,科目設定,9,0)="借方",SUMIF(C$2:C55,C55,借方)-SUMIF(C$2:C55,C55,貸方),""))</f>
        <v>2131513</v>
      </c>
      <c r="M55" s="108" t="str">
        <f>IF(ISBLANK(C55),"",IF(VLOOKUP(C55,科目設定,9,0)="貸方",SUMIF(C$2:C55,C55,貸方)-SUMIF(C$2:C55,C55,借方),""))</f>
        <v/>
      </c>
      <c r="N55" s="109">
        <f t="shared" si="2"/>
        <v>11275008</v>
      </c>
      <c r="O55" s="110">
        <f t="shared" si="3"/>
        <v>11275008</v>
      </c>
      <c r="P55" s="111" t="str">
        <f>IF(ISBLANK(C55),"",IF(C55=J55,"前期繰越",IF(COUNTIF(O$2:O$89,-O55)=1,VLOOKUP(INDEX(科目,MATCH(-O55,O$2:O$89,0),1),科目設定,2,0),"諸口")))</f>
        <v>諸口</v>
      </c>
      <c r="Q55" s="112" t="str">
        <f>IF(ISBLANK(G55),"",VLOOKUP(G55,品番設定,2,0))</f>
        <v/>
      </c>
    </row>
    <row r="56" spans="1:17" ht="16.5" customHeight="1">
      <c r="A56" s="3">
        <v>44043</v>
      </c>
      <c r="B56" s="4"/>
      <c r="C56" s="5">
        <v>105</v>
      </c>
      <c r="D56" s="6">
        <v>11512</v>
      </c>
      <c r="E56" s="8"/>
      <c r="F56" s="192"/>
      <c r="G56" s="5"/>
      <c r="H56" s="141"/>
      <c r="I56" s="141"/>
      <c r="J56" s="106">
        <f>IF(診断,-1,IF(SUMIF(N$2:N$89,N56,貸方)=SUMIF(N$2:N$89,N56,借方),IF(COUNTIF(F56,O$1),C56,),-1))</f>
        <v>0</v>
      </c>
      <c r="K56" s="107" t="str">
        <f>IF(ISBLANK(C56),"",VLOOKUP(C56,科目設定,2,0))</f>
        <v>預り金</v>
      </c>
      <c r="L56" s="21" t="str">
        <f>IF(ISBLANK(C56),"",IF(VLOOKUP(C56,科目設定,9,0)="借方",SUMIF(C$2:C56,C56,借方)-SUMIF(C$2:C56,C56,貸方),""))</f>
        <v/>
      </c>
      <c r="M56" s="108">
        <f>IF(ISBLANK(C56),"",IF(VLOOKUP(C56,科目設定,9,0)="貸方",SUMIF(C$2:C56,C56,貸方)-SUMIF(C$2:C56,C56,借方),""))</f>
        <v>-80530</v>
      </c>
      <c r="N56" s="109">
        <f t="shared" si="2"/>
        <v>11275008</v>
      </c>
      <c r="O56" s="110">
        <f t="shared" si="3"/>
        <v>-11275008</v>
      </c>
      <c r="P56" s="111" t="str">
        <f>IF(ISBLANK(C56),"",IF(C56=J56,"前期繰越",IF(COUNTIF(O$2:O$89,-O56)=1,VLOOKUP(INDEX(科目,MATCH(-O56,O$2:O$89,0),1),科目設定,2,0),"諸口")))</f>
        <v>普通預金 ゆうちょ銀行</v>
      </c>
      <c r="Q56" s="112" t="str">
        <f>IF(ISBLANK(G56),"",VLOOKUP(G56,品番設定,2,0))</f>
        <v/>
      </c>
    </row>
    <row r="57" spans="1:17" ht="16.5" customHeight="1">
      <c r="A57" s="3">
        <v>44043</v>
      </c>
      <c r="B57" s="4"/>
      <c r="C57" s="5">
        <v>422</v>
      </c>
      <c r="D57" s="6">
        <v>11827</v>
      </c>
      <c r="E57" s="8"/>
      <c r="F57" s="192"/>
      <c r="G57" s="5"/>
      <c r="H57" s="141"/>
      <c r="I57" s="141"/>
      <c r="J57" s="106">
        <f>IF(診断,-1,IF(SUMIF(N$2:N$89,N57,貸方)=SUMIF(N$2:N$89,N57,借方),IF(COUNTIF(F57,O$1),C57,),-1))</f>
        <v>0</v>
      </c>
      <c r="K57" s="107" t="str">
        <f>IF(ISBLANK(C57),"",VLOOKUP(C57,科目設定,2,0))</f>
        <v>法定福利費</v>
      </c>
      <c r="L57" s="21">
        <f>IF(ISBLANK(C57),"",IF(VLOOKUP(C57,科目設定,9,0)="借方",SUMIF(C$2:C57,C57,借方)-SUMIF(C$2:C57,C57,貸方),""))</f>
        <v>94463</v>
      </c>
      <c r="M57" s="108" t="str">
        <f>IF(ISBLANK(C57),"",IF(VLOOKUP(C57,科目設定,9,0)="貸方",SUMIF(C$2:C57,C57,貸方)-SUMIF(C$2:C57,C57,借方),""))</f>
        <v/>
      </c>
      <c r="N57" s="109">
        <f t="shared" si="2"/>
        <v>11275008</v>
      </c>
      <c r="O57" s="110">
        <f t="shared" si="3"/>
        <v>-11275008</v>
      </c>
      <c r="P57" s="111" t="str">
        <f>IF(ISBLANK(C57),"",IF(C57=J57,"前期繰越",IF(COUNTIF(O$2:O$89,-O57)=1,VLOOKUP(INDEX(科目,MATCH(-O57,O$2:O$89,0),1),科目設定,2,0),"諸口")))</f>
        <v>普通預金 ゆうちょ銀行</v>
      </c>
      <c r="Q57" s="112" t="str">
        <f>IF(ISBLANK(G57),"",VLOOKUP(G57,品番設定,2,0))</f>
        <v/>
      </c>
    </row>
    <row r="58" spans="1:17" ht="16.5" customHeight="1">
      <c r="A58" s="3">
        <v>44063</v>
      </c>
      <c r="B58" s="4"/>
      <c r="C58" s="5">
        <v>101.1</v>
      </c>
      <c r="D58" s="8"/>
      <c r="E58" s="6">
        <v>34388</v>
      </c>
      <c r="F58" s="192"/>
      <c r="G58" s="5"/>
      <c r="H58" s="141"/>
      <c r="I58" s="141"/>
      <c r="J58" s="106">
        <f>IF(診断,-1,IF(SUMIF(N$2:N$89,N58,貸方)=SUMIF(N$2:N$89,N58,借方),IF(COUNTIF(F58,O$1),C58,),-1))</f>
        <v>0</v>
      </c>
      <c r="K58" s="107" t="str">
        <f>IF(ISBLANK(C58),"",VLOOKUP(C58,科目設定,2,0))</f>
        <v>役員からの短期借入金 1</v>
      </c>
      <c r="L58" s="21" t="str">
        <f>IF(ISBLANK(C58),"",IF(VLOOKUP(C58,科目設定,9,0)="借方",SUMIF(C$2:C58,C58,借方)-SUMIF(C$2:C58,C58,貸方),""))</f>
        <v/>
      </c>
      <c r="M58" s="108">
        <f>IF(ISBLANK(C58),"",IF(VLOOKUP(C58,科目設定,9,0)="貸方",SUMIF(C$2:C58,C58,貸方)-SUMIF(C$2:C58,C58,借方),""))</f>
        <v>1702264</v>
      </c>
      <c r="N58" s="109">
        <f t="shared" si="2"/>
        <v>11280128</v>
      </c>
      <c r="O58" s="110">
        <f t="shared" si="3"/>
        <v>11280128</v>
      </c>
      <c r="P58" s="111" t="str">
        <f>IF(ISBLANK(C58),"",IF(C58=J58,"前期繰越",IF(COUNTIF(O$2:O$89,-O58)=1,VLOOKUP(INDEX(科目,MATCH(-O58,O$2:O$89,0),1),科目設定,2,0),"諸口")))</f>
        <v>役員報酬 1</v>
      </c>
      <c r="Q58" s="112" t="str">
        <f>IF(ISBLANK(G58),"",VLOOKUP(G58,品番設定,2,0))</f>
        <v/>
      </c>
    </row>
    <row r="59" spans="1:17" ht="16.5" customHeight="1">
      <c r="A59" s="3">
        <v>44063</v>
      </c>
      <c r="B59" s="4"/>
      <c r="C59" s="5">
        <v>105.1</v>
      </c>
      <c r="D59" s="8"/>
      <c r="E59" s="6">
        <v>11512</v>
      </c>
      <c r="F59" s="192"/>
      <c r="G59" s="5"/>
      <c r="H59" s="141"/>
      <c r="I59" s="141"/>
      <c r="J59" s="106">
        <f>IF(診断,-1,IF(SUMIF(N$2:N$89,N59,貸方)=SUMIF(N$2:N$89,N59,借方),IF(COUNTIF(F59,O$1),C59,),-1))</f>
        <v>0</v>
      </c>
      <c r="K59" s="107" t="str">
        <f>IF(ISBLANK(C59),"",VLOOKUP(C59,科目設定,2,0))</f>
        <v>社保預り金 1</v>
      </c>
      <c r="L59" s="21" t="str">
        <f>IF(ISBLANK(C59),"",IF(VLOOKUP(C59,科目設定,9,0)="借方",SUMIF(C$2:C59,C59,借方)-SUMIF(C$2:C59,C59,貸方),""))</f>
        <v/>
      </c>
      <c r="M59" s="108">
        <f>IF(ISBLANK(C59),"",IF(VLOOKUP(C59,科目設定,9,0)="貸方",SUMIF(C$2:C59,C59,貸方)-SUMIF(C$2:C59,C59,借方),""))</f>
        <v>92042</v>
      </c>
      <c r="N59" s="109">
        <f t="shared" si="2"/>
        <v>11280128</v>
      </c>
      <c r="O59" s="110">
        <f t="shared" si="3"/>
        <v>11280128</v>
      </c>
      <c r="P59" s="111" t="str">
        <f>IF(ISBLANK(C59),"",IF(C59=J59,"前期繰越",IF(COUNTIF(O$2:O$89,-O59)=1,VLOOKUP(INDEX(科目,MATCH(-O59,O$2:O$89,0),1),科目設定,2,0),"諸口")))</f>
        <v>役員報酬 1</v>
      </c>
      <c r="Q59" s="112" t="str">
        <f>IF(ISBLANK(G59),"",VLOOKUP(G59,品番設定,2,0))</f>
        <v/>
      </c>
    </row>
    <row r="60" spans="1:17" ht="16.5" customHeight="1">
      <c r="A60" s="3">
        <v>44063</v>
      </c>
      <c r="B60" s="4"/>
      <c r="C60" s="5">
        <v>421.1</v>
      </c>
      <c r="D60" s="6">
        <v>45900</v>
      </c>
      <c r="E60" s="8"/>
      <c r="F60" s="192"/>
      <c r="G60" s="5"/>
      <c r="H60" s="141"/>
      <c r="I60" s="141"/>
      <c r="J60" s="106">
        <f>IF(診断,-1,IF(SUMIF(N$2:N$89,N60,貸方)=SUMIF(N$2:N$89,N60,借方),IF(COUNTIF(F60,O$1),C60,),-1))</f>
        <v>0</v>
      </c>
      <c r="K60" s="107" t="str">
        <f>IF(ISBLANK(C60),"",VLOOKUP(C60,科目設定,2,0))</f>
        <v>役員報酬 1</v>
      </c>
      <c r="L60" s="21">
        <f>IF(ISBLANK(C60),"",IF(VLOOKUP(C60,科目設定,9,0)="借方",SUMIF(C$2:C60,C60,借方)-SUMIF(C$2:C60,C60,貸方),""))</f>
        <v>367200</v>
      </c>
      <c r="M60" s="108" t="str">
        <f>IF(ISBLANK(C60),"",IF(VLOOKUP(C60,科目設定,9,0)="貸方",SUMIF(C$2:C60,C60,貸方)-SUMIF(C$2:C60,C60,借方),""))</f>
        <v/>
      </c>
      <c r="N60" s="109">
        <f t="shared" si="2"/>
        <v>11280128</v>
      </c>
      <c r="O60" s="110">
        <f t="shared" si="3"/>
        <v>-11280128</v>
      </c>
      <c r="P60" s="111" t="str">
        <f>IF(ISBLANK(C60),"",IF(C60=J60,"前期繰越",IF(COUNTIF(O$2:O$89,-O60)=1,VLOOKUP(INDEX(科目,MATCH(-O60,O$2:O$89,0),1),科目設定,2,0),"諸口")))</f>
        <v>諸口</v>
      </c>
      <c r="Q60" s="112" t="str">
        <f>IF(ISBLANK(G60),"",VLOOKUP(G60,品番設定,2,0))</f>
        <v/>
      </c>
    </row>
    <row r="61" spans="1:17" ht="16.5" customHeight="1">
      <c r="A61" s="3">
        <v>44074</v>
      </c>
      <c r="B61" s="4"/>
      <c r="C61" s="5">
        <v>1.1000000000000001</v>
      </c>
      <c r="D61" s="8"/>
      <c r="E61" s="6">
        <v>23339</v>
      </c>
      <c r="F61" s="192"/>
      <c r="G61" s="5"/>
      <c r="H61" s="141"/>
      <c r="I61" s="141"/>
      <c r="J61" s="106">
        <f>IF(診断,-1,IF(SUMIF(N$2:N$89,N61,貸方)=SUMIF(N$2:N$89,N61,借方),IF(COUNTIF(F61,O$1),C61,),-1))</f>
        <v>0</v>
      </c>
      <c r="K61" s="107" t="str">
        <f>IF(ISBLANK(C61),"",VLOOKUP(C61,科目設定,2,0))</f>
        <v>普通預金 ゆうちょ銀行</v>
      </c>
      <c r="L61" s="21">
        <f>IF(ISBLANK(C61),"",IF(VLOOKUP(C61,科目設定,9,0)="借方",SUMIF(C$2:C61,C61,借方)-SUMIF(C$2:C61,C61,貸方),""))</f>
        <v>2108174</v>
      </c>
      <c r="M61" s="108" t="str">
        <f>IF(ISBLANK(C61),"",IF(VLOOKUP(C61,科目設定,9,0)="貸方",SUMIF(C$2:C61,C61,貸方)-SUMIF(C$2:C61,C61,借方),""))</f>
        <v/>
      </c>
      <c r="N61" s="109">
        <f t="shared" si="2"/>
        <v>11282944</v>
      </c>
      <c r="O61" s="110">
        <f t="shared" si="3"/>
        <v>11282944</v>
      </c>
      <c r="P61" s="111" t="str">
        <f>IF(ISBLANK(C61),"",IF(C61=J61,"前期繰越",IF(COUNTIF(O$2:O$89,-O61)=1,VLOOKUP(INDEX(科目,MATCH(-O61,O$2:O$89,0),1),科目設定,2,0),"諸口")))</f>
        <v>諸口</v>
      </c>
      <c r="Q61" s="112" t="str">
        <f>IF(ISBLANK(G61),"",VLOOKUP(G61,品番設定,2,0))</f>
        <v/>
      </c>
    </row>
    <row r="62" spans="1:17" ht="16.5" customHeight="1">
      <c r="A62" s="3">
        <v>44074</v>
      </c>
      <c r="B62" s="4"/>
      <c r="C62" s="5">
        <v>105</v>
      </c>
      <c r="D62" s="6">
        <v>11512</v>
      </c>
      <c r="E62" s="8"/>
      <c r="F62" s="192"/>
      <c r="G62" s="5"/>
      <c r="H62" s="141"/>
      <c r="I62" s="141"/>
      <c r="J62" s="106">
        <f>IF(診断,-1,IF(SUMIF(N$2:N$89,N62,貸方)=SUMIF(N$2:N$89,N62,借方),IF(COUNTIF(F62,O$1),C62,),-1))</f>
        <v>0</v>
      </c>
      <c r="K62" s="107" t="str">
        <f>IF(ISBLANK(C62),"",VLOOKUP(C62,科目設定,2,0))</f>
        <v>預り金</v>
      </c>
      <c r="L62" s="21" t="str">
        <f>IF(ISBLANK(C62),"",IF(VLOOKUP(C62,科目設定,9,0)="借方",SUMIF(C$2:C62,C62,借方)-SUMIF(C$2:C62,C62,貸方),""))</f>
        <v/>
      </c>
      <c r="M62" s="108">
        <f>IF(ISBLANK(C62),"",IF(VLOOKUP(C62,科目設定,9,0)="貸方",SUMIF(C$2:C62,C62,貸方)-SUMIF(C$2:C62,C62,借方),""))</f>
        <v>-92042</v>
      </c>
      <c r="N62" s="109">
        <f t="shared" si="2"/>
        <v>11282944</v>
      </c>
      <c r="O62" s="110">
        <f t="shared" si="3"/>
        <v>-11282944</v>
      </c>
      <c r="P62" s="111" t="str">
        <f>IF(ISBLANK(C62),"",IF(C62=J62,"前期繰越",IF(COUNTIF(O$2:O$89,-O62)=1,VLOOKUP(INDEX(科目,MATCH(-O62,O$2:O$89,0),1),科目設定,2,0),"諸口")))</f>
        <v>普通預金 ゆうちょ銀行</v>
      </c>
      <c r="Q62" s="112" t="str">
        <f>IF(ISBLANK(G62),"",VLOOKUP(G62,品番設定,2,0))</f>
        <v/>
      </c>
    </row>
    <row r="63" spans="1:17" ht="16.5" customHeight="1">
      <c r="A63" s="3">
        <v>44074</v>
      </c>
      <c r="B63" s="4"/>
      <c r="C63" s="5">
        <v>422</v>
      </c>
      <c r="D63" s="6">
        <v>11827</v>
      </c>
      <c r="E63" s="8"/>
      <c r="F63" s="192"/>
      <c r="G63" s="5"/>
      <c r="H63" s="141"/>
      <c r="I63" s="141"/>
      <c r="J63" s="106">
        <f>IF(診断,-1,IF(SUMIF(N$2:N$89,N63,貸方)=SUMIF(N$2:N$89,N63,借方),IF(COUNTIF(F63,O$1),C63,),-1))</f>
        <v>0</v>
      </c>
      <c r="K63" s="107" t="str">
        <f>IF(ISBLANK(C63),"",VLOOKUP(C63,科目設定,2,0))</f>
        <v>法定福利費</v>
      </c>
      <c r="L63" s="21">
        <f>IF(ISBLANK(C63),"",IF(VLOOKUP(C63,科目設定,9,0)="借方",SUMIF(C$2:C63,C63,借方)-SUMIF(C$2:C63,C63,貸方),""))</f>
        <v>106290</v>
      </c>
      <c r="M63" s="108" t="str">
        <f>IF(ISBLANK(C63),"",IF(VLOOKUP(C63,科目設定,9,0)="貸方",SUMIF(C$2:C63,C63,貸方)-SUMIF(C$2:C63,C63,借方),""))</f>
        <v/>
      </c>
      <c r="N63" s="109">
        <f t="shared" si="2"/>
        <v>11282944</v>
      </c>
      <c r="O63" s="110">
        <f t="shared" si="3"/>
        <v>-11282944</v>
      </c>
      <c r="P63" s="111" t="str">
        <f>IF(ISBLANK(C63),"",IF(C63=J63,"前期繰越",IF(COUNTIF(O$2:O$89,-O63)=1,VLOOKUP(INDEX(科目,MATCH(-O63,O$2:O$89,0),1),科目設定,2,0),"諸口")))</f>
        <v>普通預金 ゆうちょ銀行</v>
      </c>
      <c r="Q63" s="112" t="str">
        <f>IF(ISBLANK(G63),"",VLOOKUP(G63,品番設定,2,0))</f>
        <v/>
      </c>
    </row>
    <row r="64" spans="1:17" ht="16.5" customHeight="1">
      <c r="A64" s="3">
        <v>44094</v>
      </c>
      <c r="B64" s="4"/>
      <c r="C64" s="5">
        <v>101.1</v>
      </c>
      <c r="D64" s="8"/>
      <c r="E64" s="6">
        <v>34388</v>
      </c>
      <c r="F64" s="192"/>
      <c r="G64" s="5"/>
      <c r="H64" s="141"/>
      <c r="I64" s="141"/>
      <c r="J64" s="106">
        <f>IF(診断,-1,IF(SUMIF(N$2:N$89,N64,貸方)=SUMIF(N$2:N$89,N64,借方),IF(COUNTIF(F64,O$1),C64,),-1))</f>
        <v>0</v>
      </c>
      <c r="K64" s="107" t="str">
        <f>IF(ISBLANK(C64),"",VLOOKUP(C64,科目設定,2,0))</f>
        <v>役員からの短期借入金 1</v>
      </c>
      <c r="L64" s="21" t="str">
        <f>IF(ISBLANK(C64),"",IF(VLOOKUP(C64,科目設定,9,0)="借方",SUMIF(C$2:C64,C64,借方)-SUMIF(C$2:C64,C64,貸方),""))</f>
        <v/>
      </c>
      <c r="M64" s="108">
        <f>IF(ISBLANK(C64),"",IF(VLOOKUP(C64,科目設定,9,0)="貸方",SUMIF(C$2:C64,C64,貸方)-SUMIF(C$2:C64,C64,借方),""))</f>
        <v>1736652</v>
      </c>
      <c r="N64" s="109">
        <f t="shared" si="2"/>
        <v>11288064</v>
      </c>
      <c r="O64" s="110">
        <f t="shared" si="3"/>
        <v>11288064</v>
      </c>
      <c r="P64" s="111" t="str">
        <f>IF(ISBLANK(C64),"",IF(C64=J64,"前期繰越",IF(COUNTIF(O$2:O$89,-O64)=1,VLOOKUP(INDEX(科目,MATCH(-O64,O$2:O$89,0),1),科目設定,2,0),"諸口")))</f>
        <v>役員報酬 1</v>
      </c>
      <c r="Q64" s="112" t="str">
        <f>IF(ISBLANK(G64),"",VLOOKUP(G64,品番設定,2,0))</f>
        <v/>
      </c>
    </row>
    <row r="65" spans="1:17" ht="16.5" customHeight="1">
      <c r="A65" s="3">
        <v>44094</v>
      </c>
      <c r="B65" s="4"/>
      <c r="C65" s="5">
        <v>105.1</v>
      </c>
      <c r="D65" s="8"/>
      <c r="E65" s="6">
        <v>11512</v>
      </c>
      <c r="F65" s="192"/>
      <c r="G65" s="5"/>
      <c r="H65" s="141"/>
      <c r="I65" s="141"/>
      <c r="J65" s="106">
        <f>IF(診断,-1,IF(SUMIF(N$2:N$89,N65,貸方)=SUMIF(N$2:N$89,N65,借方),IF(COUNTIF(F65,O$1),C65,),-1))</f>
        <v>0</v>
      </c>
      <c r="K65" s="107" t="str">
        <f>IF(ISBLANK(C65),"",VLOOKUP(C65,科目設定,2,0))</f>
        <v>社保預り金 1</v>
      </c>
      <c r="L65" s="21" t="str">
        <f>IF(ISBLANK(C65),"",IF(VLOOKUP(C65,科目設定,9,0)="借方",SUMIF(C$2:C65,C65,借方)-SUMIF(C$2:C65,C65,貸方),""))</f>
        <v/>
      </c>
      <c r="M65" s="108">
        <f>IF(ISBLANK(C65),"",IF(VLOOKUP(C65,科目設定,9,0)="貸方",SUMIF(C$2:C65,C65,貸方)-SUMIF(C$2:C65,C65,借方),""))</f>
        <v>103554</v>
      </c>
      <c r="N65" s="109">
        <f t="shared" si="2"/>
        <v>11288064</v>
      </c>
      <c r="O65" s="110">
        <f t="shared" si="3"/>
        <v>11288064</v>
      </c>
      <c r="P65" s="111" t="str">
        <f>IF(ISBLANK(C65),"",IF(C65=J65,"前期繰越",IF(COUNTIF(O$2:O$89,-O65)=1,VLOOKUP(INDEX(科目,MATCH(-O65,O$2:O$89,0),1),科目設定,2,0),"諸口")))</f>
        <v>役員報酬 1</v>
      </c>
      <c r="Q65" s="112" t="str">
        <f>IF(ISBLANK(G65),"",VLOOKUP(G65,品番設定,2,0))</f>
        <v/>
      </c>
    </row>
    <row r="66" spans="1:17" ht="16.5" customHeight="1">
      <c r="A66" s="3">
        <v>44094</v>
      </c>
      <c r="B66" s="4"/>
      <c r="C66" s="5">
        <v>421.1</v>
      </c>
      <c r="D66" s="6">
        <v>45900</v>
      </c>
      <c r="E66" s="8"/>
      <c r="F66" s="192"/>
      <c r="G66" s="5"/>
      <c r="H66" s="141"/>
      <c r="I66" s="141"/>
      <c r="J66" s="106">
        <f>IF(診断,-1,IF(SUMIF(N$2:N$89,N66,貸方)=SUMIF(N$2:N$89,N66,借方),IF(COUNTIF(F66,O$1),C66,),-1))</f>
        <v>0</v>
      </c>
      <c r="K66" s="107" t="str">
        <f>IF(ISBLANK(C66),"",VLOOKUP(C66,科目設定,2,0))</f>
        <v>役員報酬 1</v>
      </c>
      <c r="L66" s="21">
        <f>IF(ISBLANK(C66),"",IF(VLOOKUP(C66,科目設定,9,0)="借方",SUMIF(C$2:C66,C66,借方)-SUMIF(C$2:C66,C66,貸方),""))</f>
        <v>413100</v>
      </c>
      <c r="M66" s="108" t="str">
        <f>IF(ISBLANK(C66),"",IF(VLOOKUP(C66,科目設定,9,0)="貸方",SUMIF(C$2:C66,C66,貸方)-SUMIF(C$2:C66,C66,借方),""))</f>
        <v/>
      </c>
      <c r="N66" s="109">
        <f t="shared" si="2"/>
        <v>11288064</v>
      </c>
      <c r="O66" s="110">
        <f t="shared" si="3"/>
        <v>-11288064</v>
      </c>
      <c r="P66" s="111" t="str">
        <f>IF(ISBLANK(C66),"",IF(C66=J66,"前期繰越",IF(COUNTIF(O$2:O$89,-O66)=1,VLOOKUP(INDEX(科目,MATCH(-O66,O$2:O$89,0),1),科目設定,2,0),"諸口")))</f>
        <v>諸口</v>
      </c>
      <c r="Q66" s="112" t="str">
        <f>IF(ISBLANK(G66),"",VLOOKUP(G66,品番設定,2,0))</f>
        <v/>
      </c>
    </row>
    <row r="67" spans="1:17" ht="16.5" customHeight="1">
      <c r="A67" s="3">
        <v>44104</v>
      </c>
      <c r="B67" s="4"/>
      <c r="C67" s="5">
        <v>1.1000000000000001</v>
      </c>
      <c r="D67" s="8"/>
      <c r="E67" s="6">
        <v>23339</v>
      </c>
      <c r="F67" s="192"/>
      <c r="G67" s="5"/>
      <c r="H67" s="141"/>
      <c r="I67" s="141"/>
      <c r="J67" s="106">
        <f>IF(診断,-1,IF(SUMIF(N$2:N$89,N67,貸方)=SUMIF(N$2:N$89,N67,借方),IF(COUNTIF(F67,O$1),C67,),-1))</f>
        <v>0</v>
      </c>
      <c r="K67" s="107" t="str">
        <f>IF(ISBLANK(C67),"",VLOOKUP(C67,科目設定,2,0))</f>
        <v>普通預金 ゆうちょ銀行</v>
      </c>
      <c r="L67" s="21">
        <f>IF(ISBLANK(C67),"",IF(VLOOKUP(C67,科目設定,9,0)="借方",SUMIF(C$2:C67,C67,借方)-SUMIF(C$2:C67,C67,貸方),""))</f>
        <v>2084835</v>
      </c>
      <c r="M67" s="108" t="str">
        <f>IF(ISBLANK(C67),"",IF(VLOOKUP(C67,科目設定,9,0)="貸方",SUMIF(C$2:C67,C67,貸方)-SUMIF(C$2:C67,C67,借方),""))</f>
        <v/>
      </c>
      <c r="N67" s="109">
        <f t="shared" si="2"/>
        <v>11290624</v>
      </c>
      <c r="O67" s="110">
        <f t="shared" si="3"/>
        <v>11290624</v>
      </c>
      <c r="P67" s="111" t="str">
        <f>IF(ISBLANK(C67),"",IF(C67=J67,"前期繰越",IF(COUNTIF(O$2:O$89,-O67)=1,VLOOKUP(INDEX(科目,MATCH(-O67,O$2:O$89,0),1),科目設定,2,0),"諸口")))</f>
        <v>諸口</v>
      </c>
      <c r="Q67" s="112" t="str">
        <f>IF(ISBLANK(G67),"",VLOOKUP(G67,品番設定,2,0))</f>
        <v/>
      </c>
    </row>
    <row r="68" spans="1:17" ht="16.5" customHeight="1">
      <c r="A68" s="3">
        <v>44104</v>
      </c>
      <c r="B68" s="4"/>
      <c r="C68" s="5">
        <v>105</v>
      </c>
      <c r="D68" s="6">
        <v>11512</v>
      </c>
      <c r="E68" s="8"/>
      <c r="F68" s="192"/>
      <c r="G68" s="5"/>
      <c r="H68" s="141"/>
      <c r="I68" s="141"/>
      <c r="J68" s="106">
        <f>IF(診断,-1,IF(SUMIF(N$2:N$89,N68,貸方)=SUMIF(N$2:N$89,N68,借方),IF(COUNTIF(F68,O$1),C68,),-1))</f>
        <v>0</v>
      </c>
      <c r="K68" s="107" t="str">
        <f>IF(ISBLANK(C68),"",VLOOKUP(C68,科目設定,2,0))</f>
        <v>預り金</v>
      </c>
      <c r="L68" s="21" t="str">
        <f>IF(ISBLANK(C68),"",IF(VLOOKUP(C68,科目設定,9,0)="借方",SUMIF(C$2:C68,C68,借方)-SUMIF(C$2:C68,C68,貸方),""))</f>
        <v/>
      </c>
      <c r="M68" s="108">
        <f>IF(ISBLANK(C68),"",IF(VLOOKUP(C68,科目設定,9,0)="貸方",SUMIF(C$2:C68,C68,貸方)-SUMIF(C$2:C68,C68,借方),""))</f>
        <v>-103554</v>
      </c>
      <c r="N68" s="109">
        <f t="shared" ref="N68:N88" si="4">256*INT(A68)+B68</f>
        <v>11290624</v>
      </c>
      <c r="O68" s="110">
        <f t="shared" ref="O68:O88" si="5">IF(ISBLANK(D68),N68,-N68)</f>
        <v>-11290624</v>
      </c>
      <c r="P68" s="111" t="str">
        <f>IF(ISBLANK(C68),"",IF(C68=J68,"前期繰越",IF(COUNTIF(O$2:O$89,-O68)=1,VLOOKUP(INDEX(科目,MATCH(-O68,O$2:O$89,0),1),科目設定,2,0),"諸口")))</f>
        <v>普通預金 ゆうちょ銀行</v>
      </c>
      <c r="Q68" s="112" t="str">
        <f>IF(ISBLANK(G68),"",VLOOKUP(G68,品番設定,2,0))</f>
        <v/>
      </c>
    </row>
    <row r="69" spans="1:17" ht="16.5" customHeight="1">
      <c r="A69" s="3">
        <v>44104</v>
      </c>
      <c r="B69" s="4"/>
      <c r="C69" s="5">
        <v>422</v>
      </c>
      <c r="D69" s="6">
        <v>11827</v>
      </c>
      <c r="E69" s="8"/>
      <c r="F69" s="192"/>
      <c r="G69" s="5"/>
      <c r="H69" s="141"/>
      <c r="I69" s="141"/>
      <c r="J69" s="106">
        <f>IF(診断,-1,IF(SUMIF(N$2:N$89,N69,貸方)=SUMIF(N$2:N$89,N69,借方),IF(COUNTIF(F69,O$1),C69,),-1))</f>
        <v>0</v>
      </c>
      <c r="K69" s="107" t="str">
        <f>IF(ISBLANK(C69),"",VLOOKUP(C69,科目設定,2,0))</f>
        <v>法定福利費</v>
      </c>
      <c r="L69" s="21">
        <f>IF(ISBLANK(C69),"",IF(VLOOKUP(C69,科目設定,9,0)="借方",SUMIF(C$2:C69,C69,借方)-SUMIF(C$2:C69,C69,貸方),""))</f>
        <v>118117</v>
      </c>
      <c r="M69" s="108" t="str">
        <f>IF(ISBLANK(C69),"",IF(VLOOKUP(C69,科目設定,9,0)="貸方",SUMIF(C$2:C69,C69,貸方)-SUMIF(C$2:C69,C69,借方),""))</f>
        <v/>
      </c>
      <c r="N69" s="109">
        <f t="shared" si="4"/>
        <v>11290624</v>
      </c>
      <c r="O69" s="110">
        <f t="shared" si="5"/>
        <v>-11290624</v>
      </c>
      <c r="P69" s="111" t="str">
        <f>IF(ISBLANK(C69),"",IF(C69=J69,"前期繰越",IF(COUNTIF(O$2:O$89,-O69)=1,VLOOKUP(INDEX(科目,MATCH(-O69,O$2:O$89,0),1),科目設定,2,0),"諸口")))</f>
        <v>普通預金 ゆうちょ銀行</v>
      </c>
      <c r="Q69" s="112" t="str">
        <f>IF(ISBLANK(G69),"",VLOOKUP(G69,品番設定,2,0))</f>
        <v/>
      </c>
    </row>
    <row r="70" spans="1:17" ht="16.5" customHeight="1">
      <c r="A70" s="3">
        <v>44124</v>
      </c>
      <c r="B70" s="4"/>
      <c r="C70" s="5">
        <v>101.1</v>
      </c>
      <c r="D70" s="8"/>
      <c r="E70" s="6">
        <v>34388</v>
      </c>
      <c r="F70" s="192"/>
      <c r="G70" s="5"/>
      <c r="H70" s="141"/>
      <c r="I70" s="141"/>
      <c r="J70" s="106">
        <f>IF(診断,-1,IF(SUMIF(N$2:N$89,N70,貸方)=SUMIF(N$2:N$89,N70,借方),IF(COUNTIF(F70,O$1),C70,),-1))</f>
        <v>0</v>
      </c>
      <c r="K70" s="107" t="str">
        <f>IF(ISBLANK(C70),"",VLOOKUP(C70,科目設定,2,0))</f>
        <v>役員からの短期借入金 1</v>
      </c>
      <c r="L70" s="21" t="str">
        <f>IF(ISBLANK(C70),"",IF(VLOOKUP(C70,科目設定,9,0)="借方",SUMIF(C$2:C70,C70,借方)-SUMIF(C$2:C70,C70,貸方),""))</f>
        <v/>
      </c>
      <c r="M70" s="108">
        <f>IF(ISBLANK(C70),"",IF(VLOOKUP(C70,科目設定,9,0)="貸方",SUMIF(C$2:C70,C70,貸方)-SUMIF(C$2:C70,C70,借方),""))</f>
        <v>1771040</v>
      </c>
      <c r="N70" s="109">
        <f t="shared" si="4"/>
        <v>11295744</v>
      </c>
      <c r="O70" s="110">
        <f t="shared" si="5"/>
        <v>11295744</v>
      </c>
      <c r="P70" s="111" t="str">
        <f>IF(ISBLANK(C70),"",IF(C70=J70,"前期繰越",IF(COUNTIF(O$2:O$89,-O70)=1,VLOOKUP(INDEX(科目,MATCH(-O70,O$2:O$89,0),1),科目設定,2,0),"諸口")))</f>
        <v>役員報酬 1</v>
      </c>
      <c r="Q70" s="112" t="str">
        <f>IF(ISBLANK(G70),"",VLOOKUP(G70,品番設定,2,0))</f>
        <v/>
      </c>
    </row>
    <row r="71" spans="1:17" ht="16.5" customHeight="1">
      <c r="A71" s="3">
        <v>44124</v>
      </c>
      <c r="B71" s="4"/>
      <c r="C71" s="5">
        <v>105.1</v>
      </c>
      <c r="D71" s="8"/>
      <c r="E71" s="6">
        <v>11512</v>
      </c>
      <c r="F71" s="192"/>
      <c r="G71" s="5"/>
      <c r="H71" s="141"/>
      <c r="I71" s="141"/>
      <c r="J71" s="106">
        <f>IF(診断,-1,IF(SUMIF(N$2:N$89,N71,貸方)=SUMIF(N$2:N$89,N71,借方),IF(COUNTIF(F71,O$1),C71,),-1))</f>
        <v>0</v>
      </c>
      <c r="K71" s="107" t="str">
        <f>IF(ISBLANK(C71),"",VLOOKUP(C71,科目設定,2,0))</f>
        <v>社保預り金 1</v>
      </c>
      <c r="L71" s="21" t="str">
        <f>IF(ISBLANK(C71),"",IF(VLOOKUP(C71,科目設定,9,0)="借方",SUMIF(C$2:C71,C71,借方)-SUMIF(C$2:C71,C71,貸方),""))</f>
        <v/>
      </c>
      <c r="M71" s="108">
        <f>IF(ISBLANK(C71),"",IF(VLOOKUP(C71,科目設定,9,0)="貸方",SUMIF(C$2:C71,C71,貸方)-SUMIF(C$2:C71,C71,借方),""))</f>
        <v>115066</v>
      </c>
      <c r="N71" s="109">
        <f t="shared" si="4"/>
        <v>11295744</v>
      </c>
      <c r="O71" s="110">
        <f t="shared" si="5"/>
        <v>11295744</v>
      </c>
      <c r="P71" s="111" t="str">
        <f>IF(ISBLANK(C71),"",IF(C71=J71,"前期繰越",IF(COUNTIF(O$2:O$89,-O71)=1,VLOOKUP(INDEX(科目,MATCH(-O71,O$2:O$89,0),1),科目設定,2,0),"諸口")))</f>
        <v>役員報酬 1</v>
      </c>
      <c r="Q71" s="112" t="str">
        <f>IF(ISBLANK(G71),"",VLOOKUP(G71,品番設定,2,0))</f>
        <v/>
      </c>
    </row>
    <row r="72" spans="1:17" ht="16.5" customHeight="1">
      <c r="A72" s="3">
        <v>44124</v>
      </c>
      <c r="B72" s="4"/>
      <c r="C72" s="5">
        <v>421.1</v>
      </c>
      <c r="D72" s="6">
        <v>45900</v>
      </c>
      <c r="E72" s="8"/>
      <c r="F72" s="192"/>
      <c r="G72" s="5"/>
      <c r="H72" s="141"/>
      <c r="I72" s="141"/>
      <c r="J72" s="106">
        <f>IF(診断,-1,IF(SUMIF(N$2:N$89,N72,貸方)=SUMIF(N$2:N$89,N72,借方),IF(COUNTIF(F72,O$1),C72,),-1))</f>
        <v>0</v>
      </c>
      <c r="K72" s="107" t="str">
        <f>IF(ISBLANK(C72),"",VLOOKUP(C72,科目設定,2,0))</f>
        <v>役員報酬 1</v>
      </c>
      <c r="L72" s="21">
        <f>IF(ISBLANK(C72),"",IF(VLOOKUP(C72,科目設定,9,0)="借方",SUMIF(C$2:C72,C72,借方)-SUMIF(C$2:C72,C72,貸方),""))</f>
        <v>459000</v>
      </c>
      <c r="M72" s="108" t="str">
        <f>IF(ISBLANK(C72),"",IF(VLOOKUP(C72,科目設定,9,0)="貸方",SUMIF(C$2:C72,C72,貸方)-SUMIF(C$2:C72,C72,借方),""))</f>
        <v/>
      </c>
      <c r="N72" s="109">
        <f t="shared" si="4"/>
        <v>11295744</v>
      </c>
      <c r="O72" s="110">
        <f t="shared" si="5"/>
        <v>-11295744</v>
      </c>
      <c r="P72" s="111" t="str">
        <f>IF(ISBLANK(C72),"",IF(C72=J72,"前期繰越",IF(COUNTIF(O$2:O$89,-O72)=1,VLOOKUP(INDEX(科目,MATCH(-O72,O$2:O$89,0),1),科目設定,2,0),"諸口")))</f>
        <v>諸口</v>
      </c>
      <c r="Q72" s="112" t="str">
        <f>IF(ISBLANK(G72),"",VLOOKUP(G72,品番設定,2,0))</f>
        <v/>
      </c>
    </row>
    <row r="73" spans="1:17" ht="16.5" customHeight="1">
      <c r="A73" s="3">
        <v>44137</v>
      </c>
      <c r="B73" s="4"/>
      <c r="C73" s="5">
        <v>1.1000000000000001</v>
      </c>
      <c r="D73" s="8"/>
      <c r="E73" s="6">
        <v>23339</v>
      </c>
      <c r="F73" s="192"/>
      <c r="G73" s="5"/>
      <c r="H73" s="141"/>
      <c r="I73" s="141"/>
      <c r="J73" s="106">
        <f>IF(診断,-1,IF(SUMIF(N$2:N$89,N73,貸方)=SUMIF(N$2:N$89,N73,借方),IF(COUNTIF(F73,O$1),C73,),-1))</f>
        <v>0</v>
      </c>
      <c r="K73" s="107" t="str">
        <f>IF(ISBLANK(C73),"",VLOOKUP(C73,科目設定,2,0))</f>
        <v>普通預金 ゆうちょ銀行</v>
      </c>
      <c r="L73" s="21">
        <f>IF(ISBLANK(C73),"",IF(VLOOKUP(C73,科目設定,9,0)="借方",SUMIF(C$2:C73,C73,借方)-SUMIF(C$2:C73,C73,貸方),""))</f>
        <v>2061496</v>
      </c>
      <c r="M73" s="108" t="str">
        <f>IF(ISBLANK(C73),"",IF(VLOOKUP(C73,科目設定,9,0)="貸方",SUMIF(C$2:C73,C73,貸方)-SUMIF(C$2:C73,C73,借方),""))</f>
        <v/>
      </c>
      <c r="N73" s="109">
        <f t="shared" si="4"/>
        <v>11299072</v>
      </c>
      <c r="O73" s="110">
        <f t="shared" si="5"/>
        <v>11299072</v>
      </c>
      <c r="P73" s="111" t="str">
        <f>IF(ISBLANK(C73),"",IF(C73=J73,"前期繰越",IF(COUNTIF(O$2:O$89,-O73)=1,VLOOKUP(INDEX(科目,MATCH(-O73,O$2:O$89,0),1),科目設定,2,0),"諸口")))</f>
        <v>諸口</v>
      </c>
      <c r="Q73" s="112" t="str">
        <f>IF(ISBLANK(G73),"",VLOOKUP(G73,品番設定,2,0))</f>
        <v/>
      </c>
    </row>
    <row r="74" spans="1:17" ht="16.5" customHeight="1">
      <c r="A74" s="3">
        <v>44137</v>
      </c>
      <c r="B74" s="4"/>
      <c r="C74" s="5">
        <v>105</v>
      </c>
      <c r="D74" s="6">
        <v>11512</v>
      </c>
      <c r="E74" s="8"/>
      <c r="F74" s="192"/>
      <c r="G74" s="5"/>
      <c r="H74" s="141"/>
      <c r="I74" s="141"/>
      <c r="J74" s="106">
        <f>IF(診断,-1,IF(SUMIF(N$2:N$89,N74,貸方)=SUMIF(N$2:N$89,N74,借方),IF(COUNTIF(F74,O$1),C74,),-1))</f>
        <v>0</v>
      </c>
      <c r="K74" s="107" t="str">
        <f>IF(ISBLANK(C74),"",VLOOKUP(C74,科目設定,2,0))</f>
        <v>預り金</v>
      </c>
      <c r="L74" s="21" t="str">
        <f>IF(ISBLANK(C74),"",IF(VLOOKUP(C74,科目設定,9,0)="借方",SUMIF(C$2:C74,C74,借方)-SUMIF(C$2:C74,C74,貸方),""))</f>
        <v/>
      </c>
      <c r="M74" s="108">
        <f>IF(ISBLANK(C74),"",IF(VLOOKUP(C74,科目設定,9,0)="貸方",SUMIF(C$2:C74,C74,貸方)-SUMIF(C$2:C74,C74,借方),""))</f>
        <v>-115066</v>
      </c>
      <c r="N74" s="109">
        <f t="shared" si="4"/>
        <v>11299072</v>
      </c>
      <c r="O74" s="110">
        <f t="shared" si="5"/>
        <v>-11299072</v>
      </c>
      <c r="P74" s="111" t="str">
        <f>IF(ISBLANK(C74),"",IF(C74=J74,"前期繰越",IF(COUNTIF(O$2:O$89,-O74)=1,VLOOKUP(INDEX(科目,MATCH(-O74,O$2:O$89,0),1),科目設定,2,0),"諸口")))</f>
        <v>普通預金 ゆうちょ銀行</v>
      </c>
      <c r="Q74" s="112" t="str">
        <f>IF(ISBLANK(G74),"",VLOOKUP(G74,品番設定,2,0))</f>
        <v/>
      </c>
    </row>
    <row r="75" spans="1:17" ht="16.5" customHeight="1">
      <c r="A75" s="3">
        <v>44137</v>
      </c>
      <c r="B75" s="4"/>
      <c r="C75" s="5">
        <v>422</v>
      </c>
      <c r="D75" s="6">
        <v>11827</v>
      </c>
      <c r="E75" s="8"/>
      <c r="F75" s="192"/>
      <c r="G75" s="5"/>
      <c r="H75" s="141"/>
      <c r="I75" s="141"/>
      <c r="J75" s="106">
        <f>IF(診断,-1,IF(SUMIF(N$2:N$89,N75,貸方)=SUMIF(N$2:N$89,N75,借方),IF(COUNTIF(F75,O$1),C75,),-1))</f>
        <v>0</v>
      </c>
      <c r="K75" s="107" t="str">
        <f>IF(ISBLANK(C75),"",VLOOKUP(C75,科目設定,2,0))</f>
        <v>法定福利費</v>
      </c>
      <c r="L75" s="21">
        <f>IF(ISBLANK(C75),"",IF(VLOOKUP(C75,科目設定,9,0)="借方",SUMIF(C$2:C75,C75,借方)-SUMIF(C$2:C75,C75,貸方),""))</f>
        <v>129944</v>
      </c>
      <c r="M75" s="108" t="str">
        <f>IF(ISBLANK(C75),"",IF(VLOOKUP(C75,科目設定,9,0)="貸方",SUMIF(C$2:C75,C75,貸方)-SUMIF(C$2:C75,C75,借方),""))</f>
        <v/>
      </c>
      <c r="N75" s="109">
        <f t="shared" si="4"/>
        <v>11299072</v>
      </c>
      <c r="O75" s="110">
        <f t="shared" si="5"/>
        <v>-11299072</v>
      </c>
      <c r="P75" s="111" t="str">
        <f>IF(ISBLANK(C75),"",IF(C75=J75,"前期繰越",IF(COUNTIF(O$2:O$89,-O75)=1,VLOOKUP(INDEX(科目,MATCH(-O75,O$2:O$89,0),1),科目設定,2,0),"諸口")))</f>
        <v>普通預金 ゆうちょ銀行</v>
      </c>
      <c r="Q75" s="112" t="str">
        <f>IF(ISBLANK(G75),"",VLOOKUP(G75,品番設定,2,0))</f>
        <v/>
      </c>
    </row>
    <row r="76" spans="1:17" ht="16.5" customHeight="1">
      <c r="A76" s="3">
        <v>44155</v>
      </c>
      <c r="B76" s="4"/>
      <c r="C76" s="5">
        <v>101.1</v>
      </c>
      <c r="D76" s="8"/>
      <c r="E76" s="6">
        <v>34388</v>
      </c>
      <c r="F76" s="192"/>
      <c r="G76" s="5"/>
      <c r="H76" s="141"/>
      <c r="I76" s="141"/>
      <c r="J76" s="106">
        <f>IF(診断,-1,IF(SUMIF(N$2:N$89,N76,貸方)=SUMIF(N$2:N$89,N76,借方),IF(COUNTIF(F76,O$1),C76,),-1))</f>
        <v>0</v>
      </c>
      <c r="K76" s="107" t="str">
        <f>IF(ISBLANK(C76),"",VLOOKUP(C76,科目設定,2,0))</f>
        <v>役員からの短期借入金 1</v>
      </c>
      <c r="L76" s="21" t="str">
        <f>IF(ISBLANK(C76),"",IF(VLOOKUP(C76,科目設定,9,0)="借方",SUMIF(C$2:C76,C76,借方)-SUMIF(C$2:C76,C76,貸方),""))</f>
        <v/>
      </c>
      <c r="M76" s="108">
        <f>IF(ISBLANK(C76),"",IF(VLOOKUP(C76,科目設定,9,0)="貸方",SUMIF(C$2:C76,C76,貸方)-SUMIF(C$2:C76,C76,借方),""))</f>
        <v>1805428</v>
      </c>
      <c r="N76" s="109">
        <f t="shared" si="4"/>
        <v>11303680</v>
      </c>
      <c r="O76" s="110">
        <f t="shared" si="5"/>
        <v>11303680</v>
      </c>
      <c r="P76" s="111" t="str">
        <f>IF(ISBLANK(C76),"",IF(C76=J76,"前期繰越",IF(COUNTIF(O$2:O$89,-O76)=1,VLOOKUP(INDEX(科目,MATCH(-O76,O$2:O$89,0),1),科目設定,2,0),"諸口")))</f>
        <v>役員報酬 1</v>
      </c>
      <c r="Q76" s="112" t="str">
        <f>IF(ISBLANK(G76),"",VLOOKUP(G76,品番設定,2,0))</f>
        <v/>
      </c>
    </row>
    <row r="77" spans="1:17" ht="16.5" customHeight="1">
      <c r="A77" s="3">
        <v>44155</v>
      </c>
      <c r="B77" s="4"/>
      <c r="C77" s="5">
        <v>105.1</v>
      </c>
      <c r="D77" s="8"/>
      <c r="E77" s="6">
        <v>11512</v>
      </c>
      <c r="F77" s="192"/>
      <c r="G77" s="5"/>
      <c r="H77" s="141"/>
      <c r="I77" s="141"/>
      <c r="J77" s="106">
        <f>IF(診断,-1,IF(SUMIF(N$2:N$89,N77,貸方)=SUMIF(N$2:N$89,N77,借方),IF(COUNTIF(F77,O$1),C77,),-1))</f>
        <v>0</v>
      </c>
      <c r="K77" s="107" t="str">
        <f>IF(ISBLANK(C77),"",VLOOKUP(C77,科目設定,2,0))</f>
        <v>社保預り金 1</v>
      </c>
      <c r="L77" s="21" t="str">
        <f>IF(ISBLANK(C77),"",IF(VLOOKUP(C77,科目設定,9,0)="借方",SUMIF(C$2:C77,C77,借方)-SUMIF(C$2:C77,C77,貸方),""))</f>
        <v/>
      </c>
      <c r="M77" s="108">
        <f>IF(ISBLANK(C77),"",IF(VLOOKUP(C77,科目設定,9,0)="貸方",SUMIF(C$2:C77,C77,貸方)-SUMIF(C$2:C77,C77,借方),""))</f>
        <v>126578</v>
      </c>
      <c r="N77" s="109">
        <f t="shared" si="4"/>
        <v>11303680</v>
      </c>
      <c r="O77" s="110">
        <f t="shared" si="5"/>
        <v>11303680</v>
      </c>
      <c r="P77" s="111" t="str">
        <f>IF(ISBLANK(C77),"",IF(C77=J77,"前期繰越",IF(COUNTIF(O$2:O$89,-O77)=1,VLOOKUP(INDEX(科目,MATCH(-O77,O$2:O$89,0),1),科目設定,2,0),"諸口")))</f>
        <v>役員報酬 1</v>
      </c>
      <c r="Q77" s="112" t="str">
        <f>IF(ISBLANK(G77),"",VLOOKUP(G77,品番設定,2,0))</f>
        <v/>
      </c>
    </row>
    <row r="78" spans="1:17" ht="16.5" customHeight="1">
      <c r="A78" s="3">
        <v>44155</v>
      </c>
      <c r="B78" s="4"/>
      <c r="C78" s="5">
        <v>421.1</v>
      </c>
      <c r="D78" s="6">
        <v>45900</v>
      </c>
      <c r="E78" s="8"/>
      <c r="F78" s="192"/>
      <c r="G78" s="5"/>
      <c r="H78" s="141"/>
      <c r="I78" s="141"/>
      <c r="J78" s="106">
        <f>IF(診断,-1,IF(SUMIF(N$2:N$89,N78,貸方)=SUMIF(N$2:N$89,N78,借方),IF(COUNTIF(F78,O$1),C78,),-1))</f>
        <v>0</v>
      </c>
      <c r="K78" s="107" t="str">
        <f>IF(ISBLANK(C78),"",VLOOKUP(C78,科目設定,2,0))</f>
        <v>役員報酬 1</v>
      </c>
      <c r="L78" s="21">
        <f>IF(ISBLANK(C78),"",IF(VLOOKUP(C78,科目設定,9,0)="借方",SUMIF(C$2:C78,C78,借方)-SUMIF(C$2:C78,C78,貸方),""))</f>
        <v>504900</v>
      </c>
      <c r="M78" s="108" t="str">
        <f>IF(ISBLANK(C78),"",IF(VLOOKUP(C78,科目設定,9,0)="貸方",SUMIF(C$2:C78,C78,貸方)-SUMIF(C$2:C78,C78,借方),""))</f>
        <v/>
      </c>
      <c r="N78" s="109">
        <f t="shared" si="4"/>
        <v>11303680</v>
      </c>
      <c r="O78" s="110">
        <f t="shared" si="5"/>
        <v>-11303680</v>
      </c>
      <c r="P78" s="111" t="str">
        <f>IF(ISBLANK(C78),"",IF(C78=J78,"前期繰越",IF(COUNTIF(O$2:O$89,-O78)=1,VLOOKUP(INDEX(科目,MATCH(-O78,O$2:O$89,0),1),科目設定,2,0),"諸口")))</f>
        <v>諸口</v>
      </c>
      <c r="Q78" s="112" t="str">
        <f>IF(ISBLANK(G78),"",VLOOKUP(G78,品番設定,2,0))</f>
        <v/>
      </c>
    </row>
    <row r="79" spans="1:17" ht="16.5" customHeight="1">
      <c r="A79" s="3">
        <v>44165</v>
      </c>
      <c r="B79" s="4"/>
      <c r="C79" s="5">
        <v>1.1000000000000001</v>
      </c>
      <c r="D79" s="8"/>
      <c r="E79" s="6">
        <v>23339</v>
      </c>
      <c r="F79" s="192"/>
      <c r="G79" s="5"/>
      <c r="H79" s="141"/>
      <c r="I79" s="141"/>
      <c r="J79" s="106">
        <f>IF(診断,-1,IF(SUMIF(N$2:N$89,N79,貸方)=SUMIF(N$2:N$89,N79,借方),IF(COUNTIF(F79,O$1),C79,),-1))</f>
        <v>0</v>
      </c>
      <c r="K79" s="107" t="str">
        <f>IF(ISBLANK(C79),"",VLOOKUP(C79,科目設定,2,0))</f>
        <v>普通預金 ゆうちょ銀行</v>
      </c>
      <c r="L79" s="21">
        <f>IF(ISBLANK(C79),"",IF(VLOOKUP(C79,科目設定,9,0)="借方",SUMIF(C$2:C79,C79,借方)-SUMIF(C$2:C79,C79,貸方),""))</f>
        <v>2038157</v>
      </c>
      <c r="M79" s="108" t="str">
        <f>IF(ISBLANK(C79),"",IF(VLOOKUP(C79,科目設定,9,0)="貸方",SUMIF(C$2:C79,C79,貸方)-SUMIF(C$2:C79,C79,借方),""))</f>
        <v/>
      </c>
      <c r="N79" s="109">
        <f t="shared" si="4"/>
        <v>11306240</v>
      </c>
      <c r="O79" s="110">
        <f t="shared" si="5"/>
        <v>11306240</v>
      </c>
      <c r="P79" s="111" t="str">
        <f>IF(ISBLANK(C79),"",IF(C79=J79,"前期繰越",IF(COUNTIF(O$2:O$89,-O79)=1,VLOOKUP(INDEX(科目,MATCH(-O79,O$2:O$89,0),1),科目設定,2,0),"諸口")))</f>
        <v>諸口</v>
      </c>
      <c r="Q79" s="112" t="str">
        <f>IF(ISBLANK(G79),"",VLOOKUP(G79,品番設定,2,0))</f>
        <v/>
      </c>
    </row>
    <row r="80" spans="1:17" ht="16.5" customHeight="1">
      <c r="A80" s="3">
        <v>44165</v>
      </c>
      <c r="B80" s="4"/>
      <c r="C80" s="5">
        <v>105</v>
      </c>
      <c r="D80" s="6">
        <v>11512</v>
      </c>
      <c r="E80" s="8"/>
      <c r="F80" s="192"/>
      <c r="G80" s="5"/>
      <c r="H80" s="141"/>
      <c r="I80" s="141"/>
      <c r="J80" s="106">
        <f>IF(診断,-1,IF(SUMIF(N$2:N$89,N80,貸方)=SUMIF(N$2:N$89,N80,借方),IF(COUNTIF(F80,O$1),C80,),-1))</f>
        <v>0</v>
      </c>
      <c r="K80" s="107" t="str">
        <f>IF(ISBLANK(C80),"",VLOOKUP(C80,科目設定,2,0))</f>
        <v>預り金</v>
      </c>
      <c r="L80" s="21" t="str">
        <f>IF(ISBLANK(C80),"",IF(VLOOKUP(C80,科目設定,9,0)="借方",SUMIF(C$2:C80,C80,借方)-SUMIF(C$2:C80,C80,貸方),""))</f>
        <v/>
      </c>
      <c r="M80" s="108">
        <f>IF(ISBLANK(C80),"",IF(VLOOKUP(C80,科目設定,9,0)="貸方",SUMIF(C$2:C80,C80,貸方)-SUMIF(C$2:C80,C80,借方),""))</f>
        <v>-126578</v>
      </c>
      <c r="N80" s="109">
        <f t="shared" si="4"/>
        <v>11306240</v>
      </c>
      <c r="O80" s="110">
        <f t="shared" si="5"/>
        <v>-11306240</v>
      </c>
      <c r="P80" s="111" t="str">
        <f>IF(ISBLANK(C80),"",IF(C80=J80,"前期繰越",IF(COUNTIF(O$2:O$89,-O80)=1,VLOOKUP(INDEX(科目,MATCH(-O80,O$2:O$89,0),1),科目設定,2,0),"諸口")))</f>
        <v>普通預金 ゆうちょ銀行</v>
      </c>
      <c r="Q80" s="112" t="str">
        <f>IF(ISBLANK(G80),"",VLOOKUP(G80,品番設定,2,0))</f>
        <v/>
      </c>
    </row>
    <row r="81" spans="1:17" ht="16.5" customHeight="1">
      <c r="A81" s="3">
        <v>44165</v>
      </c>
      <c r="B81" s="4"/>
      <c r="C81" s="5">
        <v>422</v>
      </c>
      <c r="D81" s="6">
        <v>11827</v>
      </c>
      <c r="E81" s="8"/>
      <c r="F81" s="192"/>
      <c r="G81" s="5"/>
      <c r="H81" s="141"/>
      <c r="I81" s="141"/>
      <c r="J81" s="106">
        <f>IF(診断,-1,IF(SUMIF(N$2:N$89,N81,貸方)=SUMIF(N$2:N$89,N81,借方),IF(COUNTIF(F81,O$1),C81,),-1))</f>
        <v>0</v>
      </c>
      <c r="K81" s="107" t="str">
        <f>IF(ISBLANK(C81),"",VLOOKUP(C81,科目設定,2,0))</f>
        <v>法定福利費</v>
      </c>
      <c r="L81" s="21">
        <f>IF(ISBLANK(C81),"",IF(VLOOKUP(C81,科目設定,9,0)="借方",SUMIF(C$2:C81,C81,借方)-SUMIF(C$2:C81,C81,貸方),""))</f>
        <v>141771</v>
      </c>
      <c r="M81" s="108" t="str">
        <f>IF(ISBLANK(C81),"",IF(VLOOKUP(C81,科目設定,9,0)="貸方",SUMIF(C$2:C81,C81,貸方)-SUMIF(C$2:C81,C81,借方),""))</f>
        <v/>
      </c>
      <c r="N81" s="109">
        <f t="shared" si="4"/>
        <v>11306240</v>
      </c>
      <c r="O81" s="110">
        <f t="shared" si="5"/>
        <v>-11306240</v>
      </c>
      <c r="P81" s="111" t="str">
        <f>IF(ISBLANK(C81),"",IF(C81=J81,"前期繰越",IF(COUNTIF(O$2:O$89,-O81)=1,VLOOKUP(INDEX(科目,MATCH(-O81,O$2:O$89,0),1),科目設定,2,0),"諸口")))</f>
        <v>普通預金 ゆうちょ銀行</v>
      </c>
      <c r="Q81" s="112" t="str">
        <f>IF(ISBLANK(G81),"",VLOOKUP(G81,品番設定,2,0))</f>
        <v/>
      </c>
    </row>
    <row r="82" spans="1:17" ht="16.5" customHeight="1">
      <c r="A82" s="3">
        <v>44185</v>
      </c>
      <c r="B82" s="4"/>
      <c r="C82" s="5">
        <v>101.1</v>
      </c>
      <c r="D82" s="8"/>
      <c r="E82" s="6">
        <v>34388</v>
      </c>
      <c r="F82" s="192"/>
      <c r="G82" s="5"/>
      <c r="H82" s="141"/>
      <c r="I82" s="141"/>
      <c r="J82" s="106">
        <f>IF(診断,-1,IF(SUMIF(N$2:N$89,N82,貸方)=SUMIF(N$2:N$89,N82,借方),IF(COUNTIF(F82,O$1),C82,),-1))</f>
        <v>0</v>
      </c>
      <c r="K82" s="107" t="str">
        <f>IF(ISBLANK(C82),"",VLOOKUP(C82,科目設定,2,0))</f>
        <v>役員からの短期借入金 1</v>
      </c>
      <c r="L82" s="21" t="str">
        <f>IF(ISBLANK(C82),"",IF(VLOOKUP(C82,科目設定,9,0)="借方",SUMIF(C$2:C82,C82,借方)-SUMIF(C$2:C82,C82,貸方),""))</f>
        <v/>
      </c>
      <c r="M82" s="108">
        <f>IF(ISBLANK(C82),"",IF(VLOOKUP(C82,科目設定,9,0)="貸方",SUMIF(C$2:C82,C82,貸方)-SUMIF(C$2:C82,C82,借方),""))</f>
        <v>1839816</v>
      </c>
      <c r="N82" s="109">
        <f t="shared" si="4"/>
        <v>11311360</v>
      </c>
      <c r="O82" s="110">
        <f t="shared" si="5"/>
        <v>11311360</v>
      </c>
      <c r="P82" s="111" t="str">
        <f>IF(ISBLANK(C82),"",IF(C82=J82,"前期繰越",IF(COUNTIF(O$2:O$89,-O82)=1,VLOOKUP(INDEX(科目,MATCH(-O82,O$2:O$89,0),1),科目設定,2,0),"諸口")))</f>
        <v>役員報酬 1</v>
      </c>
      <c r="Q82" s="112" t="str">
        <f>IF(ISBLANK(G82),"",VLOOKUP(G82,品番設定,2,0))</f>
        <v/>
      </c>
    </row>
    <row r="83" spans="1:17" ht="16.5" customHeight="1">
      <c r="A83" s="3">
        <v>44185</v>
      </c>
      <c r="B83" s="4"/>
      <c r="C83" s="5">
        <v>105.1</v>
      </c>
      <c r="D83" s="8"/>
      <c r="E83" s="6">
        <v>11512</v>
      </c>
      <c r="F83" s="192"/>
      <c r="G83" s="5"/>
      <c r="H83" s="141"/>
      <c r="I83" s="141"/>
      <c r="J83" s="106">
        <f>IF(診断,-1,IF(SUMIF(N$2:N$89,N83,貸方)=SUMIF(N$2:N$89,N83,借方),IF(COUNTIF(F83,O$1),C83,),-1))</f>
        <v>0</v>
      </c>
      <c r="K83" s="107" t="str">
        <f>IF(ISBLANK(C83),"",VLOOKUP(C83,科目設定,2,0))</f>
        <v>社保預り金 1</v>
      </c>
      <c r="L83" s="21" t="str">
        <f>IF(ISBLANK(C83),"",IF(VLOOKUP(C83,科目設定,9,0)="借方",SUMIF(C$2:C83,C83,借方)-SUMIF(C$2:C83,C83,貸方),""))</f>
        <v/>
      </c>
      <c r="M83" s="108">
        <f>IF(ISBLANK(C83),"",IF(VLOOKUP(C83,科目設定,9,0)="貸方",SUMIF(C$2:C83,C83,貸方)-SUMIF(C$2:C83,C83,借方),""))</f>
        <v>138090</v>
      </c>
      <c r="N83" s="109">
        <f t="shared" si="4"/>
        <v>11311360</v>
      </c>
      <c r="O83" s="110">
        <f t="shared" si="5"/>
        <v>11311360</v>
      </c>
      <c r="P83" s="111" t="str">
        <f>IF(ISBLANK(C83),"",IF(C83=J83,"前期繰越",IF(COUNTIF(O$2:O$89,-O83)=1,VLOOKUP(INDEX(科目,MATCH(-O83,O$2:O$89,0),1),科目設定,2,0),"諸口")))</f>
        <v>役員報酬 1</v>
      </c>
      <c r="Q83" s="112" t="str">
        <f>IF(ISBLANK(G83),"",VLOOKUP(G83,品番設定,2,0))</f>
        <v/>
      </c>
    </row>
    <row r="84" spans="1:17" ht="16.5" customHeight="1">
      <c r="A84" s="3">
        <v>44185</v>
      </c>
      <c r="B84" s="4"/>
      <c r="C84" s="5">
        <v>421.1</v>
      </c>
      <c r="D84" s="6">
        <v>45900</v>
      </c>
      <c r="E84" s="8"/>
      <c r="F84" s="192"/>
      <c r="G84" s="5"/>
      <c r="H84" s="141"/>
      <c r="I84" s="141"/>
      <c r="J84" s="106">
        <f>IF(診断,-1,IF(SUMIF(N$2:N$89,N84,貸方)=SUMIF(N$2:N$89,N84,借方),IF(COUNTIF(F84,O$1),C84,),-1))</f>
        <v>0</v>
      </c>
      <c r="K84" s="107" t="str">
        <f>IF(ISBLANK(C84),"",VLOOKUP(C84,科目設定,2,0))</f>
        <v>役員報酬 1</v>
      </c>
      <c r="L84" s="21">
        <f>IF(ISBLANK(C84),"",IF(VLOOKUP(C84,科目設定,9,0)="借方",SUMIF(C$2:C84,C84,借方)-SUMIF(C$2:C84,C84,貸方),""))</f>
        <v>550800</v>
      </c>
      <c r="M84" s="108" t="str">
        <f>IF(ISBLANK(C84),"",IF(VLOOKUP(C84,科目設定,9,0)="貸方",SUMIF(C$2:C84,C84,貸方)-SUMIF(C$2:C84,C84,借方),""))</f>
        <v/>
      </c>
      <c r="N84" s="109">
        <f t="shared" si="4"/>
        <v>11311360</v>
      </c>
      <c r="O84" s="110">
        <f t="shared" si="5"/>
        <v>-11311360</v>
      </c>
      <c r="P84" s="111" t="str">
        <f>IF(ISBLANK(C84),"",IF(C84=J84,"前期繰越",IF(COUNTIF(O$2:O$89,-O84)=1,VLOOKUP(INDEX(科目,MATCH(-O84,O$2:O$89,0),1),科目設定,2,0),"諸口")))</f>
        <v>諸口</v>
      </c>
      <c r="Q84" s="112" t="str">
        <f>IF(ISBLANK(G84),"",VLOOKUP(G84,品番設定,2,0))</f>
        <v/>
      </c>
    </row>
    <row r="85" spans="1:17" ht="16.5" customHeight="1">
      <c r="A85" s="3">
        <v>44196</v>
      </c>
      <c r="B85" s="5">
        <v>1</v>
      </c>
      <c r="C85" s="5">
        <v>101.1</v>
      </c>
      <c r="D85" s="6">
        <v>692571</v>
      </c>
      <c r="E85" s="8"/>
      <c r="F85" s="105" t="s">
        <v>16</v>
      </c>
      <c r="G85" s="5"/>
      <c r="H85" s="141"/>
      <c r="I85" s="141"/>
      <c r="J85" s="106">
        <f>IF(診断,-1,IF(SUMIF(N$2:N$89,N85,貸方)=SUMIF(N$2:N$89,N85,借方),IF(COUNTIF(F85,O$1),C85,),-1))</f>
        <v>0</v>
      </c>
      <c r="K85" s="107" t="str">
        <f>IF(ISBLANK(C85),"",VLOOKUP(C85,科目設定,2,0))</f>
        <v>役員からの短期借入金 1</v>
      </c>
      <c r="L85" s="21" t="str">
        <f>IF(ISBLANK(C85),"",IF(VLOOKUP(C85,科目設定,9,0)="借方",SUMIF(C$2:C85,C85,借方)-SUMIF(C$2:C85,C85,貸方),""))</f>
        <v/>
      </c>
      <c r="M85" s="108">
        <f>IF(ISBLANK(C85),"",IF(VLOOKUP(C85,科目設定,9,0)="貸方",SUMIF(C$2:C85,C85,貸方)-SUMIF(C$2:C85,C85,借方),""))</f>
        <v>1147245</v>
      </c>
      <c r="N85" s="109">
        <f t="shared" si="4"/>
        <v>11314177</v>
      </c>
      <c r="O85" s="110">
        <f t="shared" si="5"/>
        <v>-11314177</v>
      </c>
      <c r="P85" s="111" t="str">
        <f>IF(ISBLANK(C85),"",IF(C85=J85,"前期繰越",IF(COUNTIF(O$2:O$89,-O85)=1,VLOOKUP(INDEX(科目,MATCH(-O85,O$2:O$89,0),1),科目設定,2,0),"諸口")))</f>
        <v>債務免除益</v>
      </c>
      <c r="Q85" s="112" t="str">
        <f>IF(ISBLANK(G85),"",VLOOKUP(G85,品番設定,2,0))</f>
        <v/>
      </c>
    </row>
    <row r="86" spans="1:17" ht="16.5" customHeight="1">
      <c r="A86" s="3">
        <v>44196</v>
      </c>
      <c r="B86" s="5">
        <v>1</v>
      </c>
      <c r="C86" s="5">
        <v>372</v>
      </c>
      <c r="D86" s="8"/>
      <c r="E86" s="6">
        <v>692571</v>
      </c>
      <c r="F86" s="105" t="s">
        <v>16</v>
      </c>
      <c r="G86" s="5"/>
      <c r="H86" s="141"/>
      <c r="I86" s="141"/>
      <c r="J86" s="106">
        <f>IF(診断,-1,IF(SUMIF(N$2:N$89,N86,貸方)=SUMIF(N$2:N$89,N86,借方),IF(COUNTIF(F86,O$1),C86,),-1))</f>
        <v>0</v>
      </c>
      <c r="K86" s="107" t="str">
        <f>IF(ISBLANK(C86),"",VLOOKUP(C86,科目設定,2,0))</f>
        <v>債務免除益</v>
      </c>
      <c r="L86" s="21" t="str">
        <f>IF(ISBLANK(C86),"",IF(VLOOKUP(C86,科目設定,9,0)="借方",SUMIF(C$2:C86,C86,借方)-SUMIF(C$2:C86,C86,貸方),""))</f>
        <v/>
      </c>
      <c r="M86" s="108">
        <f>IF(ISBLANK(C86),"",IF(VLOOKUP(C86,科目設定,9,0)="貸方",SUMIF(C$2:C86,C86,貸方)-SUMIF(C$2:C86,C86,借方),""))</f>
        <v>692571</v>
      </c>
      <c r="N86" s="109">
        <f t="shared" si="4"/>
        <v>11314177</v>
      </c>
      <c r="O86" s="110">
        <f t="shared" si="5"/>
        <v>11314177</v>
      </c>
      <c r="P86" s="111" t="str">
        <f>IF(ISBLANK(C86),"",IF(C86=J86,"前期繰越",IF(COUNTIF(O$2:O$89,-O86)=1,VLOOKUP(INDEX(科目,MATCH(-O86,O$2:O$89,0),1),科目設定,2,0),"諸口")))</f>
        <v>役員からの短期借入金 1</v>
      </c>
      <c r="Q86" s="112" t="str">
        <f>IF(ISBLANK(G86),"",VLOOKUP(G86,品番設定,2,0))</f>
        <v/>
      </c>
    </row>
    <row r="87" spans="1:17" ht="16.5" customHeight="1">
      <c r="A87" s="3">
        <v>44196</v>
      </c>
      <c r="B87" s="5">
        <v>2</v>
      </c>
      <c r="C87" s="5">
        <v>212</v>
      </c>
      <c r="D87" s="6"/>
      <c r="E87" s="8">
        <v>-82000</v>
      </c>
      <c r="F87" s="105" t="s">
        <v>17</v>
      </c>
      <c r="G87" s="5"/>
      <c r="H87" s="141"/>
      <c r="I87" s="141"/>
      <c r="J87" s="106">
        <f>IF(診断,-1,IF(SUMIF(N$2:N$89,N87,貸方)=SUMIF(N$2:N$89,N87,借方),IF(COUNTIF(F87,O$1),C87,),-1))</f>
        <v>0</v>
      </c>
      <c r="K87" s="107" t="str">
        <f>IF(ISBLANK(C87),"",VLOOKUP(C87,科目設定,2,0))</f>
        <v>繰越利益剰余金</v>
      </c>
      <c r="L87" s="21" t="str">
        <f>IF(ISBLANK(C87),"",IF(VLOOKUP(C87,科目設定,9,0)="借方",SUMIF(C$2:C87,C87,借方)-SUMIF(C$2:C87,C87,貸方),""))</f>
        <v/>
      </c>
      <c r="M87" s="108">
        <f>IF(ISBLANK(C87),"",IF(VLOOKUP(C87,科目設定,9,0)="貸方",SUMIF(C$2:C87,C87,貸方)-SUMIF(C$2:C87,C87,借方),""))</f>
        <v>-1120600</v>
      </c>
      <c r="N87" s="109">
        <f t="shared" si="4"/>
        <v>11314178</v>
      </c>
      <c r="O87" s="110">
        <f t="shared" si="5"/>
        <v>11314178</v>
      </c>
      <c r="P87" s="111" t="str">
        <f>IF(ISBLANK(C87),"",IF(C87=J87,"前期繰越",IF(COUNTIF(O$2:O$89,-O87)=1,VLOOKUP(INDEX(科目,MATCH(-O87,O$2:O$89,0),1),科目設定,2,0),"諸口")))</f>
        <v>当期純利益又は損失(-)</v>
      </c>
      <c r="Q87" s="112" t="str">
        <f>IF(ISBLANK(G87),"",VLOOKUP(G87,品番設定,2,0))</f>
        <v/>
      </c>
    </row>
    <row r="88" spans="1:17" ht="16.5" customHeight="1">
      <c r="A88" s="3">
        <v>44196</v>
      </c>
      <c r="B88" s="5">
        <v>2</v>
      </c>
      <c r="C88" s="5">
        <v>490</v>
      </c>
      <c r="D88" s="8">
        <v>-82000</v>
      </c>
      <c r="E88" s="6"/>
      <c r="F88" s="105" t="s">
        <v>17</v>
      </c>
      <c r="G88" s="5"/>
      <c r="H88" s="141"/>
      <c r="I88" s="141"/>
      <c r="J88" s="106">
        <f>IF(診断,-1,IF(SUMIF(N$2:N$89,N88,貸方)=SUMIF(N$2:N$89,N88,借方),IF(COUNTIF(F88,O$1),C88,),-1))</f>
        <v>0</v>
      </c>
      <c r="K88" s="107" t="str">
        <f>IF(ISBLANK(C88),"",VLOOKUP(C88,科目設定,2,0))</f>
        <v>当期純利益又は損失(-)</v>
      </c>
      <c r="L88" s="21">
        <f>IF(ISBLANK(C88),"",IF(VLOOKUP(C88,科目設定,9,0)="借方",SUMIF(C$2:C88,C88,借方)-SUMIF(C$2:C88,C88,貸方),""))</f>
        <v>-82000</v>
      </c>
      <c r="M88" s="108" t="str">
        <f>IF(ISBLANK(C88),"",IF(VLOOKUP(C88,科目設定,9,0)="貸方",SUMIF(C$2:C88,C88,貸方)-SUMIF(C$2:C88,C88,借方),""))</f>
        <v/>
      </c>
      <c r="N88" s="109">
        <f t="shared" si="4"/>
        <v>11314178</v>
      </c>
      <c r="O88" s="110">
        <f t="shared" si="5"/>
        <v>-11314178</v>
      </c>
      <c r="P88" s="111" t="str">
        <f>IF(ISBLANK(C88),"",IF(C88=J88,"前期繰越",IF(COUNTIF(O$2:O$89,-O88)=1,VLOOKUP(INDEX(科目,MATCH(-O88,O$2:O$89,0),1),科目設定,2,0),"諸口")))</f>
        <v>繰越利益剰余金</v>
      </c>
      <c r="Q88" s="112" t="str">
        <f>IF(ISBLANK(G88),"",VLOOKUP(G88,品番設定,2,0))</f>
        <v/>
      </c>
    </row>
    <row r="89" spans="1:17" ht="16.5" hidden="1" customHeight="1">
      <c r="A89" s="97"/>
      <c r="B89" s="25"/>
      <c r="C89" s="97">
        <v>10001</v>
      </c>
      <c r="D89" s="27"/>
      <c r="E89" s="27"/>
      <c r="F89" s="2"/>
      <c r="G89" s="25"/>
      <c r="H89" s="140"/>
      <c r="I89" s="140"/>
      <c r="J89" s="98"/>
      <c r="K89" s="99"/>
      <c r="L89" s="100"/>
      <c r="M89" s="101"/>
      <c r="N89" s="102"/>
      <c r="O89" s="103"/>
      <c r="P89" s="104"/>
      <c r="Q89" s="99"/>
    </row>
    <row r="90" spans="1:17" ht="16.5" customHeight="1">
      <c r="A90" s="113"/>
      <c r="B90" s="72"/>
      <c r="C90" s="72" t="s">
        <v>18</v>
      </c>
      <c r="D90" s="74">
        <f>SUM(借方)</f>
        <v>3923214</v>
      </c>
      <c r="E90" s="74">
        <f>SUM(貸方)</f>
        <v>3923214</v>
      </c>
      <c r="F90" s="15"/>
      <c r="G90" s="72"/>
      <c r="H90" s="142"/>
      <c r="I90" s="142"/>
      <c r="J90" s="115"/>
      <c r="K90" s="116"/>
      <c r="L90" s="117"/>
      <c r="M90" s="118"/>
      <c r="N90" s="119"/>
      <c r="O90" s="120"/>
      <c r="P90" s="121"/>
      <c r="Q90" s="122" t="s">
        <v>19</v>
      </c>
    </row>
  </sheetData>
  <conditionalFormatting sqref="C2:C3 C89">
    <cfRule type="cellIs" dxfId="14" priority="1" operator="equal">
      <formula>0</formula>
    </cfRule>
  </conditionalFormatting>
  <conditionalFormatting sqref="F77">
    <cfRule type="cellIs" dxfId="13" priority="2" operator="equal">
      <formula>0</formula>
    </cfRule>
  </conditionalFormatting>
  <conditionalFormatting sqref="J1:J16 J19:J90">
    <cfRule type="cellIs" dxfId="12" priority="3" operator="equal">
      <formula>-1</formula>
    </cfRule>
  </conditionalFormatting>
  <conditionalFormatting sqref="J17:J18">
    <cfRule type="cellIs" dxfId="11" priority="4" operator="equal">
      <formula>-1</formula>
    </cfRule>
  </conditionalFormatting>
  <printOptions horizontalCentered="1" gridLines="1"/>
  <pageMargins left="0.7" right="0.7" top="0.75" bottom="0.75" header="0" footer="0"/>
  <pageSetup paperSize="9" fitToHeight="0" pageOrder="overThenDown"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14"/>
  <sheetViews>
    <sheetView tabSelected="1" workbookViewId="0">
      <pane ySplit="1" topLeftCell="A2" activePane="bottomLeft" state="frozen"/>
      <selection pane="bottomLeft" activeCell="B13" sqref="B13"/>
    </sheetView>
  </sheetViews>
  <sheetFormatPr defaultColWidth="14.42578125" defaultRowHeight="16.5" customHeight="1"/>
  <cols>
    <col min="1" max="1" width="3.5703125" style="84" customWidth="1"/>
    <col min="2" max="2" width="185.28515625" style="84" customWidth="1"/>
    <col min="3" max="16384" width="14.42578125" style="84"/>
  </cols>
  <sheetData>
    <row r="1" spans="1:2" ht="16.5" customHeight="1">
      <c r="A1" s="30"/>
      <c r="B1" s="31" t="s">
        <v>552</v>
      </c>
    </row>
    <row r="2" spans="1:2" ht="16.5" customHeight="1">
      <c r="A2" s="32"/>
      <c r="B2" s="33" t="s">
        <v>553</v>
      </c>
    </row>
    <row r="3" spans="1:2" ht="16.5" customHeight="1">
      <c r="A3" s="32"/>
      <c r="B3" s="83" t="s">
        <v>554</v>
      </c>
    </row>
    <row r="4" spans="1:2" ht="16.5" customHeight="1">
      <c r="A4" s="32"/>
      <c r="B4" s="34" t="s">
        <v>555</v>
      </c>
    </row>
    <row r="5" spans="1:2" ht="16.5" customHeight="1">
      <c r="A5" s="32"/>
      <c r="B5" s="34"/>
    </row>
    <row r="6" spans="1:2" ht="16.5" customHeight="1">
      <c r="A6" s="32"/>
      <c r="B6" s="34" t="s">
        <v>556</v>
      </c>
    </row>
    <row r="7" spans="1:2" ht="16.5" customHeight="1">
      <c r="A7" s="32"/>
      <c r="B7" s="34" t="s">
        <v>557</v>
      </c>
    </row>
    <row r="8" spans="1:2" ht="16.5" customHeight="1">
      <c r="A8" s="32"/>
      <c r="B8" s="34" t="s">
        <v>558</v>
      </c>
    </row>
    <row r="9" spans="1:2" ht="16.5" customHeight="1">
      <c r="A9" s="32"/>
      <c r="B9" s="34" t="s">
        <v>559</v>
      </c>
    </row>
    <row r="10" spans="1:2" ht="16.5" customHeight="1">
      <c r="A10" s="32"/>
      <c r="B10" s="34"/>
    </row>
    <row r="11" spans="1:2" ht="16.5" customHeight="1">
      <c r="A11" s="32"/>
      <c r="B11" s="34" t="s">
        <v>560</v>
      </c>
    </row>
    <row r="12" spans="1:2" ht="16.5" customHeight="1">
      <c r="A12" s="32"/>
      <c r="B12" s="34" t="s">
        <v>561</v>
      </c>
    </row>
    <row r="13" spans="1:2" s="163" customFormat="1" ht="16.5" customHeight="1">
      <c r="A13" s="32"/>
      <c r="B13" s="34" t="s">
        <v>562</v>
      </c>
    </row>
    <row r="14" spans="1:2" ht="16.5" customHeight="1">
      <c r="A14" s="32"/>
      <c r="B14" s="34" t="s">
        <v>563</v>
      </c>
    </row>
    <row r="15" spans="1:2" ht="16.5" customHeight="1">
      <c r="A15" s="32"/>
      <c r="B15" s="34"/>
    </row>
    <row r="16" spans="1:2" ht="16.5" customHeight="1">
      <c r="A16" s="35">
        <v>1</v>
      </c>
      <c r="B16" s="36" t="s">
        <v>564</v>
      </c>
    </row>
    <row r="17" spans="1:2" ht="16.5" customHeight="1">
      <c r="A17" s="32"/>
      <c r="B17" s="34" t="s">
        <v>565</v>
      </c>
    </row>
    <row r="18" spans="1:2" ht="16.5" customHeight="1">
      <c r="A18" s="32"/>
      <c r="B18" s="37" t="s">
        <v>566</v>
      </c>
    </row>
    <row r="19" spans="1:2" ht="16.5" customHeight="1">
      <c r="A19" s="32"/>
      <c r="B19" s="37" t="s">
        <v>567</v>
      </c>
    </row>
    <row r="20" spans="1:2" ht="16.5" customHeight="1">
      <c r="A20" s="32"/>
      <c r="B20" s="34" t="s">
        <v>13</v>
      </c>
    </row>
    <row r="21" spans="1:2" ht="16.5" customHeight="1">
      <c r="A21" s="32"/>
      <c r="B21" s="34" t="s">
        <v>568</v>
      </c>
    </row>
    <row r="22" spans="1:2" ht="16.5" customHeight="1">
      <c r="A22" s="32"/>
      <c r="B22" s="34"/>
    </row>
    <row r="23" spans="1:2" ht="16.5" customHeight="1">
      <c r="A23" s="32"/>
      <c r="B23" s="34" t="s">
        <v>569</v>
      </c>
    </row>
    <row r="24" spans="1:2" ht="16.5" customHeight="1">
      <c r="A24" s="32"/>
      <c r="B24" s="34" t="s">
        <v>570</v>
      </c>
    </row>
    <row r="25" spans="1:2" ht="16.5" customHeight="1">
      <c r="A25" s="32"/>
      <c r="B25" s="34" t="s">
        <v>571</v>
      </c>
    </row>
    <row r="26" spans="1:2" ht="16.5" customHeight="1">
      <c r="A26" s="32"/>
      <c r="B26" s="34" t="s">
        <v>572</v>
      </c>
    </row>
    <row r="27" spans="1:2" ht="16.5" customHeight="1">
      <c r="A27" s="32"/>
      <c r="B27" s="34" t="s">
        <v>573</v>
      </c>
    </row>
    <row r="28" spans="1:2" ht="16.5" customHeight="1">
      <c r="A28" s="32"/>
      <c r="B28" s="34" t="s">
        <v>574</v>
      </c>
    </row>
    <row r="29" spans="1:2" ht="16.5" customHeight="1">
      <c r="A29" s="32"/>
      <c r="B29" s="34" t="s">
        <v>575</v>
      </c>
    </row>
    <row r="30" spans="1:2" ht="16.5" customHeight="1">
      <c r="A30" s="32"/>
      <c r="B30" s="34" t="s">
        <v>576</v>
      </c>
    </row>
    <row r="31" spans="1:2" ht="16.5" customHeight="1">
      <c r="A31" s="32"/>
      <c r="B31" s="34" t="s">
        <v>577</v>
      </c>
    </row>
    <row r="32" spans="1:2" ht="16.5" customHeight="1">
      <c r="A32" s="32"/>
      <c r="B32" s="34"/>
    </row>
    <row r="33" spans="1:2" ht="16.5" customHeight="1">
      <c r="A33" s="32"/>
      <c r="B33" s="33" t="s">
        <v>578</v>
      </c>
    </row>
    <row r="34" spans="1:2" ht="16.5" customHeight="1">
      <c r="A34" s="32"/>
      <c r="B34" s="34" t="s">
        <v>579</v>
      </c>
    </row>
    <row r="35" spans="1:2" ht="16.5" customHeight="1">
      <c r="A35" s="32"/>
      <c r="B35" s="33"/>
    </row>
    <row r="36" spans="1:2" ht="16.5" customHeight="1">
      <c r="A36" s="32"/>
      <c r="B36" s="34" t="s">
        <v>580</v>
      </c>
    </row>
    <row r="37" spans="1:2" ht="16.5" customHeight="1">
      <c r="A37" s="32"/>
      <c r="B37" s="34" t="s">
        <v>581</v>
      </c>
    </row>
    <row r="38" spans="1:2" ht="16.5" customHeight="1">
      <c r="A38" s="32"/>
      <c r="B38" s="34" t="s">
        <v>582</v>
      </c>
    </row>
    <row r="39" spans="1:2" ht="16.5" customHeight="1">
      <c r="A39" s="32"/>
      <c r="B39" s="33"/>
    </row>
    <row r="40" spans="1:2" ht="16.5" customHeight="1">
      <c r="A40" s="32"/>
      <c r="B40" s="34" t="s">
        <v>583</v>
      </c>
    </row>
    <row r="41" spans="1:2" ht="16.5" customHeight="1">
      <c r="A41" s="32" t="s">
        <v>584</v>
      </c>
      <c r="B41" s="34" t="s">
        <v>585</v>
      </c>
    </row>
    <row r="42" spans="1:2" ht="16.5" customHeight="1">
      <c r="A42" s="35" t="s">
        <v>586</v>
      </c>
      <c r="B42" s="34" t="s">
        <v>587</v>
      </c>
    </row>
    <row r="43" spans="1:2" ht="16.5" customHeight="1">
      <c r="A43" s="38" t="s">
        <v>588</v>
      </c>
      <c r="B43" s="34" t="s">
        <v>589</v>
      </c>
    </row>
    <row r="44" spans="1:2" ht="16.5" customHeight="1">
      <c r="A44" s="39" t="s">
        <v>590</v>
      </c>
      <c r="B44" s="34" t="s">
        <v>591</v>
      </c>
    </row>
    <row r="45" spans="1:2" ht="16.5" customHeight="1">
      <c r="A45" s="32"/>
      <c r="B45" s="33"/>
    </row>
    <row r="46" spans="1:2" ht="16.5" customHeight="1">
      <c r="A46" s="35">
        <v>2</v>
      </c>
      <c r="B46" s="36" t="s">
        <v>592</v>
      </c>
    </row>
    <row r="47" spans="1:2" ht="16.5" customHeight="1">
      <c r="A47" s="32"/>
      <c r="B47" s="34" t="s">
        <v>593</v>
      </c>
    </row>
    <row r="48" spans="1:2" ht="16.5" customHeight="1">
      <c r="A48" s="32"/>
      <c r="B48" s="34" t="s">
        <v>594</v>
      </c>
    </row>
    <row r="49" spans="1:2" ht="16.5" customHeight="1">
      <c r="A49" s="32"/>
      <c r="B49" s="34"/>
    </row>
    <row r="50" spans="1:2" ht="16.5" customHeight="1">
      <c r="A50" s="32"/>
      <c r="B50" s="34" t="s">
        <v>595</v>
      </c>
    </row>
    <row r="51" spans="1:2" ht="16.5" customHeight="1">
      <c r="A51" s="32"/>
      <c r="B51" s="34" t="s">
        <v>596</v>
      </c>
    </row>
    <row r="52" spans="1:2" ht="16.5" customHeight="1">
      <c r="A52" s="32"/>
      <c r="B52" s="34" t="s">
        <v>597</v>
      </c>
    </row>
    <row r="53" spans="1:2" ht="16.5" customHeight="1">
      <c r="A53" s="32"/>
      <c r="B53" s="34" t="s">
        <v>598</v>
      </c>
    </row>
    <row r="54" spans="1:2" ht="16.5" customHeight="1">
      <c r="A54" s="32"/>
      <c r="B54" s="34" t="s">
        <v>599</v>
      </c>
    </row>
    <row r="55" spans="1:2" ht="16.5" customHeight="1">
      <c r="A55" s="32"/>
      <c r="B55" s="34"/>
    </row>
    <row r="56" spans="1:2" ht="16.5" customHeight="1">
      <c r="A56" s="35">
        <v>3</v>
      </c>
      <c r="B56" s="36" t="s">
        <v>600</v>
      </c>
    </row>
    <row r="57" spans="1:2" ht="16.5" customHeight="1">
      <c r="A57" s="32"/>
      <c r="B57" s="34" t="s">
        <v>601</v>
      </c>
    </row>
    <row r="58" spans="1:2" ht="16.5" customHeight="1">
      <c r="A58" s="32"/>
      <c r="B58" s="34" t="s">
        <v>602</v>
      </c>
    </row>
    <row r="59" spans="1:2" ht="16.5" customHeight="1">
      <c r="A59" s="32"/>
      <c r="B59" s="34" t="s">
        <v>603</v>
      </c>
    </row>
    <row r="60" spans="1:2" ht="16.5" customHeight="1">
      <c r="A60" s="32"/>
      <c r="B60" s="34"/>
    </row>
    <row r="61" spans="1:2" ht="16.5" customHeight="1">
      <c r="A61" s="32"/>
      <c r="B61" s="34" t="s">
        <v>604</v>
      </c>
    </row>
    <row r="62" spans="1:2" ht="16.5" customHeight="1">
      <c r="A62" s="32"/>
      <c r="B62" s="33"/>
    </row>
    <row r="63" spans="1:2" ht="16.5" customHeight="1">
      <c r="A63" s="32"/>
      <c r="B63" s="34" t="s">
        <v>605</v>
      </c>
    </row>
    <row r="64" spans="1:2" ht="16.5" customHeight="1">
      <c r="A64" s="32"/>
      <c r="B64" s="34" t="s">
        <v>606</v>
      </c>
    </row>
    <row r="65" spans="1:2" ht="16.5" customHeight="1">
      <c r="A65" s="32"/>
      <c r="B65" s="34" t="s">
        <v>607</v>
      </c>
    </row>
    <row r="66" spans="1:2" ht="16.5" customHeight="1">
      <c r="A66" s="32"/>
      <c r="B66" s="34" t="s">
        <v>608</v>
      </c>
    </row>
    <row r="67" spans="1:2" ht="16.5" customHeight="1">
      <c r="A67" s="32"/>
      <c r="B67" s="34"/>
    </row>
    <row r="68" spans="1:2" ht="16.5" customHeight="1">
      <c r="A68" s="32"/>
      <c r="B68" s="34" t="s">
        <v>609</v>
      </c>
    </row>
    <row r="69" spans="1:2" ht="16.5" customHeight="1">
      <c r="A69" s="32"/>
      <c r="B69" s="34" t="s">
        <v>610</v>
      </c>
    </row>
    <row r="70" spans="1:2" ht="16.5" customHeight="1">
      <c r="A70" s="32"/>
      <c r="B70" s="34" t="s">
        <v>611</v>
      </c>
    </row>
    <row r="71" spans="1:2" ht="16.5" customHeight="1">
      <c r="A71" s="32"/>
      <c r="B71" s="34"/>
    </row>
    <row r="72" spans="1:2" ht="16.5" customHeight="1">
      <c r="A72" s="32"/>
      <c r="B72" s="34" t="s">
        <v>612</v>
      </c>
    </row>
    <row r="73" spans="1:2" ht="16.5" customHeight="1">
      <c r="A73" s="32"/>
      <c r="B73" s="34" t="s">
        <v>613</v>
      </c>
    </row>
    <row r="74" spans="1:2" ht="16.5" customHeight="1">
      <c r="A74" s="32"/>
      <c r="B74" s="34" t="s">
        <v>614</v>
      </c>
    </row>
    <row r="75" spans="1:2" ht="16.5" customHeight="1">
      <c r="A75" s="32"/>
      <c r="B75" s="34" t="s">
        <v>615</v>
      </c>
    </row>
    <row r="76" spans="1:2" ht="16.5" customHeight="1">
      <c r="A76" s="32"/>
      <c r="B76" s="34" t="s">
        <v>616</v>
      </c>
    </row>
    <row r="77" spans="1:2" ht="16.5" customHeight="1">
      <c r="A77" s="32"/>
      <c r="B77" s="34"/>
    </row>
    <row r="78" spans="1:2" ht="16.5" customHeight="1">
      <c r="A78" s="32"/>
      <c r="B78" s="34" t="s">
        <v>617</v>
      </c>
    </row>
    <row r="79" spans="1:2" ht="16.5" customHeight="1">
      <c r="A79" s="32"/>
      <c r="B79" s="34" t="s">
        <v>618</v>
      </c>
    </row>
    <row r="80" spans="1:2" ht="16.5" customHeight="1">
      <c r="A80" s="32"/>
      <c r="B80" s="34" t="s">
        <v>619</v>
      </c>
    </row>
    <row r="81" spans="1:2" ht="16.5" customHeight="1">
      <c r="A81" s="32"/>
      <c r="B81" s="34" t="s">
        <v>620</v>
      </c>
    </row>
    <row r="82" spans="1:2" ht="16.5" customHeight="1">
      <c r="A82" s="32"/>
      <c r="B82" s="34" t="s">
        <v>621</v>
      </c>
    </row>
    <row r="83" spans="1:2" ht="16.5" customHeight="1">
      <c r="A83" s="32"/>
      <c r="B83" s="34" t="s">
        <v>622</v>
      </c>
    </row>
    <row r="84" spans="1:2" ht="16.5" customHeight="1">
      <c r="A84" s="32"/>
      <c r="B84" s="34" t="s">
        <v>623</v>
      </c>
    </row>
    <row r="85" spans="1:2" ht="16.5" customHeight="1">
      <c r="A85" s="32"/>
      <c r="B85" s="34"/>
    </row>
    <row r="86" spans="1:2" ht="16.5" customHeight="1">
      <c r="A86" s="35">
        <v>4</v>
      </c>
      <c r="B86" s="36" t="s">
        <v>624</v>
      </c>
    </row>
    <row r="87" spans="1:2" ht="16.5" customHeight="1">
      <c r="A87" s="32"/>
      <c r="B87" s="34" t="s">
        <v>625</v>
      </c>
    </row>
    <row r="88" spans="1:2" ht="16.5" customHeight="1">
      <c r="A88" s="32"/>
      <c r="B88" s="34" t="s">
        <v>626</v>
      </c>
    </row>
    <row r="89" spans="1:2" ht="16.5" customHeight="1">
      <c r="A89" s="32"/>
      <c r="B89" s="34" t="s">
        <v>627</v>
      </c>
    </row>
    <row r="90" spans="1:2" ht="16.5" customHeight="1">
      <c r="A90" s="32"/>
      <c r="B90" s="34" t="s">
        <v>628</v>
      </c>
    </row>
    <row r="91" spans="1:2" ht="16.5" customHeight="1">
      <c r="A91" s="32"/>
      <c r="B91" s="34" t="s">
        <v>629</v>
      </c>
    </row>
    <row r="92" spans="1:2" ht="16.5" customHeight="1">
      <c r="A92" s="32"/>
      <c r="B92" s="34" t="s">
        <v>630</v>
      </c>
    </row>
    <row r="93" spans="1:2" ht="16.5" customHeight="1">
      <c r="A93" s="32"/>
      <c r="B93" s="33"/>
    </row>
    <row r="94" spans="1:2" ht="16.5" customHeight="1">
      <c r="A94" s="32"/>
      <c r="B94" s="34" t="s">
        <v>631</v>
      </c>
    </row>
    <row r="95" spans="1:2" ht="16.5" customHeight="1">
      <c r="A95" s="32"/>
      <c r="B95" s="34" t="s">
        <v>632</v>
      </c>
    </row>
    <row r="96" spans="1:2" ht="16.5" customHeight="1">
      <c r="A96" s="32"/>
      <c r="B96" s="34" t="s">
        <v>633</v>
      </c>
    </row>
    <row r="97" spans="1:2" ht="16.5" customHeight="1">
      <c r="A97" s="32"/>
      <c r="B97" s="33"/>
    </row>
    <row r="98" spans="1:2" ht="16.5" customHeight="1">
      <c r="A98" s="32"/>
      <c r="B98" s="34" t="s">
        <v>634</v>
      </c>
    </row>
    <row r="99" spans="1:2" ht="16.5" customHeight="1">
      <c r="A99" s="32"/>
      <c r="B99" s="34" t="s">
        <v>635</v>
      </c>
    </row>
    <row r="100" spans="1:2" ht="16.5" customHeight="1">
      <c r="A100" s="32"/>
      <c r="B100" s="34" t="s">
        <v>636</v>
      </c>
    </row>
    <row r="101" spans="1:2" ht="16.5" customHeight="1">
      <c r="A101" s="32"/>
      <c r="B101" s="34" t="s">
        <v>637</v>
      </c>
    </row>
    <row r="102" spans="1:2" ht="16.5" customHeight="1">
      <c r="A102" s="32"/>
      <c r="B102" s="34" t="s">
        <v>638</v>
      </c>
    </row>
    <row r="103" spans="1:2" ht="16.5" customHeight="1">
      <c r="A103" s="32"/>
      <c r="B103" s="33"/>
    </row>
    <row r="104" spans="1:2" ht="16.5" customHeight="1">
      <c r="A104" s="32"/>
      <c r="B104" s="34" t="s">
        <v>639</v>
      </c>
    </row>
    <row r="105" spans="1:2" ht="16.5" customHeight="1">
      <c r="A105" s="32"/>
      <c r="B105" s="34" t="s">
        <v>640</v>
      </c>
    </row>
    <row r="106" spans="1:2" ht="16.5" customHeight="1">
      <c r="A106" s="32"/>
      <c r="B106" s="34" t="s">
        <v>641</v>
      </c>
    </row>
    <row r="107" spans="1:2" ht="16.5" customHeight="1">
      <c r="A107" s="32"/>
      <c r="B107" s="33"/>
    </row>
    <row r="108" spans="1:2" ht="16.5" customHeight="1">
      <c r="A108" s="32"/>
      <c r="B108" s="34" t="s">
        <v>642</v>
      </c>
    </row>
    <row r="109" spans="1:2" ht="16.5" customHeight="1">
      <c r="A109" s="32"/>
      <c r="B109" s="34" t="s">
        <v>643</v>
      </c>
    </row>
    <row r="110" spans="1:2" ht="16.5" customHeight="1">
      <c r="A110" s="32"/>
      <c r="B110" s="34" t="s">
        <v>644</v>
      </c>
    </row>
    <row r="111" spans="1:2" ht="16.5" customHeight="1">
      <c r="A111" s="32"/>
      <c r="B111" s="34" t="s">
        <v>645</v>
      </c>
    </row>
    <row r="112" spans="1:2" ht="16.5" customHeight="1">
      <c r="A112" s="32"/>
      <c r="B112" s="34"/>
    </row>
    <row r="113" spans="1:2" ht="16.5" customHeight="1">
      <c r="A113" s="32"/>
      <c r="B113" s="34" t="s">
        <v>646</v>
      </c>
    </row>
    <row r="114" spans="1:2" ht="16.5" customHeight="1">
      <c r="A114" s="32"/>
      <c r="B114" s="34" t="s">
        <v>647</v>
      </c>
    </row>
    <row r="115" spans="1:2" s="162" customFormat="1" ht="16.5" customHeight="1">
      <c r="A115" s="32"/>
      <c r="B115" s="34" t="s">
        <v>648</v>
      </c>
    </row>
    <row r="116" spans="1:2" ht="16.5" customHeight="1">
      <c r="A116" s="32"/>
      <c r="B116" s="34" t="s">
        <v>649</v>
      </c>
    </row>
    <row r="117" spans="1:2" ht="16.5" customHeight="1">
      <c r="A117" s="32"/>
      <c r="B117" s="34"/>
    </row>
    <row r="118" spans="1:2" ht="16.5" customHeight="1">
      <c r="A118" s="32"/>
      <c r="B118" s="34" t="s">
        <v>650</v>
      </c>
    </row>
    <row r="119" spans="1:2" ht="16.5" customHeight="1">
      <c r="A119" s="32"/>
      <c r="B119" s="33" t="s">
        <v>651</v>
      </c>
    </row>
    <row r="120" spans="1:2" ht="16.5" customHeight="1">
      <c r="A120" s="32"/>
      <c r="B120" s="34" t="s">
        <v>652</v>
      </c>
    </row>
    <row r="121" spans="1:2" ht="16.5" customHeight="1">
      <c r="A121" s="32"/>
      <c r="B121" s="34" t="s">
        <v>653</v>
      </c>
    </row>
    <row r="122" spans="1:2" ht="16.5" customHeight="1">
      <c r="A122" s="32"/>
      <c r="B122" s="34" t="s">
        <v>654</v>
      </c>
    </row>
    <row r="123" spans="1:2" ht="16.5" customHeight="1">
      <c r="A123" s="32"/>
      <c r="B123" s="34" t="s">
        <v>655</v>
      </c>
    </row>
    <row r="124" spans="1:2" ht="16.5" customHeight="1">
      <c r="A124" s="32"/>
      <c r="B124" s="33"/>
    </row>
    <row r="125" spans="1:2" ht="16.5" customHeight="1">
      <c r="A125" s="32"/>
      <c r="B125" s="34" t="s">
        <v>656</v>
      </c>
    </row>
    <row r="126" spans="1:2" ht="16.5" customHeight="1">
      <c r="A126" s="32"/>
      <c r="B126" s="34" t="s">
        <v>657</v>
      </c>
    </row>
    <row r="127" spans="1:2" ht="16.5" customHeight="1">
      <c r="A127" s="32"/>
      <c r="B127" s="34" t="s">
        <v>658</v>
      </c>
    </row>
    <row r="128" spans="1:2" ht="16.5" customHeight="1">
      <c r="A128" s="32"/>
      <c r="B128" s="34" t="s">
        <v>659</v>
      </c>
    </row>
    <row r="129" spans="1:2" ht="16.5" customHeight="1">
      <c r="A129" s="32"/>
      <c r="B129" s="34" t="s">
        <v>660</v>
      </c>
    </row>
    <row r="130" spans="1:2" ht="16.5" customHeight="1">
      <c r="A130" s="32"/>
      <c r="B130" s="33"/>
    </row>
    <row r="131" spans="1:2" ht="16.5" customHeight="1">
      <c r="A131" s="32"/>
      <c r="B131" s="34" t="s">
        <v>661</v>
      </c>
    </row>
    <row r="132" spans="1:2" ht="16.5" customHeight="1">
      <c r="A132" s="32"/>
      <c r="B132" s="34" t="s">
        <v>662</v>
      </c>
    </row>
    <row r="133" spans="1:2" ht="16.5" customHeight="1">
      <c r="A133" s="32"/>
      <c r="B133" s="34" t="s">
        <v>663</v>
      </c>
    </row>
    <row r="134" spans="1:2" ht="16.5" customHeight="1">
      <c r="A134" s="32"/>
      <c r="B134" s="33"/>
    </row>
    <row r="135" spans="1:2" ht="16.5" customHeight="1">
      <c r="A135" s="32"/>
      <c r="B135" s="34" t="s">
        <v>664</v>
      </c>
    </row>
    <row r="136" spans="1:2" ht="16.5" customHeight="1">
      <c r="A136" s="32"/>
      <c r="B136" s="34" t="s">
        <v>665</v>
      </c>
    </row>
    <row r="137" spans="1:2" ht="16.5" customHeight="1">
      <c r="A137" s="32"/>
      <c r="B137" s="34" t="s">
        <v>666</v>
      </c>
    </row>
    <row r="138" spans="1:2" ht="16.5" customHeight="1">
      <c r="A138" s="32"/>
      <c r="B138" s="33"/>
    </row>
    <row r="139" spans="1:2" ht="16.5" customHeight="1">
      <c r="A139" s="32"/>
      <c r="B139" s="34" t="s">
        <v>667</v>
      </c>
    </row>
    <row r="140" spans="1:2" ht="16.5" customHeight="1">
      <c r="A140" s="32"/>
      <c r="B140" s="34" t="s">
        <v>668</v>
      </c>
    </row>
    <row r="141" spans="1:2" ht="16.5" customHeight="1">
      <c r="A141" s="32"/>
      <c r="B141" s="33"/>
    </row>
    <row r="142" spans="1:2" ht="16.5" customHeight="1">
      <c r="A142" s="35">
        <v>5</v>
      </c>
      <c r="B142" s="36" t="s">
        <v>669</v>
      </c>
    </row>
    <row r="143" spans="1:2" ht="16.5" customHeight="1">
      <c r="A143" s="32"/>
      <c r="B143" s="34" t="s">
        <v>670</v>
      </c>
    </row>
    <row r="144" spans="1:2" ht="16.5" customHeight="1">
      <c r="A144" s="32"/>
      <c r="B144" s="34" t="s">
        <v>671</v>
      </c>
    </row>
    <row r="145" spans="1:2" ht="16.5" customHeight="1">
      <c r="A145" s="32"/>
      <c r="B145" s="34" t="s">
        <v>672</v>
      </c>
    </row>
    <row r="146" spans="1:2" ht="16.5" customHeight="1">
      <c r="A146" s="32"/>
      <c r="B146" s="34" t="s">
        <v>673</v>
      </c>
    </row>
    <row r="147" spans="1:2" s="162" customFormat="1" ht="16.5" customHeight="1">
      <c r="A147" s="32"/>
      <c r="B147" s="34" t="s">
        <v>674</v>
      </c>
    </row>
    <row r="148" spans="1:2" ht="16.5" customHeight="1">
      <c r="A148" s="32"/>
      <c r="B148" s="34" t="s">
        <v>675</v>
      </c>
    </row>
    <row r="149" spans="1:2" s="162" customFormat="1" ht="16.5" customHeight="1">
      <c r="A149" s="32"/>
      <c r="B149" s="34"/>
    </row>
    <row r="150" spans="1:2" ht="16.5" customHeight="1">
      <c r="A150" s="35">
        <v>6</v>
      </c>
      <c r="B150" s="36" t="s">
        <v>676</v>
      </c>
    </row>
    <row r="151" spans="1:2" ht="16.5" customHeight="1">
      <c r="A151" s="32"/>
      <c r="B151" s="34" t="s">
        <v>677</v>
      </c>
    </row>
    <row r="152" spans="1:2" ht="16.5" customHeight="1">
      <c r="A152" s="32"/>
      <c r="B152" s="34" t="s">
        <v>678</v>
      </c>
    </row>
    <row r="153" spans="1:2" ht="16.5" customHeight="1">
      <c r="A153" s="32"/>
      <c r="B153" s="34" t="s">
        <v>679</v>
      </c>
    </row>
    <row r="154" spans="1:2" ht="16.5" customHeight="1">
      <c r="A154" s="32"/>
      <c r="B154" s="34" t="s">
        <v>680</v>
      </c>
    </row>
    <row r="155" spans="1:2" ht="16.5" customHeight="1">
      <c r="A155" s="32"/>
      <c r="B155" s="33"/>
    </row>
    <row r="156" spans="1:2" ht="16.5" customHeight="1">
      <c r="A156" s="32"/>
      <c r="B156" s="34" t="s">
        <v>681</v>
      </c>
    </row>
    <row r="157" spans="1:2" ht="16.5" customHeight="1">
      <c r="A157" s="32"/>
      <c r="B157" s="34" t="s">
        <v>682</v>
      </c>
    </row>
    <row r="158" spans="1:2" ht="16.5" customHeight="1">
      <c r="A158" s="32"/>
      <c r="B158" s="34" t="s">
        <v>683</v>
      </c>
    </row>
    <row r="159" spans="1:2" ht="16.5" customHeight="1">
      <c r="A159" s="32"/>
      <c r="B159" s="33"/>
    </row>
    <row r="160" spans="1:2" ht="16.5" customHeight="1">
      <c r="A160" s="32"/>
      <c r="B160" s="34" t="s">
        <v>684</v>
      </c>
    </row>
    <row r="161" spans="1:2" ht="16.5" customHeight="1">
      <c r="A161" s="32"/>
      <c r="B161" s="34" t="s">
        <v>685</v>
      </c>
    </row>
    <row r="162" spans="1:2" ht="16.5" customHeight="1">
      <c r="A162" s="32"/>
      <c r="B162" s="34" t="s">
        <v>686</v>
      </c>
    </row>
    <row r="163" spans="1:2" ht="16.5" customHeight="1">
      <c r="A163" s="32"/>
      <c r="B163" s="34" t="s">
        <v>687</v>
      </c>
    </row>
    <row r="164" spans="1:2" ht="16.5" customHeight="1">
      <c r="A164" s="32"/>
      <c r="B164" s="33"/>
    </row>
    <row r="165" spans="1:2" ht="16.5" customHeight="1">
      <c r="A165" s="32"/>
      <c r="B165" s="34" t="s">
        <v>688</v>
      </c>
    </row>
    <row r="166" spans="1:2" ht="16.5" customHeight="1">
      <c r="A166" s="32"/>
      <c r="B166" s="34" t="s">
        <v>689</v>
      </c>
    </row>
    <row r="167" spans="1:2" ht="16.5" customHeight="1">
      <c r="A167" s="32"/>
      <c r="B167" s="34" t="s">
        <v>690</v>
      </c>
    </row>
    <row r="168" spans="1:2" ht="16.5" customHeight="1">
      <c r="A168" s="32"/>
      <c r="B168" s="34" t="s">
        <v>691</v>
      </c>
    </row>
    <row r="169" spans="1:2" ht="16.5" customHeight="1">
      <c r="A169" s="32"/>
      <c r="B169" s="34" t="s">
        <v>692</v>
      </c>
    </row>
    <row r="170" spans="1:2" ht="16.5" customHeight="1">
      <c r="A170" s="32"/>
      <c r="B170" s="33"/>
    </row>
    <row r="171" spans="1:2" ht="16.5" customHeight="1">
      <c r="A171" s="32"/>
      <c r="B171" s="34" t="s">
        <v>693</v>
      </c>
    </row>
    <row r="172" spans="1:2" ht="16.5" customHeight="1">
      <c r="A172" s="32"/>
      <c r="B172" s="34" t="s">
        <v>694</v>
      </c>
    </row>
    <row r="173" spans="1:2" ht="16.5" customHeight="1">
      <c r="A173" s="32"/>
      <c r="B173" s="34" t="s">
        <v>695</v>
      </c>
    </row>
    <row r="174" spans="1:2" ht="16.5" customHeight="1">
      <c r="A174" s="32"/>
      <c r="B174" s="34" t="s">
        <v>696</v>
      </c>
    </row>
    <row r="175" spans="1:2" ht="16.5" customHeight="1">
      <c r="A175" s="32"/>
      <c r="B175" s="34" t="s">
        <v>697</v>
      </c>
    </row>
    <row r="176" spans="1:2" ht="16.5" customHeight="1">
      <c r="A176" s="32"/>
      <c r="B176" s="34"/>
    </row>
    <row r="177" spans="1:2" ht="16.5" customHeight="1">
      <c r="A177" s="35">
        <v>7</v>
      </c>
      <c r="B177" s="36" t="s">
        <v>698</v>
      </c>
    </row>
    <row r="178" spans="1:2" ht="16.5" customHeight="1">
      <c r="A178" s="32"/>
      <c r="B178" s="34" t="s">
        <v>699</v>
      </c>
    </row>
    <row r="179" spans="1:2" ht="16.5" customHeight="1">
      <c r="A179" s="32"/>
      <c r="B179" s="34" t="s">
        <v>700</v>
      </c>
    </row>
    <row r="180" spans="1:2" ht="16.5" customHeight="1">
      <c r="A180" s="32"/>
      <c r="B180" s="33"/>
    </row>
    <row r="181" spans="1:2" ht="16.5" customHeight="1">
      <c r="A181" s="32"/>
      <c r="B181" s="34" t="s">
        <v>701</v>
      </c>
    </row>
    <row r="182" spans="1:2" ht="16.5" customHeight="1">
      <c r="A182" s="32"/>
      <c r="B182" s="33"/>
    </row>
    <row r="183" spans="1:2" ht="16.5" customHeight="1">
      <c r="A183" s="35">
        <v>8</v>
      </c>
      <c r="B183" s="36" t="s">
        <v>702</v>
      </c>
    </row>
    <row r="184" spans="1:2" ht="16.5" customHeight="1">
      <c r="A184" s="32"/>
      <c r="B184" s="34" t="s">
        <v>703</v>
      </c>
    </row>
    <row r="185" spans="1:2" ht="16.5" customHeight="1">
      <c r="A185" s="32"/>
      <c r="B185" s="34" t="s">
        <v>704</v>
      </c>
    </row>
    <row r="186" spans="1:2" ht="16.5" customHeight="1">
      <c r="A186" s="32"/>
      <c r="B186" s="34" t="s">
        <v>705</v>
      </c>
    </row>
    <row r="187" spans="1:2" ht="16.5" customHeight="1">
      <c r="A187" s="32"/>
      <c r="B187" s="34" t="s">
        <v>706</v>
      </c>
    </row>
    <row r="188" spans="1:2" ht="16.5" customHeight="1">
      <c r="A188" s="32"/>
      <c r="B188" s="33"/>
    </row>
    <row r="189" spans="1:2" ht="16.5" customHeight="1">
      <c r="A189" s="32"/>
      <c r="B189" s="34" t="s">
        <v>707</v>
      </c>
    </row>
    <row r="190" spans="1:2" ht="16.5" customHeight="1">
      <c r="A190" s="32"/>
      <c r="B190" s="34" t="s">
        <v>708</v>
      </c>
    </row>
    <row r="191" spans="1:2" ht="16.5" customHeight="1">
      <c r="A191" s="32"/>
      <c r="B191" s="34" t="s">
        <v>709</v>
      </c>
    </row>
    <row r="192" spans="1:2" ht="16.5" customHeight="1">
      <c r="A192" s="32"/>
      <c r="B192" s="34" t="s">
        <v>710</v>
      </c>
    </row>
    <row r="193" spans="1:2" ht="16.5" customHeight="1">
      <c r="A193" s="32"/>
      <c r="B193" s="34" t="s">
        <v>711</v>
      </c>
    </row>
    <row r="194" spans="1:2" ht="16.5" customHeight="1">
      <c r="A194" s="32"/>
      <c r="B194" s="33"/>
    </row>
    <row r="195" spans="1:2" ht="16.5" customHeight="1">
      <c r="A195" s="32"/>
      <c r="B195" s="34" t="s">
        <v>712</v>
      </c>
    </row>
    <row r="196" spans="1:2" ht="16.5" customHeight="1">
      <c r="A196" s="32"/>
      <c r="B196" s="34" t="s">
        <v>713</v>
      </c>
    </row>
    <row r="197" spans="1:2" ht="16.5" customHeight="1">
      <c r="A197" s="32"/>
      <c r="B197" s="33" t="s">
        <v>714</v>
      </c>
    </row>
    <row r="198" spans="1:2" s="164" customFormat="1" ht="16.5" customHeight="1">
      <c r="A198" s="32"/>
      <c r="B198" s="34" t="s">
        <v>715</v>
      </c>
    </row>
    <row r="199" spans="1:2" ht="16.5" customHeight="1">
      <c r="A199" s="32"/>
      <c r="B199" s="34"/>
    </row>
    <row r="200" spans="1:2" ht="16.5" customHeight="1">
      <c r="A200" s="35">
        <v>9</v>
      </c>
      <c r="B200" s="36" t="s">
        <v>716</v>
      </c>
    </row>
    <row r="201" spans="1:2" ht="16.5" customHeight="1">
      <c r="A201" s="32"/>
      <c r="B201" s="34" t="s">
        <v>717</v>
      </c>
    </row>
    <row r="202" spans="1:2" ht="16.5" customHeight="1">
      <c r="A202" s="32"/>
      <c r="B202" s="34"/>
    </row>
    <row r="203" spans="1:2" ht="16.5" customHeight="1">
      <c r="A203" s="32"/>
      <c r="B203" s="40" t="s">
        <v>718</v>
      </c>
    </row>
    <row r="204" spans="1:2" ht="16.5" customHeight="1">
      <c r="A204" s="32"/>
      <c r="B204" s="40" t="s">
        <v>719</v>
      </c>
    </row>
    <row r="205" spans="1:2" ht="16.5" customHeight="1">
      <c r="A205" s="32"/>
      <c r="B205" s="40" t="s">
        <v>720</v>
      </c>
    </row>
    <row r="206" spans="1:2" ht="16.5" customHeight="1">
      <c r="A206" s="32"/>
      <c r="B206" s="40" t="s">
        <v>721</v>
      </c>
    </row>
    <row r="207" spans="1:2" ht="16.5" customHeight="1">
      <c r="A207" s="32"/>
      <c r="B207" s="40"/>
    </row>
    <row r="208" spans="1:2" ht="16.5" customHeight="1">
      <c r="A208" s="32"/>
      <c r="B208" s="34" t="s">
        <v>722</v>
      </c>
    </row>
    <row r="209" spans="1:2" ht="16.5" customHeight="1">
      <c r="A209" s="32"/>
      <c r="B209" s="33"/>
    </row>
    <row r="210" spans="1:2" ht="16.5" customHeight="1">
      <c r="A210" s="32"/>
      <c r="B210" s="34" t="s">
        <v>723</v>
      </c>
    </row>
    <row r="211" spans="1:2" ht="16.5" customHeight="1">
      <c r="A211" s="32"/>
      <c r="B211" s="34" t="s">
        <v>724</v>
      </c>
    </row>
    <row r="212" spans="1:2" ht="16.5" customHeight="1">
      <c r="A212" s="32"/>
      <c r="B212" s="34" t="s">
        <v>725</v>
      </c>
    </row>
    <row r="213" spans="1:2" ht="16.5" customHeight="1">
      <c r="A213" s="32"/>
      <c r="B213" s="34" t="s">
        <v>726</v>
      </c>
    </row>
    <row r="214" spans="1:2" ht="16.5" customHeight="1">
      <c r="A214" s="32"/>
      <c r="B214" s="33"/>
    </row>
    <row r="215" spans="1:2" ht="16.5" customHeight="1">
      <c r="A215" s="32"/>
      <c r="B215" s="34" t="s">
        <v>727</v>
      </c>
    </row>
    <row r="216" spans="1:2" ht="16.5" customHeight="1">
      <c r="A216" s="32"/>
      <c r="B216" s="34" t="s">
        <v>728</v>
      </c>
    </row>
    <row r="217" spans="1:2" ht="16.5" customHeight="1">
      <c r="A217" s="32"/>
      <c r="B217" s="34" t="s">
        <v>729</v>
      </c>
    </row>
    <row r="218" spans="1:2" ht="16.5" customHeight="1">
      <c r="A218" s="32"/>
      <c r="B218" s="34" t="s">
        <v>730</v>
      </c>
    </row>
    <row r="219" spans="1:2" ht="16.5" customHeight="1">
      <c r="A219" s="32"/>
      <c r="B219" s="33"/>
    </row>
    <row r="220" spans="1:2" ht="16.5" customHeight="1">
      <c r="A220" s="32"/>
      <c r="B220" s="34" t="s">
        <v>731</v>
      </c>
    </row>
    <row r="221" spans="1:2" s="163" customFormat="1" ht="16.5" customHeight="1">
      <c r="A221" s="32"/>
      <c r="B221" s="34" t="s">
        <v>732</v>
      </c>
    </row>
    <row r="222" spans="1:2" ht="16.5" customHeight="1">
      <c r="A222" s="32"/>
      <c r="B222" s="33"/>
    </row>
    <row r="223" spans="1:2" ht="16.5" customHeight="1">
      <c r="A223" s="33"/>
      <c r="B223" s="34" t="s">
        <v>733</v>
      </c>
    </row>
    <row r="224" spans="1:2" ht="16.5" customHeight="1">
      <c r="A224" s="33"/>
      <c r="B224" s="34" t="s">
        <v>734</v>
      </c>
    </row>
    <row r="225" spans="1:2" ht="16.5" customHeight="1">
      <c r="A225" s="33"/>
      <c r="B225" s="34" t="s">
        <v>735</v>
      </c>
    </row>
    <row r="226" spans="1:2" ht="16.5" customHeight="1">
      <c r="A226" s="32"/>
      <c r="B226" s="34" t="s">
        <v>736</v>
      </c>
    </row>
    <row r="227" spans="1:2" ht="16.5" customHeight="1">
      <c r="A227" s="32"/>
      <c r="B227" s="34" t="s">
        <v>737</v>
      </c>
    </row>
    <row r="228" spans="1:2" ht="16.5" customHeight="1">
      <c r="A228" s="33"/>
      <c r="B228" s="34" t="s">
        <v>738</v>
      </c>
    </row>
    <row r="229" spans="1:2" ht="16.5" customHeight="1">
      <c r="A229" s="33"/>
      <c r="B229" s="33"/>
    </row>
    <row r="230" spans="1:2" ht="16.5" customHeight="1">
      <c r="A230" s="35">
        <v>10</v>
      </c>
      <c r="B230" s="36" t="s">
        <v>739</v>
      </c>
    </row>
    <row r="231" spans="1:2" ht="16.5" customHeight="1">
      <c r="A231" s="32"/>
      <c r="B231" s="34" t="s">
        <v>740</v>
      </c>
    </row>
    <row r="232" spans="1:2" ht="16.5" customHeight="1">
      <c r="A232" s="32"/>
      <c r="B232" s="33"/>
    </row>
    <row r="233" spans="1:2" ht="16.5" customHeight="1">
      <c r="A233" s="32"/>
      <c r="B233" s="34" t="s">
        <v>722</v>
      </c>
    </row>
    <row r="234" spans="1:2" ht="16.5" customHeight="1">
      <c r="A234" s="32"/>
      <c r="B234" s="33"/>
    </row>
    <row r="235" spans="1:2" ht="16.5" customHeight="1">
      <c r="A235" s="32"/>
      <c r="B235" s="34" t="s">
        <v>741</v>
      </c>
    </row>
    <row r="236" spans="1:2" ht="16.5" customHeight="1">
      <c r="A236" s="32"/>
      <c r="B236" s="34" t="s">
        <v>742</v>
      </c>
    </row>
    <row r="237" spans="1:2" ht="16.5" customHeight="1">
      <c r="A237" s="32"/>
      <c r="B237" s="34" t="s">
        <v>743</v>
      </c>
    </row>
    <row r="238" spans="1:2" ht="16.5" customHeight="1">
      <c r="A238" s="32"/>
      <c r="B238" s="34" t="s">
        <v>744</v>
      </c>
    </row>
    <row r="239" spans="1:2" ht="16.5" customHeight="1">
      <c r="A239" s="32"/>
      <c r="B239" s="33"/>
    </row>
    <row r="240" spans="1:2" ht="16.5" customHeight="1">
      <c r="A240" s="32"/>
      <c r="B240" s="34" t="s">
        <v>731</v>
      </c>
    </row>
    <row r="241" spans="1:2" s="163" customFormat="1" ht="16.5" customHeight="1">
      <c r="A241" s="32"/>
      <c r="B241" s="34" t="s">
        <v>745</v>
      </c>
    </row>
    <row r="242" spans="1:2" ht="16.5" customHeight="1">
      <c r="A242" s="32"/>
      <c r="B242" s="33"/>
    </row>
    <row r="243" spans="1:2" ht="16.5" customHeight="1">
      <c r="A243" s="32"/>
      <c r="B243" s="34" t="s">
        <v>746</v>
      </c>
    </row>
    <row r="244" spans="1:2" ht="16.5" customHeight="1">
      <c r="A244" s="33"/>
      <c r="B244" s="34" t="s">
        <v>747</v>
      </c>
    </row>
    <row r="245" spans="1:2" ht="16.5" customHeight="1">
      <c r="A245" s="33"/>
      <c r="B245" s="34" t="s">
        <v>748</v>
      </c>
    </row>
    <row r="246" spans="1:2" ht="16.5" customHeight="1">
      <c r="A246" s="32"/>
      <c r="B246" s="34" t="s">
        <v>736</v>
      </c>
    </row>
    <row r="247" spans="1:2" ht="16.5" customHeight="1">
      <c r="A247" s="32"/>
      <c r="B247" s="34" t="s">
        <v>737</v>
      </c>
    </row>
    <row r="248" spans="1:2" ht="16.5" customHeight="1">
      <c r="A248" s="33"/>
      <c r="B248" s="34" t="s">
        <v>749</v>
      </c>
    </row>
    <row r="249" spans="1:2" ht="16.5" customHeight="1">
      <c r="A249" s="32"/>
      <c r="B249" s="33"/>
    </row>
    <row r="250" spans="1:2" ht="16.5" customHeight="1">
      <c r="A250" s="35">
        <v>11</v>
      </c>
      <c r="B250" s="36" t="s">
        <v>750</v>
      </c>
    </row>
    <row r="251" spans="1:2" ht="16.5" customHeight="1">
      <c r="A251" s="32"/>
      <c r="B251" s="34" t="s">
        <v>751</v>
      </c>
    </row>
    <row r="252" spans="1:2" ht="16.5" customHeight="1">
      <c r="A252" s="32"/>
      <c r="B252" s="33"/>
    </row>
    <row r="253" spans="1:2" ht="16.5" customHeight="1">
      <c r="A253" s="32"/>
      <c r="B253" s="34" t="s">
        <v>752</v>
      </c>
    </row>
    <row r="254" spans="1:2" ht="16.5" customHeight="1">
      <c r="A254" s="32"/>
      <c r="B254" s="34" t="s">
        <v>753</v>
      </c>
    </row>
    <row r="255" spans="1:2" ht="16.5" customHeight="1">
      <c r="A255" s="32"/>
      <c r="B255" s="34" t="s">
        <v>754</v>
      </c>
    </row>
    <row r="256" spans="1:2" ht="16.5" customHeight="1">
      <c r="A256" s="32"/>
      <c r="B256" s="34" t="s">
        <v>755</v>
      </c>
    </row>
    <row r="257" spans="1:2" ht="16.5" customHeight="1">
      <c r="A257" s="32"/>
      <c r="B257" s="34" t="s">
        <v>756</v>
      </c>
    </row>
    <row r="258" spans="1:2" ht="16.5" customHeight="1">
      <c r="A258" s="32"/>
      <c r="B258" s="33"/>
    </row>
    <row r="259" spans="1:2" ht="16.5" customHeight="1">
      <c r="A259" s="32"/>
      <c r="B259" s="34" t="s">
        <v>757</v>
      </c>
    </row>
    <row r="260" spans="1:2" ht="16.5" customHeight="1">
      <c r="A260" s="32"/>
      <c r="B260" s="34" t="s">
        <v>758</v>
      </c>
    </row>
    <row r="261" spans="1:2" ht="16.5" customHeight="1">
      <c r="A261" s="32"/>
      <c r="B261" s="33"/>
    </row>
    <row r="262" spans="1:2" ht="16.5" customHeight="1">
      <c r="A262" s="32"/>
      <c r="B262" s="34" t="s">
        <v>759</v>
      </c>
    </row>
    <row r="263" spans="1:2" ht="16.5" customHeight="1">
      <c r="A263" s="32"/>
      <c r="B263" s="34" t="s">
        <v>760</v>
      </c>
    </row>
    <row r="264" spans="1:2" ht="16.5" customHeight="1">
      <c r="A264" s="32"/>
      <c r="B264" s="34" t="s">
        <v>761</v>
      </c>
    </row>
    <row r="265" spans="1:2" ht="16.5" customHeight="1">
      <c r="A265" s="32"/>
      <c r="B265" s="34" t="s">
        <v>762</v>
      </c>
    </row>
    <row r="266" spans="1:2" ht="16.5" customHeight="1">
      <c r="A266" s="33"/>
      <c r="B266" s="34" t="s">
        <v>763</v>
      </c>
    </row>
    <row r="267" spans="1:2" ht="16.5" customHeight="1">
      <c r="A267" s="32"/>
      <c r="B267" s="33"/>
    </row>
    <row r="268" spans="1:2" ht="16.5" customHeight="1">
      <c r="A268" s="32"/>
      <c r="B268" s="34" t="s">
        <v>764</v>
      </c>
    </row>
    <row r="269" spans="1:2" ht="16.5" customHeight="1">
      <c r="A269" s="32"/>
      <c r="B269" s="167" t="s">
        <v>765</v>
      </c>
    </row>
    <row r="270" spans="1:2" ht="16.5" customHeight="1">
      <c r="A270" s="32"/>
      <c r="B270" s="33"/>
    </row>
    <row r="271" spans="1:2" ht="16.5" customHeight="1">
      <c r="A271" s="35">
        <v>12</v>
      </c>
      <c r="B271" s="36" t="s">
        <v>766</v>
      </c>
    </row>
    <row r="272" spans="1:2" ht="16.5" customHeight="1">
      <c r="A272" s="32"/>
      <c r="B272" s="34" t="s">
        <v>767</v>
      </c>
    </row>
    <row r="273" spans="1:2" ht="16.5" customHeight="1">
      <c r="A273" s="32"/>
      <c r="B273" s="34" t="s">
        <v>768</v>
      </c>
    </row>
    <row r="274" spans="1:2" ht="16.5" customHeight="1">
      <c r="A274" s="32"/>
      <c r="B274" s="33"/>
    </row>
    <row r="275" spans="1:2" ht="16.5" customHeight="1">
      <c r="A275" s="32"/>
      <c r="B275" s="34" t="s">
        <v>769</v>
      </c>
    </row>
    <row r="276" spans="1:2" ht="16.5" customHeight="1">
      <c r="A276" s="32"/>
      <c r="B276" s="34" t="s">
        <v>770</v>
      </c>
    </row>
    <row r="277" spans="1:2" ht="16.5" customHeight="1">
      <c r="A277" s="32"/>
      <c r="B277" s="34" t="s">
        <v>771</v>
      </c>
    </row>
    <row r="278" spans="1:2" ht="16.5" customHeight="1">
      <c r="A278" s="32"/>
      <c r="B278" s="34" t="s">
        <v>772</v>
      </c>
    </row>
    <row r="279" spans="1:2" ht="16.5" customHeight="1">
      <c r="A279" s="32"/>
      <c r="B279" s="34" t="s">
        <v>773</v>
      </c>
    </row>
    <row r="280" spans="1:2" ht="16.5" customHeight="1">
      <c r="A280" s="32"/>
      <c r="B280" s="33"/>
    </row>
    <row r="281" spans="1:2" ht="16.5" customHeight="1">
      <c r="A281" s="32"/>
      <c r="B281" s="34" t="s">
        <v>774</v>
      </c>
    </row>
    <row r="282" spans="1:2" ht="16.5" customHeight="1">
      <c r="A282" s="32"/>
      <c r="B282" s="34" t="s">
        <v>775</v>
      </c>
    </row>
    <row r="283" spans="1:2" ht="16.5" customHeight="1">
      <c r="A283" s="32"/>
      <c r="B283" s="33"/>
    </row>
    <row r="284" spans="1:2" ht="16.5" customHeight="1">
      <c r="A284" s="35">
        <v>13</v>
      </c>
      <c r="B284" s="36" t="s">
        <v>776</v>
      </c>
    </row>
    <row r="285" spans="1:2" ht="16.5" customHeight="1">
      <c r="A285" s="32"/>
      <c r="B285" s="34" t="s">
        <v>777</v>
      </c>
    </row>
    <row r="286" spans="1:2" ht="16.5" customHeight="1">
      <c r="A286" s="32"/>
      <c r="B286" s="33"/>
    </row>
    <row r="287" spans="1:2" ht="16.5" customHeight="1">
      <c r="A287" s="32"/>
      <c r="B287" s="34" t="s">
        <v>778</v>
      </c>
    </row>
    <row r="288" spans="1:2" ht="16.5" customHeight="1">
      <c r="A288" s="32"/>
      <c r="B288" s="34" t="s">
        <v>779</v>
      </c>
    </row>
    <row r="289" spans="1:2" ht="16.5" customHeight="1">
      <c r="A289" s="32"/>
      <c r="B289" s="34"/>
    </row>
    <row r="290" spans="1:2" ht="16.5" customHeight="1">
      <c r="A290" s="32"/>
      <c r="B290" s="34" t="s">
        <v>780</v>
      </c>
    </row>
    <row r="291" spans="1:2" ht="16.5" customHeight="1">
      <c r="A291" s="32"/>
      <c r="B291" s="34" t="s">
        <v>781</v>
      </c>
    </row>
    <row r="292" spans="1:2" ht="16.5" customHeight="1">
      <c r="A292" s="32"/>
      <c r="B292" s="34" t="s">
        <v>782</v>
      </c>
    </row>
    <row r="293" spans="1:2" ht="16.5" customHeight="1">
      <c r="A293" s="32"/>
      <c r="B293" s="34" t="s">
        <v>783</v>
      </c>
    </row>
    <row r="294" spans="1:2" ht="16.5" customHeight="1">
      <c r="A294" s="32"/>
      <c r="B294" s="34" t="s">
        <v>784</v>
      </c>
    </row>
    <row r="295" spans="1:2" ht="16.5" customHeight="1">
      <c r="A295" s="32"/>
      <c r="B295" s="33"/>
    </row>
    <row r="296" spans="1:2" ht="16.5" customHeight="1">
      <c r="A296" s="32"/>
      <c r="B296" s="34" t="s">
        <v>785</v>
      </c>
    </row>
    <row r="297" spans="1:2" ht="16.5" customHeight="1">
      <c r="A297" s="32"/>
      <c r="B297" s="34" t="s">
        <v>786</v>
      </c>
    </row>
    <row r="298" spans="1:2" ht="16.5" customHeight="1">
      <c r="A298" s="32"/>
      <c r="B298" s="34"/>
    </row>
    <row r="299" spans="1:2" ht="16.5" customHeight="1">
      <c r="A299" s="32"/>
      <c r="B299" s="34" t="s">
        <v>787</v>
      </c>
    </row>
    <row r="300" spans="1:2" ht="16.5" customHeight="1">
      <c r="A300" s="32"/>
      <c r="B300" s="34" t="s">
        <v>788</v>
      </c>
    </row>
    <row r="301" spans="1:2" ht="16.5" customHeight="1">
      <c r="A301" s="32"/>
      <c r="B301" s="34" t="s">
        <v>789</v>
      </c>
    </row>
    <row r="302" spans="1:2" ht="16.5" customHeight="1">
      <c r="A302" s="32"/>
      <c r="B302" s="34" t="s">
        <v>790</v>
      </c>
    </row>
    <row r="303" spans="1:2" ht="16.5" customHeight="1">
      <c r="A303" s="32"/>
      <c r="B303" s="34" t="s">
        <v>791</v>
      </c>
    </row>
    <row r="304" spans="1:2" ht="16.5" customHeight="1">
      <c r="A304" s="32"/>
      <c r="B304" s="34" t="s">
        <v>792</v>
      </c>
    </row>
    <row r="305" spans="1:2" ht="16.5" customHeight="1">
      <c r="A305" s="32"/>
      <c r="B305" s="34" t="s">
        <v>793</v>
      </c>
    </row>
    <row r="306" spans="1:2" ht="16.5" customHeight="1">
      <c r="A306" s="32"/>
      <c r="B306" s="34" t="s">
        <v>794</v>
      </c>
    </row>
    <row r="307" spans="1:2" ht="16.5" customHeight="1">
      <c r="A307" s="32"/>
      <c r="B307" s="34" t="s">
        <v>795</v>
      </c>
    </row>
    <row r="308" spans="1:2" ht="16.5" customHeight="1">
      <c r="A308" s="32"/>
      <c r="B308" s="34" t="s">
        <v>796</v>
      </c>
    </row>
    <row r="309" spans="1:2" ht="16.5" customHeight="1">
      <c r="A309" s="32"/>
      <c r="B309" s="33"/>
    </row>
    <row r="310" spans="1:2" ht="16.5" customHeight="1">
      <c r="A310" s="39"/>
      <c r="B310" s="41"/>
    </row>
    <row r="311" spans="1:2" ht="16.5" customHeight="1">
      <c r="A311" s="166"/>
      <c r="B311" s="166"/>
    </row>
    <row r="312" spans="1:2" ht="16.5" customHeight="1">
      <c r="A312" s="166"/>
      <c r="B312" s="166"/>
    </row>
    <row r="313" spans="1:2" ht="16.5" customHeight="1">
      <c r="A313" s="166"/>
      <c r="B313" s="166"/>
    </row>
    <row r="314" spans="1:2" ht="16.5" customHeight="1">
      <c r="A314" s="166"/>
      <c r="B314" s="166"/>
    </row>
  </sheetData>
  <conditionalFormatting sqref="A59">
    <cfRule type="expression" dxfId="0" priority="1">
      <formula>LEN(TRIM(A59))&gt;0</formula>
    </cfRule>
  </conditionalFormatting>
  <hyperlinks>
    <hyperlink ref="B3" r:id="rId1" xr:uid="{00000000-0004-0000-0900-000000000000}"/>
  </hyperlink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2D5C-6B0D-40CB-90CF-2A0213A6AF83}">
  <sheetPr>
    <pageSetUpPr fitToPage="1"/>
  </sheetPr>
  <dimension ref="A1:Q90"/>
  <sheetViews>
    <sheetView workbookViewId="0">
      <pane ySplit="2" topLeftCell="A3" activePane="bottomLeft" state="frozen"/>
      <selection pane="bottomLeft"/>
    </sheetView>
  </sheetViews>
  <sheetFormatPr defaultColWidth="14.42578125" defaultRowHeight="16.5" customHeight="1"/>
  <cols>
    <col min="1" max="1" width="12.140625" style="84" customWidth="1"/>
    <col min="2" max="2" width="5.28515625" style="84" customWidth="1"/>
    <col min="3" max="3" width="7" style="84" customWidth="1"/>
    <col min="4" max="5" width="12.140625" style="84" customWidth="1"/>
    <col min="6" max="6" width="17" style="84" customWidth="1"/>
    <col min="7" max="7" width="5.28515625" style="84" customWidth="1"/>
    <col min="8" max="9" width="7" style="84" customWidth="1"/>
    <col min="10" max="10" width="3.5703125" style="84" customWidth="1"/>
    <col min="11" max="11" width="24.140625" style="84" customWidth="1"/>
    <col min="12" max="13" width="12.140625" style="84" customWidth="1"/>
    <col min="14" max="15" width="1.85546875" style="84" customWidth="1"/>
    <col min="16" max="17" width="24.140625" style="84" customWidth="1"/>
    <col min="18" max="16384" width="14.42578125" style="84"/>
  </cols>
  <sheetData>
    <row r="1" spans="1:17" ht="16.5" customHeight="1">
      <c r="A1" s="86" t="s">
        <v>0</v>
      </c>
      <c r="B1" s="87" t="s">
        <v>1</v>
      </c>
      <c r="C1" s="87" t="s">
        <v>2</v>
      </c>
      <c r="D1" s="88" t="str">
        <f>IF((D$90&lt;E$90),E$90-D$90,"借方金額")</f>
        <v>借方金額</v>
      </c>
      <c r="E1" s="88" t="str">
        <f>IF((E$90&lt;D$90),D$90-E$90,"貸方金額")</f>
        <v>貸方金額</v>
      </c>
      <c r="F1" s="1" t="s">
        <v>3</v>
      </c>
      <c r="G1" s="87" t="s">
        <v>4</v>
      </c>
      <c r="H1" s="88" t="s">
        <v>5</v>
      </c>
      <c r="I1" s="88" t="s">
        <v>6</v>
      </c>
      <c r="J1" s="89">
        <f>IF(OR(COUNTIF(J$2:J$89,-1),集計!F81=-1),-1,)</f>
        <v>0</v>
      </c>
      <c r="K1" s="1" t="s">
        <v>7</v>
      </c>
      <c r="L1" s="91" t="s">
        <v>8</v>
      </c>
      <c r="M1" s="92" t="s">
        <v>9</v>
      </c>
      <c r="N1" s="93"/>
      <c r="O1" s="94" t="s">
        <v>10</v>
      </c>
      <c r="P1" s="126" t="s">
        <v>11</v>
      </c>
      <c r="Q1" s="1" t="s">
        <v>12</v>
      </c>
    </row>
    <row r="2" spans="1:17" ht="16.5" hidden="1" customHeight="1">
      <c r="A2" s="96"/>
      <c r="B2" s="97"/>
      <c r="C2" s="97"/>
      <c r="D2" s="27"/>
      <c r="E2" s="27"/>
      <c r="F2" s="2"/>
      <c r="G2" s="25"/>
      <c r="H2" s="140"/>
      <c r="I2" s="140"/>
      <c r="J2" s="127"/>
      <c r="K2" s="2"/>
      <c r="L2" s="100"/>
      <c r="M2" s="101"/>
      <c r="N2" s="137"/>
      <c r="O2" s="104"/>
      <c r="P2" s="128"/>
      <c r="Q2" s="2"/>
    </row>
    <row r="3" spans="1:17" ht="16.5" customHeight="1">
      <c r="A3" s="3">
        <v>43831</v>
      </c>
      <c r="B3" s="4"/>
      <c r="C3" s="5">
        <v>1.1000000000000001</v>
      </c>
      <c r="D3" s="6">
        <v>2000000</v>
      </c>
      <c r="E3" s="7"/>
      <c r="F3" s="193" t="s">
        <v>10</v>
      </c>
      <c r="G3" s="5"/>
      <c r="H3" s="141"/>
      <c r="I3" s="141"/>
      <c r="J3" s="106">
        <f>IF(診断,-1,IF(SUMIF(N$2:N$89,N3,貸方)=SUMIF(N$2:N$89,N3,借方),IF(COUNTIF(F3,O$1),C3,),-1))</f>
        <v>1.1000000000000001</v>
      </c>
      <c r="K3" s="129" t="str">
        <f>IF(ISBLANK(C3),"",VLOOKUP(C3,科目設定,2,0))</f>
        <v>普通預金 ゆうちょ銀行</v>
      </c>
      <c r="L3" s="21">
        <f>IF(ISBLANK(C3),"",IF(VLOOKUP(C3,科目設定,9,0)="借方",SUMIF(C$2:C3,C3,借方)-SUMIF(C$2:C3,C3,貸方),""))</f>
        <v>2000000</v>
      </c>
      <c r="M3" s="108" t="str">
        <f>IF(ISBLANK(C3),"",IF(VLOOKUP(C3,科目設定,9,0)="貸方",SUMIF(C$2:C3,C3,貸方)-SUMIF(C$2:C3,C3,借方),""))</f>
        <v/>
      </c>
      <c r="N3" s="138">
        <f t="shared" ref="N3:N88" si="0">256*INT(A3)+B3</f>
        <v>11220736</v>
      </c>
      <c r="O3" s="139">
        <f t="shared" ref="O3:O88" si="1">IF(ISBLANK(D3),N3,-N3)</f>
        <v>-11220736</v>
      </c>
      <c r="P3" s="130" t="str">
        <f>IF(ISBLANK(C3),"",IF(C3=J3,"前期繰越",IF(COUNTIF(O$2:O$89,-O3)=1,VLOOKUP(INDEX(科目,MATCH(-O3,O$2:O$89,0),1),科目設定,2,0),"諸口")))</f>
        <v>前期繰越</v>
      </c>
      <c r="Q3" s="131" t="str">
        <f>IF(ISBLANK(G3),"",VLOOKUP(G3,品番設定,2,0))</f>
        <v/>
      </c>
    </row>
    <row r="4" spans="1:17" ht="16.5" customHeight="1">
      <c r="A4" s="3">
        <v>43836</v>
      </c>
      <c r="B4" s="5"/>
      <c r="C4" s="5">
        <v>1.1000000000000001</v>
      </c>
      <c r="D4" s="7"/>
      <c r="E4" s="6">
        <v>23287</v>
      </c>
      <c r="F4" s="9"/>
      <c r="G4" s="5"/>
      <c r="H4" s="141"/>
      <c r="I4" s="141"/>
      <c r="J4" s="106">
        <f>IF(診断,-1,IF(SUMIF(N$2:N$89,N4,貸方)=SUMIF(N$2:N$89,N4,借方),IF(COUNTIF(F4,O$1),C4,),-1))</f>
        <v>0</v>
      </c>
      <c r="K4" s="129" t="str">
        <f>IF(ISBLANK(C4),"",VLOOKUP(C4,科目設定,2,0))</f>
        <v>普通預金 ゆうちょ銀行</v>
      </c>
      <c r="L4" s="21">
        <f>IF(ISBLANK(C4),"",IF(VLOOKUP(C4,科目設定,9,0)="借方",SUMIF(C$2:C4,C4,借方)-SUMIF(C$2:C4,C4,貸方),""))</f>
        <v>1976713</v>
      </c>
      <c r="M4" s="108" t="str">
        <f>IF(ISBLANK(C4),"",IF(VLOOKUP(C4,科目設定,9,0)="貸方",SUMIF(C$2:C4,C4,貸方)-SUMIF(C$2:C4,C4,借方),""))</f>
        <v/>
      </c>
      <c r="N4" s="138">
        <f t="shared" si="0"/>
        <v>11222016</v>
      </c>
      <c r="O4" s="139">
        <f t="shared" si="1"/>
        <v>11222016</v>
      </c>
      <c r="P4" s="130" t="str">
        <f>IF(ISBLANK(C4),"",IF(C4=J4,"前期繰越",IF(COUNTIF(O$2:O$89,-O4)=1,VLOOKUP(INDEX(科目,MATCH(-O4,O$2:O$89,0),1),科目設定,2,0),"諸口")))</f>
        <v>諸口</v>
      </c>
      <c r="Q4" s="131" t="str">
        <f>IF(ISBLANK(G4),"",VLOOKUP(G4,品番設定,2,0))</f>
        <v/>
      </c>
    </row>
    <row r="5" spans="1:17" ht="16.5" customHeight="1">
      <c r="A5" s="3">
        <v>43861</v>
      </c>
      <c r="B5" s="4"/>
      <c r="C5" s="5">
        <v>1.1000000000000001</v>
      </c>
      <c r="D5" s="7"/>
      <c r="E5" s="6">
        <v>23287</v>
      </c>
      <c r="F5" s="9"/>
      <c r="G5" s="5"/>
      <c r="H5" s="141"/>
      <c r="I5" s="141"/>
      <c r="J5" s="106">
        <f>IF(診断,-1,IF(SUMIF(N$2:N$89,N5,貸方)=SUMIF(N$2:N$89,N5,借方),IF(COUNTIF(F5,O$1),C5,),-1))</f>
        <v>0</v>
      </c>
      <c r="K5" s="129" t="str">
        <f>IF(ISBLANK(C5),"",VLOOKUP(C5,科目設定,2,0))</f>
        <v>普通預金 ゆうちょ銀行</v>
      </c>
      <c r="L5" s="21">
        <f>IF(ISBLANK(C5),"",IF(VLOOKUP(C5,科目設定,9,0)="借方",SUMIF(C$2:C5,C5,借方)-SUMIF(C$2:C5,C5,貸方),""))</f>
        <v>1953426</v>
      </c>
      <c r="M5" s="108" t="str">
        <f>IF(ISBLANK(C5),"",IF(VLOOKUP(C5,科目設定,9,0)="貸方",SUMIF(C$2:C5,C5,貸方)-SUMIF(C$2:C5,C5,借方),""))</f>
        <v/>
      </c>
      <c r="N5" s="138">
        <f t="shared" si="0"/>
        <v>11228416</v>
      </c>
      <c r="O5" s="139">
        <f t="shared" si="1"/>
        <v>11228416</v>
      </c>
      <c r="P5" s="130" t="str">
        <f>IF(ISBLANK(C5),"",IF(C5=J5,"前期繰越",IF(COUNTIF(O$2:O$89,-O5)=1,VLOOKUP(INDEX(科目,MATCH(-O5,O$2:O$89,0),1),科目設定,2,0),"諸口")))</f>
        <v>諸口</v>
      </c>
      <c r="Q5" s="131" t="str">
        <f>IF(ISBLANK(G5),"",VLOOKUP(G5,品番設定,2,0))</f>
        <v/>
      </c>
    </row>
    <row r="6" spans="1:17" ht="16.5" customHeight="1">
      <c r="A6" s="3">
        <v>43880</v>
      </c>
      <c r="B6" s="5">
        <v>1</v>
      </c>
      <c r="C6" s="5">
        <v>1.1000000000000001</v>
      </c>
      <c r="D6" s="7">
        <v>400000</v>
      </c>
      <c r="E6" s="6"/>
      <c r="F6" s="9"/>
      <c r="G6" s="5"/>
      <c r="H6" s="141"/>
      <c r="I6" s="141" t="s">
        <v>13</v>
      </c>
      <c r="J6" s="106">
        <f>IF(診断,-1,IF(SUMIF(N$2:N$89,N6,貸方)=SUMIF(N$2:N$89,N6,借方),IF(COUNTIF(F6,O$1),C6,),-1))</f>
        <v>0</v>
      </c>
      <c r="K6" s="129" t="str">
        <f>IF(ISBLANK(C6),"",VLOOKUP(C6,科目設定,2,0))</f>
        <v>普通預金 ゆうちょ銀行</v>
      </c>
      <c r="L6" s="21">
        <f>IF(ISBLANK(C6),"",IF(VLOOKUP(C6,科目設定,9,0)="借方",SUMIF(C$2:C6,C6,借方)-SUMIF(C$2:C6,C6,貸方),""))</f>
        <v>2353426</v>
      </c>
      <c r="M6" s="108" t="str">
        <f>IF(ISBLANK(C6),"",IF(VLOOKUP(C6,科目設定,9,0)="貸方",SUMIF(C$2:C6,C6,貸方)-SUMIF(C$2:C6,C6,借方),""))</f>
        <v/>
      </c>
      <c r="N6" s="138">
        <f t="shared" si="0"/>
        <v>11233281</v>
      </c>
      <c r="O6" s="139">
        <f t="shared" si="1"/>
        <v>-11233281</v>
      </c>
      <c r="P6" s="130" t="str">
        <f>IF(ISBLANK(C6),"",IF(C6=J6,"前期繰越",IF(COUNTIF(O$2:O$89,-O6)=1,VLOOKUP(INDEX(科目,MATCH(-O6,O$2:O$89,0),1),科目設定,2,0),"諸口")))</f>
        <v>役員からの短期借入金 1</v>
      </c>
      <c r="Q6" s="131" t="str">
        <f>IF(ISBLANK(G6),"",VLOOKUP(G6,品番設定,2,0))</f>
        <v/>
      </c>
    </row>
    <row r="7" spans="1:17" ht="16.5" customHeight="1">
      <c r="A7" s="3">
        <v>43880</v>
      </c>
      <c r="B7" s="5">
        <v>2</v>
      </c>
      <c r="C7" s="5">
        <v>1.1000000000000001</v>
      </c>
      <c r="D7" s="7"/>
      <c r="E7" s="6">
        <v>82000</v>
      </c>
      <c r="F7" s="9"/>
      <c r="G7" s="5"/>
      <c r="H7" s="141"/>
      <c r="I7" s="141"/>
      <c r="J7" s="106">
        <f>IF(診断,-1,IF(SUMIF(N$2:N$89,N7,貸方)=SUMIF(N$2:N$89,N7,借方),IF(COUNTIF(F7,O$1),C7,),-1))</f>
        <v>0</v>
      </c>
      <c r="K7" s="129" t="str">
        <f>IF(ISBLANK(C7),"",VLOOKUP(C7,科目設定,2,0))</f>
        <v>普通預金 ゆうちょ銀行</v>
      </c>
      <c r="L7" s="21">
        <f>IF(ISBLANK(C7),"",IF(VLOOKUP(C7,科目設定,9,0)="借方",SUMIF(C$2:C7,C7,借方)-SUMIF(C$2:C7,C7,貸方),""))</f>
        <v>2271426</v>
      </c>
      <c r="M7" s="108" t="str">
        <f>IF(ISBLANK(C7),"",IF(VLOOKUP(C7,科目設定,9,0)="貸方",SUMIF(C$2:C7,C7,貸方)-SUMIF(C$2:C7,C7,借方),""))</f>
        <v/>
      </c>
      <c r="N7" s="138">
        <f t="shared" si="0"/>
        <v>11233282</v>
      </c>
      <c r="O7" s="139">
        <f t="shared" si="1"/>
        <v>11233282</v>
      </c>
      <c r="P7" s="130" t="str">
        <f>IF(ISBLANK(C7),"",IF(C7=J7,"前期繰越",IF(COUNTIF(O$2:O$89,-O7)=1,VLOOKUP(INDEX(科目,MATCH(-O7,O$2:O$89,0),1),科目設定,2,0),"諸口")))</f>
        <v>諸口</v>
      </c>
      <c r="Q7" s="131" t="str">
        <f>IF(ISBLANK(G7),"",VLOOKUP(G7,品番設定,2,0))</f>
        <v/>
      </c>
    </row>
    <row r="8" spans="1:17" ht="16.5" customHeight="1">
      <c r="A8" s="3">
        <v>43892</v>
      </c>
      <c r="B8" s="4"/>
      <c r="C8" s="5">
        <v>1.1000000000000001</v>
      </c>
      <c r="D8" s="7"/>
      <c r="E8" s="6">
        <v>23287</v>
      </c>
      <c r="F8" s="9"/>
      <c r="G8" s="5"/>
      <c r="H8" s="141"/>
      <c r="I8" s="141"/>
      <c r="J8" s="106">
        <f>IF(診断,-1,IF(SUMIF(N$2:N$89,N8,貸方)=SUMIF(N$2:N$89,N8,借方),IF(COUNTIF(F8,O$1),C8,),-1))</f>
        <v>0</v>
      </c>
      <c r="K8" s="129" t="str">
        <f>IF(ISBLANK(C8),"",VLOOKUP(C8,科目設定,2,0))</f>
        <v>普通預金 ゆうちょ銀行</v>
      </c>
      <c r="L8" s="21">
        <f>IF(ISBLANK(C8),"",IF(VLOOKUP(C8,科目設定,9,0)="借方",SUMIF(C$2:C8,C8,借方)-SUMIF(C$2:C8,C8,貸方),""))</f>
        <v>2248139</v>
      </c>
      <c r="M8" s="108" t="str">
        <f>IF(ISBLANK(C8),"",IF(VLOOKUP(C8,科目設定,9,0)="貸方",SUMIF(C$2:C8,C8,貸方)-SUMIF(C$2:C8,C8,借方),""))</f>
        <v/>
      </c>
      <c r="N8" s="138">
        <f t="shared" si="0"/>
        <v>11236352</v>
      </c>
      <c r="O8" s="139">
        <f t="shared" si="1"/>
        <v>11236352</v>
      </c>
      <c r="P8" s="130" t="str">
        <f>IF(ISBLANK(C8),"",IF(C8=J8,"前期繰越",IF(COUNTIF(O$2:O$89,-O8)=1,VLOOKUP(INDEX(科目,MATCH(-O8,O$2:O$89,0),1),科目設定,2,0),"諸口")))</f>
        <v>諸口</v>
      </c>
      <c r="Q8" s="131" t="str">
        <f>IF(ISBLANK(G8),"",VLOOKUP(G8,品番設定,2,0))</f>
        <v/>
      </c>
    </row>
    <row r="9" spans="1:17" ht="16.5" customHeight="1">
      <c r="A9" s="3">
        <v>43921</v>
      </c>
      <c r="B9" s="4"/>
      <c r="C9" s="5">
        <v>1.1000000000000001</v>
      </c>
      <c r="D9" s="7"/>
      <c r="E9" s="6">
        <v>23287</v>
      </c>
      <c r="F9" s="9"/>
      <c r="G9" s="5"/>
      <c r="H9" s="141"/>
      <c r="I9" s="141"/>
      <c r="J9" s="106">
        <f>IF(診断,-1,IF(SUMIF(N$2:N$89,N9,貸方)=SUMIF(N$2:N$89,N9,借方),IF(COUNTIF(F9,O$1),C9,),-1))</f>
        <v>0</v>
      </c>
      <c r="K9" s="129" t="str">
        <f>IF(ISBLANK(C9),"",VLOOKUP(C9,科目設定,2,0))</f>
        <v>普通預金 ゆうちょ銀行</v>
      </c>
      <c r="L9" s="21">
        <f>IF(ISBLANK(C9),"",IF(VLOOKUP(C9,科目設定,9,0)="借方",SUMIF(C$2:C9,C9,借方)-SUMIF(C$2:C9,C9,貸方),""))</f>
        <v>2224852</v>
      </c>
      <c r="M9" s="108" t="str">
        <f>IF(ISBLANK(C9),"",IF(VLOOKUP(C9,科目設定,9,0)="貸方",SUMIF(C$2:C9,C9,貸方)-SUMIF(C$2:C9,C9,借方),""))</f>
        <v/>
      </c>
      <c r="N9" s="138">
        <f t="shared" si="0"/>
        <v>11243776</v>
      </c>
      <c r="O9" s="139">
        <f t="shared" si="1"/>
        <v>11243776</v>
      </c>
      <c r="P9" s="130" t="str">
        <f>IF(ISBLANK(C9),"",IF(C9=J9,"前期繰越",IF(COUNTIF(O$2:O$89,-O9)=1,VLOOKUP(INDEX(科目,MATCH(-O9,O$2:O$89,0),1),科目設定,2,0),"諸口")))</f>
        <v>諸口</v>
      </c>
      <c r="Q9" s="131" t="str">
        <f>IF(ISBLANK(G9),"",VLOOKUP(G9,品番設定,2,0))</f>
        <v/>
      </c>
    </row>
    <row r="10" spans="1:17" ht="16.5" customHeight="1">
      <c r="A10" s="3">
        <v>43951</v>
      </c>
      <c r="B10" s="4"/>
      <c r="C10" s="5">
        <v>1.1000000000000001</v>
      </c>
      <c r="D10" s="7"/>
      <c r="E10" s="6">
        <v>23322</v>
      </c>
      <c r="F10" s="9"/>
      <c r="G10" s="5"/>
      <c r="H10" s="141"/>
      <c r="I10" s="141"/>
      <c r="J10" s="106">
        <f>IF(診断,-1,IF(SUMIF(N$2:N$89,N10,貸方)=SUMIF(N$2:N$89,N10,借方),IF(COUNTIF(F10,O$1),C10,),-1))</f>
        <v>0</v>
      </c>
      <c r="K10" s="129" t="str">
        <f>IF(ISBLANK(C10),"",VLOOKUP(C10,科目設定,2,0))</f>
        <v>普通預金 ゆうちょ銀行</v>
      </c>
      <c r="L10" s="21">
        <f>IF(ISBLANK(C10),"",IF(VLOOKUP(C10,科目設定,9,0)="借方",SUMIF(C$2:C10,C10,借方)-SUMIF(C$2:C10,C10,貸方),""))</f>
        <v>2201530</v>
      </c>
      <c r="M10" s="108" t="str">
        <f>IF(ISBLANK(C10),"",IF(VLOOKUP(C10,科目設定,9,0)="貸方",SUMIF(C$2:C10,C10,貸方)-SUMIF(C$2:C10,C10,借方),""))</f>
        <v/>
      </c>
      <c r="N10" s="138">
        <f t="shared" si="0"/>
        <v>11251456</v>
      </c>
      <c r="O10" s="139">
        <f t="shared" si="1"/>
        <v>11251456</v>
      </c>
      <c r="P10" s="130" t="str">
        <f>IF(ISBLANK(C10),"",IF(C10=J10,"前期繰越",IF(COUNTIF(O$2:O$89,-O10)=1,VLOOKUP(INDEX(科目,MATCH(-O10,O$2:O$89,0),1),科目設定,2,0),"諸口")))</f>
        <v>諸口</v>
      </c>
      <c r="Q10" s="131" t="str">
        <f>IF(ISBLANK(G10),"",VLOOKUP(G10,品番設定,2,0))</f>
        <v/>
      </c>
    </row>
    <row r="11" spans="1:17" ht="16.5" customHeight="1">
      <c r="A11" s="3">
        <v>43983</v>
      </c>
      <c r="B11" s="4"/>
      <c r="C11" s="5">
        <v>1.1000000000000001</v>
      </c>
      <c r="D11" s="7"/>
      <c r="E11" s="6">
        <v>23339</v>
      </c>
      <c r="F11" s="9"/>
      <c r="G11" s="5"/>
      <c r="H11" s="141"/>
      <c r="I11" s="141"/>
      <c r="J11" s="106">
        <f>IF(診断,-1,IF(SUMIF(N$2:N$89,N11,貸方)=SUMIF(N$2:N$89,N11,借方),IF(COUNTIF(F11,O$1),C11,),-1))</f>
        <v>0</v>
      </c>
      <c r="K11" s="129" t="str">
        <f>IF(ISBLANK(C11),"",VLOOKUP(C11,科目設定,2,0))</f>
        <v>普通預金 ゆうちょ銀行</v>
      </c>
      <c r="L11" s="21">
        <f>IF(ISBLANK(C11),"",IF(VLOOKUP(C11,科目設定,9,0)="借方",SUMIF(C$2:C11,C11,借方)-SUMIF(C$2:C11,C11,貸方),""))</f>
        <v>2178191</v>
      </c>
      <c r="M11" s="108" t="str">
        <f>IF(ISBLANK(C11),"",IF(VLOOKUP(C11,科目設定,9,0)="貸方",SUMIF(C$2:C11,C11,貸方)-SUMIF(C$2:C11,C11,借方),""))</f>
        <v/>
      </c>
      <c r="N11" s="138">
        <f t="shared" si="0"/>
        <v>11259648</v>
      </c>
      <c r="O11" s="139">
        <f t="shared" si="1"/>
        <v>11259648</v>
      </c>
      <c r="P11" s="130" t="str">
        <f>IF(ISBLANK(C11),"",IF(C11=J11,"前期繰越",IF(COUNTIF(O$2:O$89,-O11)=1,VLOOKUP(INDEX(科目,MATCH(-O11,O$2:O$89,0),1),科目設定,2,0),"諸口")))</f>
        <v>諸口</v>
      </c>
      <c r="Q11" s="131" t="str">
        <f>IF(ISBLANK(G11),"",VLOOKUP(G11,品番設定,2,0))</f>
        <v/>
      </c>
    </row>
    <row r="12" spans="1:17" ht="16.5" customHeight="1">
      <c r="A12" s="3">
        <v>44012</v>
      </c>
      <c r="B12" s="4"/>
      <c r="C12" s="5">
        <v>1.1000000000000001</v>
      </c>
      <c r="D12" s="7"/>
      <c r="E12" s="6">
        <v>23339</v>
      </c>
      <c r="F12" s="9"/>
      <c r="G12" s="5"/>
      <c r="H12" s="141"/>
      <c r="I12" s="141"/>
      <c r="J12" s="106">
        <f>IF(診断,-1,IF(SUMIF(N$2:N$89,N12,貸方)=SUMIF(N$2:N$89,N12,借方),IF(COUNTIF(F12,O$1),C12,),-1))</f>
        <v>0</v>
      </c>
      <c r="K12" s="129" t="str">
        <f>IF(ISBLANK(C12),"",VLOOKUP(C12,科目設定,2,0))</f>
        <v>普通預金 ゆうちょ銀行</v>
      </c>
      <c r="L12" s="21">
        <f>IF(ISBLANK(C12),"",IF(VLOOKUP(C12,科目設定,9,0)="借方",SUMIF(C$2:C12,C12,借方)-SUMIF(C$2:C12,C12,貸方),""))</f>
        <v>2154852</v>
      </c>
      <c r="M12" s="108" t="str">
        <f>IF(ISBLANK(C12),"",IF(VLOOKUP(C12,科目設定,9,0)="貸方",SUMIF(C$2:C12,C12,貸方)-SUMIF(C$2:C12,C12,借方),""))</f>
        <v/>
      </c>
      <c r="N12" s="138">
        <f t="shared" si="0"/>
        <v>11267072</v>
      </c>
      <c r="O12" s="139">
        <f t="shared" si="1"/>
        <v>11267072</v>
      </c>
      <c r="P12" s="130" t="str">
        <f>IF(ISBLANK(C12),"",IF(C12=J12,"前期繰越",IF(COUNTIF(O$2:O$89,-O12)=1,VLOOKUP(INDEX(科目,MATCH(-O12,O$2:O$89,0),1),科目設定,2,0),"諸口")))</f>
        <v>諸口</v>
      </c>
      <c r="Q12" s="131" t="str">
        <f>IF(ISBLANK(G12),"",VLOOKUP(G12,品番設定,2,0))</f>
        <v/>
      </c>
    </row>
    <row r="13" spans="1:17" ht="16.5" customHeight="1">
      <c r="A13" s="3">
        <v>44043</v>
      </c>
      <c r="B13" s="4"/>
      <c r="C13" s="5">
        <v>1.1000000000000001</v>
      </c>
      <c r="D13" s="7"/>
      <c r="E13" s="6">
        <v>23339</v>
      </c>
      <c r="F13" s="9"/>
      <c r="G13" s="5"/>
      <c r="H13" s="141"/>
      <c r="I13" s="141"/>
      <c r="J13" s="106">
        <f>IF(診断,-1,IF(SUMIF(N$2:N$89,N13,貸方)=SUMIF(N$2:N$89,N13,借方),IF(COUNTIF(F13,O$1),C13,),-1))</f>
        <v>0</v>
      </c>
      <c r="K13" s="129" t="str">
        <f>IF(ISBLANK(C13),"",VLOOKUP(C13,科目設定,2,0))</f>
        <v>普通預金 ゆうちょ銀行</v>
      </c>
      <c r="L13" s="21">
        <f>IF(ISBLANK(C13),"",IF(VLOOKUP(C13,科目設定,9,0)="借方",SUMIF(C$2:C13,C13,借方)-SUMIF(C$2:C13,C13,貸方),""))</f>
        <v>2131513</v>
      </c>
      <c r="M13" s="108" t="str">
        <f>IF(ISBLANK(C13),"",IF(VLOOKUP(C13,科目設定,9,0)="貸方",SUMIF(C$2:C13,C13,貸方)-SUMIF(C$2:C13,C13,借方),""))</f>
        <v/>
      </c>
      <c r="N13" s="138">
        <f t="shared" si="0"/>
        <v>11275008</v>
      </c>
      <c r="O13" s="139">
        <f t="shared" si="1"/>
        <v>11275008</v>
      </c>
      <c r="P13" s="130" t="str">
        <f>IF(ISBLANK(C13),"",IF(C13=J13,"前期繰越",IF(COUNTIF(O$2:O$89,-O13)=1,VLOOKUP(INDEX(科目,MATCH(-O13,O$2:O$89,0),1),科目設定,2,0),"諸口")))</f>
        <v>諸口</v>
      </c>
      <c r="Q13" s="131" t="str">
        <f>IF(ISBLANK(G13),"",VLOOKUP(G13,品番設定,2,0))</f>
        <v/>
      </c>
    </row>
    <row r="14" spans="1:17" ht="16.5" customHeight="1">
      <c r="A14" s="3">
        <v>44074</v>
      </c>
      <c r="B14" s="4"/>
      <c r="C14" s="5">
        <v>1.1000000000000001</v>
      </c>
      <c r="D14" s="7"/>
      <c r="E14" s="6">
        <v>23339</v>
      </c>
      <c r="F14" s="9"/>
      <c r="G14" s="5"/>
      <c r="H14" s="141"/>
      <c r="I14" s="141"/>
      <c r="J14" s="106">
        <f>IF(診断,-1,IF(SUMIF(N$2:N$89,N14,貸方)=SUMIF(N$2:N$89,N14,借方),IF(COUNTIF(F14,O$1),C14,),-1))</f>
        <v>0</v>
      </c>
      <c r="K14" s="129" t="str">
        <f>IF(ISBLANK(C14),"",VLOOKUP(C14,科目設定,2,0))</f>
        <v>普通預金 ゆうちょ銀行</v>
      </c>
      <c r="L14" s="21">
        <f>IF(ISBLANK(C14),"",IF(VLOOKUP(C14,科目設定,9,0)="借方",SUMIF(C$2:C14,C14,借方)-SUMIF(C$2:C14,C14,貸方),""))</f>
        <v>2108174</v>
      </c>
      <c r="M14" s="108" t="str">
        <f>IF(ISBLANK(C14),"",IF(VLOOKUP(C14,科目設定,9,0)="貸方",SUMIF(C$2:C14,C14,貸方)-SUMIF(C$2:C14,C14,借方),""))</f>
        <v/>
      </c>
      <c r="N14" s="138">
        <f t="shared" si="0"/>
        <v>11282944</v>
      </c>
      <c r="O14" s="139">
        <f t="shared" si="1"/>
        <v>11282944</v>
      </c>
      <c r="P14" s="130" t="str">
        <f>IF(ISBLANK(C14),"",IF(C14=J14,"前期繰越",IF(COUNTIF(O$2:O$89,-O14)=1,VLOOKUP(INDEX(科目,MATCH(-O14,O$2:O$89,0),1),科目設定,2,0),"諸口")))</f>
        <v>諸口</v>
      </c>
      <c r="Q14" s="131" t="str">
        <f>IF(ISBLANK(G14),"",VLOOKUP(G14,品番設定,2,0))</f>
        <v/>
      </c>
    </row>
    <row r="15" spans="1:17" ht="16.5" customHeight="1">
      <c r="A15" s="3">
        <v>44104</v>
      </c>
      <c r="B15" s="4"/>
      <c r="C15" s="5">
        <v>1.1000000000000001</v>
      </c>
      <c r="D15" s="7"/>
      <c r="E15" s="6">
        <v>23339</v>
      </c>
      <c r="F15" s="9"/>
      <c r="G15" s="5"/>
      <c r="H15" s="141"/>
      <c r="I15" s="141"/>
      <c r="J15" s="106">
        <f>IF(診断,-1,IF(SUMIF(N$2:N$89,N15,貸方)=SUMIF(N$2:N$89,N15,借方),IF(COUNTIF(F15,O$1),C15,),-1))</f>
        <v>0</v>
      </c>
      <c r="K15" s="129" t="str">
        <f>IF(ISBLANK(C15),"",VLOOKUP(C15,科目設定,2,0))</f>
        <v>普通預金 ゆうちょ銀行</v>
      </c>
      <c r="L15" s="21">
        <f>IF(ISBLANK(C15),"",IF(VLOOKUP(C15,科目設定,9,0)="借方",SUMIF(C$2:C15,C15,借方)-SUMIF(C$2:C15,C15,貸方),""))</f>
        <v>2084835</v>
      </c>
      <c r="M15" s="108" t="str">
        <f>IF(ISBLANK(C15),"",IF(VLOOKUP(C15,科目設定,9,0)="貸方",SUMIF(C$2:C15,C15,貸方)-SUMIF(C$2:C15,C15,借方),""))</f>
        <v/>
      </c>
      <c r="N15" s="138">
        <f t="shared" si="0"/>
        <v>11290624</v>
      </c>
      <c r="O15" s="139">
        <f t="shared" si="1"/>
        <v>11290624</v>
      </c>
      <c r="P15" s="130" t="str">
        <f>IF(ISBLANK(C15),"",IF(C15=J15,"前期繰越",IF(COUNTIF(O$2:O$89,-O15)=1,VLOOKUP(INDEX(科目,MATCH(-O15,O$2:O$89,0),1),科目設定,2,0),"諸口")))</f>
        <v>諸口</v>
      </c>
      <c r="Q15" s="131" t="str">
        <f>IF(ISBLANK(G15),"",VLOOKUP(G15,品番設定,2,0))</f>
        <v/>
      </c>
    </row>
    <row r="16" spans="1:17" ht="16.5" customHeight="1">
      <c r="A16" s="3">
        <v>44137</v>
      </c>
      <c r="B16" s="4"/>
      <c r="C16" s="5">
        <v>1.1000000000000001</v>
      </c>
      <c r="D16" s="7"/>
      <c r="E16" s="6">
        <v>23339</v>
      </c>
      <c r="F16" s="9"/>
      <c r="G16" s="5"/>
      <c r="H16" s="141"/>
      <c r="I16" s="141"/>
      <c r="J16" s="106">
        <f>IF(診断,-1,IF(SUMIF(N$2:N$89,N16,貸方)=SUMIF(N$2:N$89,N16,借方),IF(COUNTIF(F16,O$1),C16,),-1))</f>
        <v>0</v>
      </c>
      <c r="K16" s="129" t="str">
        <f>IF(ISBLANK(C16),"",VLOOKUP(C16,科目設定,2,0))</f>
        <v>普通預金 ゆうちょ銀行</v>
      </c>
      <c r="L16" s="21">
        <f>IF(ISBLANK(C16),"",IF(VLOOKUP(C16,科目設定,9,0)="借方",SUMIF(C$2:C16,C16,借方)-SUMIF(C$2:C16,C16,貸方),""))</f>
        <v>2061496</v>
      </c>
      <c r="M16" s="108" t="str">
        <f>IF(ISBLANK(C16),"",IF(VLOOKUP(C16,科目設定,9,0)="貸方",SUMIF(C$2:C16,C16,貸方)-SUMIF(C$2:C16,C16,借方),""))</f>
        <v/>
      </c>
      <c r="N16" s="138">
        <f t="shared" si="0"/>
        <v>11299072</v>
      </c>
      <c r="O16" s="139">
        <f t="shared" si="1"/>
        <v>11299072</v>
      </c>
      <c r="P16" s="130" t="str">
        <f>IF(ISBLANK(C16),"",IF(C16=J16,"前期繰越",IF(COUNTIF(O$2:O$89,-O16)=1,VLOOKUP(INDEX(科目,MATCH(-O16,O$2:O$89,0),1),科目設定,2,0),"諸口")))</f>
        <v>諸口</v>
      </c>
      <c r="Q16" s="131" t="str">
        <f>IF(ISBLANK(G16),"",VLOOKUP(G16,品番設定,2,0))</f>
        <v/>
      </c>
    </row>
    <row r="17" spans="1:17" ht="16.5" customHeight="1">
      <c r="A17" s="3">
        <v>44165</v>
      </c>
      <c r="B17" s="4"/>
      <c r="C17" s="5">
        <v>1.1000000000000001</v>
      </c>
      <c r="D17" s="7"/>
      <c r="E17" s="6">
        <v>23339</v>
      </c>
      <c r="F17" s="9"/>
      <c r="G17" s="5"/>
      <c r="H17" s="141"/>
      <c r="I17" s="141"/>
      <c r="J17" s="106">
        <f>IF(診断,-1,IF(SUMIF(N$2:N$89,N17,貸方)=SUMIF(N$2:N$89,N17,借方),IF(COUNTIF(F17,O$1),C17,),-1))</f>
        <v>0</v>
      </c>
      <c r="K17" s="129" t="str">
        <f>IF(ISBLANK(C17),"",VLOOKUP(C17,科目設定,2,0))</f>
        <v>普通預金 ゆうちょ銀行</v>
      </c>
      <c r="L17" s="21">
        <f>IF(ISBLANK(C17),"",IF(VLOOKUP(C17,科目設定,9,0)="借方",SUMIF(C$2:C17,C17,借方)-SUMIF(C$2:C17,C17,貸方),""))</f>
        <v>2038157</v>
      </c>
      <c r="M17" s="108" t="str">
        <f>IF(ISBLANK(C17),"",IF(VLOOKUP(C17,科目設定,9,0)="貸方",SUMIF(C$2:C17,C17,貸方)-SUMIF(C$2:C17,C17,借方),""))</f>
        <v/>
      </c>
      <c r="N17" s="138">
        <f t="shared" si="0"/>
        <v>11306240</v>
      </c>
      <c r="O17" s="139">
        <f t="shared" si="1"/>
        <v>11306240</v>
      </c>
      <c r="P17" s="130" t="str">
        <f>IF(ISBLANK(C17),"",IF(C17=J17,"前期繰越",IF(COUNTIF(O$2:O$89,-O17)=1,VLOOKUP(INDEX(科目,MATCH(-O17,O$2:O$89,0),1),科目設定,2,0),"諸口")))</f>
        <v>諸口</v>
      </c>
      <c r="Q17" s="131" t="str">
        <f>IF(ISBLANK(G17),"",VLOOKUP(G17,品番設定,2,0))</f>
        <v/>
      </c>
    </row>
    <row r="18" spans="1:17" ht="16.5" customHeight="1">
      <c r="A18" s="3">
        <v>43831</v>
      </c>
      <c r="B18" s="4"/>
      <c r="C18" s="5">
        <v>101.1</v>
      </c>
      <c r="D18" s="8"/>
      <c r="E18" s="6">
        <v>1027106</v>
      </c>
      <c r="F18" s="193" t="s">
        <v>10</v>
      </c>
      <c r="G18" s="5"/>
      <c r="H18" s="141"/>
      <c r="I18" s="141"/>
      <c r="J18" s="106">
        <f>IF(診断,-1,IF(SUMIF(N$2:N$89,N18,貸方)=SUMIF(N$2:N$89,N18,借方),IF(COUNTIF(F18,O$1),C18,),-1))</f>
        <v>101.1</v>
      </c>
      <c r="K18" s="129" t="str">
        <f>IF(ISBLANK(C18),"",VLOOKUP(C18,科目設定,2,0))</f>
        <v>役員からの短期借入金 1</v>
      </c>
      <c r="L18" s="21" t="str">
        <f>IF(ISBLANK(C18),"",IF(VLOOKUP(C18,科目設定,9,0)="借方",SUMIF(C$2:C18,C18,借方)-SUMIF(C$2:C18,C18,貸方),""))</f>
        <v/>
      </c>
      <c r="M18" s="108">
        <f>IF(ISBLANK(C18),"",IF(VLOOKUP(C18,科目設定,9,0)="貸方",SUMIF(C$2:C18,C18,貸方)-SUMIF(C$2:C18,C18,借方),""))</f>
        <v>1027106</v>
      </c>
      <c r="N18" s="138">
        <f t="shared" si="0"/>
        <v>11220736</v>
      </c>
      <c r="O18" s="139">
        <f t="shared" si="1"/>
        <v>11220736</v>
      </c>
      <c r="P18" s="130" t="str">
        <f>IF(ISBLANK(C18),"",IF(C18=J18,"前期繰越",IF(COUNTIF(O$2:O$89,-O18)=1,VLOOKUP(INDEX(科目,MATCH(-O18,O$2:O$89,0),1),科目設定,2,0),"諸口")))</f>
        <v>前期繰越</v>
      </c>
      <c r="Q18" s="131" t="str">
        <f>IF(ISBLANK(G18),"",VLOOKUP(G18,品番設定,2,0))</f>
        <v/>
      </c>
    </row>
    <row r="19" spans="1:17" ht="16.5" customHeight="1">
      <c r="A19" s="3">
        <v>43850</v>
      </c>
      <c r="B19" s="4"/>
      <c r="C19" s="5">
        <v>101.1</v>
      </c>
      <c r="D19" s="7"/>
      <c r="E19" s="6">
        <v>34406</v>
      </c>
      <c r="F19" s="9"/>
      <c r="G19" s="5"/>
      <c r="H19" s="141"/>
      <c r="I19" s="141"/>
      <c r="J19" s="106">
        <f>IF(診断,-1,IF(SUMIF(N$2:N$89,N19,貸方)=SUMIF(N$2:N$89,N19,借方),IF(COUNTIF(F19,O$1),C19,),-1))</f>
        <v>0</v>
      </c>
      <c r="K19" s="129" t="str">
        <f>IF(ISBLANK(C19),"",VLOOKUP(C19,科目設定,2,0))</f>
        <v>役員からの短期借入金 1</v>
      </c>
      <c r="L19" s="21" t="str">
        <f>IF(ISBLANK(C19),"",IF(VLOOKUP(C19,科目設定,9,0)="借方",SUMIF(C$2:C19,C19,借方)-SUMIF(C$2:C19,C19,貸方),""))</f>
        <v/>
      </c>
      <c r="M19" s="108">
        <f>IF(ISBLANK(C19),"",IF(VLOOKUP(C19,科目設定,9,0)="貸方",SUMIF(C$2:C19,C19,貸方)-SUMIF(C$2:C19,C19,借方),""))</f>
        <v>1061512</v>
      </c>
      <c r="N19" s="138">
        <f t="shared" si="0"/>
        <v>11225600</v>
      </c>
      <c r="O19" s="139">
        <f t="shared" si="1"/>
        <v>11225600</v>
      </c>
      <c r="P19" s="130" t="str">
        <f>IF(ISBLANK(C19),"",IF(C19=J19,"前期繰越",IF(COUNTIF(O$2:O$89,-O19)=1,VLOOKUP(INDEX(科目,MATCH(-O19,O$2:O$89,0),1),科目設定,2,0),"諸口")))</f>
        <v>役員報酬 1</v>
      </c>
      <c r="Q19" s="131" t="str">
        <f>IF(ISBLANK(G19),"",VLOOKUP(G19,品番設定,2,0))</f>
        <v/>
      </c>
    </row>
    <row r="20" spans="1:17" ht="16.5" customHeight="1">
      <c r="A20" s="3">
        <v>43880</v>
      </c>
      <c r="B20" s="5">
        <v>1</v>
      </c>
      <c r="C20" s="5">
        <v>101.1</v>
      </c>
      <c r="D20" s="6"/>
      <c r="E20" s="7">
        <v>400000</v>
      </c>
      <c r="F20" s="9"/>
      <c r="G20" s="5"/>
      <c r="H20" s="141"/>
      <c r="I20" s="141"/>
      <c r="J20" s="106">
        <f>IF(診断,-1,IF(SUMIF(N$2:N$89,N20,貸方)=SUMIF(N$2:N$89,N20,借方),IF(COUNTIF(F20,O$1),C20,),-1))</f>
        <v>0</v>
      </c>
      <c r="K20" s="129" t="str">
        <f>IF(ISBLANK(C20),"",VLOOKUP(C20,科目設定,2,0))</f>
        <v>役員からの短期借入金 1</v>
      </c>
      <c r="L20" s="21" t="str">
        <f>IF(ISBLANK(C20),"",IF(VLOOKUP(C20,科目設定,9,0)="借方",SUMIF(C$2:C20,C20,借方)-SUMIF(C$2:C20,C20,貸方),""))</f>
        <v/>
      </c>
      <c r="M20" s="108">
        <f>IF(ISBLANK(C20),"",IF(VLOOKUP(C20,科目設定,9,0)="貸方",SUMIF(C$2:C20,C20,貸方)-SUMIF(C$2:C20,C20,借方),""))</f>
        <v>1461512</v>
      </c>
      <c r="N20" s="138">
        <f t="shared" si="0"/>
        <v>11233281</v>
      </c>
      <c r="O20" s="139">
        <f t="shared" si="1"/>
        <v>11233281</v>
      </c>
      <c r="P20" s="130" t="str">
        <f>IF(ISBLANK(C20),"",IF(C20=J20,"前期繰越",IF(COUNTIF(O$2:O$89,-O20)=1,VLOOKUP(INDEX(科目,MATCH(-O20,O$2:O$89,0),1),科目設定,2,0),"諸口")))</f>
        <v>普通預金 ゆうちょ銀行</v>
      </c>
      <c r="Q20" s="131" t="str">
        <f>IF(ISBLANK(G20),"",VLOOKUP(G20,品番設定,2,0))</f>
        <v/>
      </c>
    </row>
    <row r="21" spans="1:17" ht="16.5" customHeight="1">
      <c r="A21" s="3">
        <v>43881</v>
      </c>
      <c r="B21" s="5"/>
      <c r="C21" s="5">
        <v>101.1</v>
      </c>
      <c r="D21" s="7"/>
      <c r="E21" s="6">
        <v>34406</v>
      </c>
      <c r="F21" s="9"/>
      <c r="G21" s="5"/>
      <c r="H21" s="141"/>
      <c r="I21" s="141"/>
      <c r="J21" s="106">
        <f>IF(診断,-1,IF(SUMIF(N$2:N$89,N21,貸方)=SUMIF(N$2:N$89,N21,借方),IF(COUNTIF(F21,O$1),C21,),-1))</f>
        <v>0</v>
      </c>
      <c r="K21" s="129" t="str">
        <f>IF(ISBLANK(C21),"",VLOOKUP(C21,科目設定,2,0))</f>
        <v>役員からの短期借入金 1</v>
      </c>
      <c r="L21" s="21" t="str">
        <f>IF(ISBLANK(C21),"",IF(VLOOKUP(C21,科目設定,9,0)="借方",SUMIF(C$2:C21,C21,借方)-SUMIF(C$2:C21,C21,貸方),""))</f>
        <v/>
      </c>
      <c r="M21" s="108">
        <f>IF(ISBLANK(C21),"",IF(VLOOKUP(C21,科目設定,9,0)="貸方",SUMIF(C$2:C21,C21,貸方)-SUMIF(C$2:C21,C21,借方),""))</f>
        <v>1495918</v>
      </c>
      <c r="N21" s="138">
        <f t="shared" si="0"/>
        <v>11233536</v>
      </c>
      <c r="O21" s="139">
        <f t="shared" si="1"/>
        <v>11233536</v>
      </c>
      <c r="P21" s="130" t="str">
        <f>IF(ISBLANK(C21),"",IF(C21=J21,"前期繰越",IF(COUNTIF(O$2:O$89,-O21)=1,VLOOKUP(INDEX(科目,MATCH(-O21,O$2:O$89,0),1),科目設定,2,0),"諸口")))</f>
        <v>役員報酬 1</v>
      </c>
      <c r="Q21" s="131" t="str">
        <f>IF(ISBLANK(G21),"",VLOOKUP(G21,品番設定,2,0))</f>
        <v/>
      </c>
    </row>
    <row r="22" spans="1:17" ht="16.5" customHeight="1">
      <c r="A22" s="3">
        <v>43910</v>
      </c>
      <c r="B22" s="4"/>
      <c r="C22" s="5">
        <v>101.1</v>
      </c>
      <c r="D22" s="7"/>
      <c r="E22" s="6">
        <v>34406</v>
      </c>
      <c r="F22" s="9"/>
      <c r="G22" s="5"/>
      <c r="H22" s="141"/>
      <c r="I22" s="141"/>
      <c r="J22" s="106">
        <f>IF(診断,-1,IF(SUMIF(N$2:N$89,N22,貸方)=SUMIF(N$2:N$89,N22,借方),IF(COUNTIF(F22,O$1),C22,),-1))</f>
        <v>0</v>
      </c>
      <c r="K22" s="129" t="str">
        <f>IF(ISBLANK(C22),"",VLOOKUP(C22,科目設定,2,0))</f>
        <v>役員からの短期借入金 1</v>
      </c>
      <c r="L22" s="21" t="str">
        <f>IF(ISBLANK(C22),"",IF(VLOOKUP(C22,科目設定,9,0)="借方",SUMIF(C$2:C22,C22,借方)-SUMIF(C$2:C22,C22,貸方),""))</f>
        <v/>
      </c>
      <c r="M22" s="108">
        <f>IF(ISBLANK(C22),"",IF(VLOOKUP(C22,科目設定,9,0)="貸方",SUMIF(C$2:C22,C22,貸方)-SUMIF(C$2:C22,C22,借方),""))</f>
        <v>1530324</v>
      </c>
      <c r="N22" s="138">
        <f t="shared" si="0"/>
        <v>11240960</v>
      </c>
      <c r="O22" s="139">
        <f t="shared" si="1"/>
        <v>11240960</v>
      </c>
      <c r="P22" s="130" t="str">
        <f>IF(ISBLANK(C22),"",IF(C22=J22,"前期繰越",IF(COUNTIF(O$2:O$89,-O22)=1,VLOOKUP(INDEX(科目,MATCH(-O22,O$2:O$89,0),1),科目設定,2,0),"諸口")))</f>
        <v>役員報酬 1</v>
      </c>
      <c r="Q22" s="131" t="str">
        <f>IF(ISBLANK(G22),"",VLOOKUP(G22,品番設定,2,0))</f>
        <v/>
      </c>
    </row>
    <row r="23" spans="1:17" ht="16.5" customHeight="1">
      <c r="A23" s="3">
        <v>43941</v>
      </c>
      <c r="B23" s="4"/>
      <c r="C23" s="5">
        <v>101.1</v>
      </c>
      <c r="D23" s="7"/>
      <c r="E23" s="6">
        <v>34388</v>
      </c>
      <c r="F23" s="9"/>
      <c r="G23" s="5"/>
      <c r="H23" s="141"/>
      <c r="I23" s="141"/>
      <c r="J23" s="106">
        <f>IF(診断,-1,IF(SUMIF(N$2:N$89,N23,貸方)=SUMIF(N$2:N$89,N23,借方),IF(COUNTIF(F23,O$1),C23,),-1))</f>
        <v>0</v>
      </c>
      <c r="K23" s="129" t="str">
        <f>IF(ISBLANK(C23),"",VLOOKUP(C23,科目設定,2,0))</f>
        <v>役員からの短期借入金 1</v>
      </c>
      <c r="L23" s="21" t="str">
        <f>IF(ISBLANK(C23),"",IF(VLOOKUP(C23,科目設定,9,0)="借方",SUMIF(C$2:C23,C23,借方)-SUMIF(C$2:C23,C23,貸方),""))</f>
        <v/>
      </c>
      <c r="M23" s="108">
        <f>IF(ISBLANK(C23),"",IF(VLOOKUP(C23,科目設定,9,0)="貸方",SUMIF(C$2:C23,C23,貸方)-SUMIF(C$2:C23,C23,借方),""))</f>
        <v>1564712</v>
      </c>
      <c r="N23" s="138">
        <f t="shared" si="0"/>
        <v>11248896</v>
      </c>
      <c r="O23" s="139">
        <f t="shared" si="1"/>
        <v>11248896</v>
      </c>
      <c r="P23" s="130" t="str">
        <f>IF(ISBLANK(C23),"",IF(C23=J23,"前期繰越",IF(COUNTIF(O$2:O$89,-O23)=1,VLOOKUP(INDEX(科目,MATCH(-O23,O$2:O$89,0),1),科目設定,2,0),"諸口")))</f>
        <v>役員報酬 1</v>
      </c>
      <c r="Q23" s="131" t="str">
        <f>IF(ISBLANK(G23),"",VLOOKUP(G23,品番設定,2,0))</f>
        <v/>
      </c>
    </row>
    <row r="24" spans="1:17" ht="16.5" customHeight="1">
      <c r="A24" s="3">
        <v>43971</v>
      </c>
      <c r="B24" s="4"/>
      <c r="C24" s="5">
        <v>101.1</v>
      </c>
      <c r="D24" s="7"/>
      <c r="E24" s="6">
        <v>34388</v>
      </c>
      <c r="F24" s="9"/>
      <c r="G24" s="5"/>
      <c r="H24" s="141"/>
      <c r="I24" s="141"/>
      <c r="J24" s="106">
        <f>IF(診断,-1,IF(SUMIF(N$2:N$89,N24,貸方)=SUMIF(N$2:N$89,N24,借方),IF(COUNTIF(F24,O$1),C24,),-1))</f>
        <v>0</v>
      </c>
      <c r="K24" s="129" t="str">
        <f>IF(ISBLANK(C24),"",VLOOKUP(C24,科目設定,2,0))</f>
        <v>役員からの短期借入金 1</v>
      </c>
      <c r="L24" s="21" t="str">
        <f>IF(ISBLANK(C24),"",IF(VLOOKUP(C24,科目設定,9,0)="借方",SUMIF(C$2:C24,C24,借方)-SUMIF(C$2:C24,C24,貸方),""))</f>
        <v/>
      </c>
      <c r="M24" s="108">
        <f>IF(ISBLANK(C24),"",IF(VLOOKUP(C24,科目設定,9,0)="貸方",SUMIF(C$2:C24,C24,貸方)-SUMIF(C$2:C24,C24,借方),""))</f>
        <v>1599100</v>
      </c>
      <c r="N24" s="138">
        <f t="shared" si="0"/>
        <v>11256576</v>
      </c>
      <c r="O24" s="139">
        <f t="shared" si="1"/>
        <v>11256576</v>
      </c>
      <c r="P24" s="130" t="str">
        <f>IF(ISBLANK(C24),"",IF(C24=J24,"前期繰越",IF(COUNTIF(O$2:O$89,-O24)=1,VLOOKUP(INDEX(科目,MATCH(-O24,O$2:O$89,0),1),科目設定,2,0),"諸口")))</f>
        <v>役員報酬 1</v>
      </c>
      <c r="Q24" s="131" t="str">
        <f>IF(ISBLANK(G24),"",VLOOKUP(G24,品番設定,2,0))</f>
        <v/>
      </c>
    </row>
    <row r="25" spans="1:17" ht="16.5" customHeight="1">
      <c r="A25" s="3">
        <v>44002</v>
      </c>
      <c r="B25" s="4"/>
      <c r="C25" s="5">
        <v>101.1</v>
      </c>
      <c r="D25" s="7"/>
      <c r="E25" s="6">
        <v>34388</v>
      </c>
      <c r="F25" s="9"/>
      <c r="G25" s="5"/>
      <c r="H25" s="141"/>
      <c r="I25" s="141"/>
      <c r="J25" s="106">
        <f>IF(診断,-1,IF(SUMIF(N$2:N$89,N25,貸方)=SUMIF(N$2:N$89,N25,借方),IF(COUNTIF(F25,O$1),C25,),-1))</f>
        <v>0</v>
      </c>
      <c r="K25" s="129" t="str">
        <f>IF(ISBLANK(C25),"",VLOOKUP(C25,科目設定,2,0))</f>
        <v>役員からの短期借入金 1</v>
      </c>
      <c r="L25" s="21" t="str">
        <f>IF(ISBLANK(C25),"",IF(VLOOKUP(C25,科目設定,9,0)="借方",SUMIF(C$2:C25,C25,借方)-SUMIF(C$2:C25,C25,貸方),""))</f>
        <v/>
      </c>
      <c r="M25" s="108">
        <f>IF(ISBLANK(C25),"",IF(VLOOKUP(C25,科目設定,9,0)="貸方",SUMIF(C$2:C25,C25,貸方)-SUMIF(C$2:C25,C25,借方),""))</f>
        <v>1633488</v>
      </c>
      <c r="N25" s="138">
        <f t="shared" si="0"/>
        <v>11264512</v>
      </c>
      <c r="O25" s="139">
        <f t="shared" si="1"/>
        <v>11264512</v>
      </c>
      <c r="P25" s="130" t="str">
        <f>IF(ISBLANK(C25),"",IF(C25=J25,"前期繰越",IF(COUNTIF(O$2:O$89,-O25)=1,VLOOKUP(INDEX(科目,MATCH(-O25,O$2:O$89,0),1),科目設定,2,0),"諸口")))</f>
        <v>役員報酬 1</v>
      </c>
      <c r="Q25" s="131" t="str">
        <f>IF(ISBLANK(G25),"",VLOOKUP(G25,品番設定,2,0))</f>
        <v/>
      </c>
    </row>
    <row r="26" spans="1:17" ht="16.5" customHeight="1">
      <c r="A26" s="3">
        <v>44032</v>
      </c>
      <c r="B26" s="4"/>
      <c r="C26" s="5">
        <v>101.1</v>
      </c>
      <c r="D26" s="7"/>
      <c r="E26" s="6">
        <v>34388</v>
      </c>
      <c r="F26" s="9"/>
      <c r="G26" s="5"/>
      <c r="H26" s="141"/>
      <c r="I26" s="141"/>
      <c r="J26" s="106">
        <f>IF(診断,-1,IF(SUMIF(N$2:N$89,N26,貸方)=SUMIF(N$2:N$89,N26,借方),IF(COUNTIF(F26,O$1),C26,),-1))</f>
        <v>0</v>
      </c>
      <c r="K26" s="129" t="str">
        <f>IF(ISBLANK(C26),"",VLOOKUP(C26,科目設定,2,0))</f>
        <v>役員からの短期借入金 1</v>
      </c>
      <c r="L26" s="21" t="str">
        <f>IF(ISBLANK(C26),"",IF(VLOOKUP(C26,科目設定,9,0)="借方",SUMIF(C$2:C26,C26,借方)-SUMIF(C$2:C26,C26,貸方),""))</f>
        <v/>
      </c>
      <c r="M26" s="108">
        <f>IF(ISBLANK(C26),"",IF(VLOOKUP(C26,科目設定,9,0)="貸方",SUMIF(C$2:C26,C26,貸方)-SUMIF(C$2:C26,C26,借方),""))</f>
        <v>1667876</v>
      </c>
      <c r="N26" s="138">
        <f t="shared" si="0"/>
        <v>11272192</v>
      </c>
      <c r="O26" s="139">
        <f t="shared" si="1"/>
        <v>11272192</v>
      </c>
      <c r="P26" s="130" t="str">
        <f>IF(ISBLANK(C26),"",IF(C26=J26,"前期繰越",IF(COUNTIF(O$2:O$89,-O26)=1,VLOOKUP(INDEX(科目,MATCH(-O26,O$2:O$89,0),1),科目設定,2,0),"諸口")))</f>
        <v>役員報酬 1</v>
      </c>
      <c r="Q26" s="131" t="str">
        <f>IF(ISBLANK(G26),"",VLOOKUP(G26,品番設定,2,0))</f>
        <v/>
      </c>
    </row>
    <row r="27" spans="1:17" ht="16.5" customHeight="1">
      <c r="A27" s="3">
        <v>44063</v>
      </c>
      <c r="B27" s="4"/>
      <c r="C27" s="5">
        <v>101.1</v>
      </c>
      <c r="D27" s="7"/>
      <c r="E27" s="6">
        <v>34388</v>
      </c>
      <c r="F27" s="9"/>
      <c r="G27" s="5"/>
      <c r="H27" s="141"/>
      <c r="I27" s="141"/>
      <c r="J27" s="106">
        <f>IF(診断,-1,IF(SUMIF(N$2:N$89,N27,貸方)=SUMIF(N$2:N$89,N27,借方),IF(COUNTIF(F27,O$1),C27,),-1))</f>
        <v>0</v>
      </c>
      <c r="K27" s="129" t="str">
        <f>IF(ISBLANK(C27),"",VLOOKUP(C27,科目設定,2,0))</f>
        <v>役員からの短期借入金 1</v>
      </c>
      <c r="L27" s="21" t="str">
        <f>IF(ISBLANK(C27),"",IF(VLOOKUP(C27,科目設定,9,0)="借方",SUMIF(C$2:C27,C27,借方)-SUMIF(C$2:C27,C27,貸方),""))</f>
        <v/>
      </c>
      <c r="M27" s="108">
        <f>IF(ISBLANK(C27),"",IF(VLOOKUP(C27,科目設定,9,0)="貸方",SUMIF(C$2:C27,C27,貸方)-SUMIF(C$2:C27,C27,借方),""))</f>
        <v>1702264</v>
      </c>
      <c r="N27" s="138">
        <f t="shared" si="0"/>
        <v>11280128</v>
      </c>
      <c r="O27" s="139">
        <f t="shared" si="1"/>
        <v>11280128</v>
      </c>
      <c r="P27" s="130" t="str">
        <f>IF(ISBLANK(C27),"",IF(C27=J27,"前期繰越",IF(COUNTIF(O$2:O$89,-O27)=1,VLOOKUP(INDEX(科目,MATCH(-O27,O$2:O$89,0),1),科目設定,2,0),"諸口")))</f>
        <v>役員報酬 1</v>
      </c>
      <c r="Q27" s="131" t="str">
        <f>IF(ISBLANK(G27),"",VLOOKUP(G27,品番設定,2,0))</f>
        <v/>
      </c>
    </row>
    <row r="28" spans="1:17" ht="16.5" customHeight="1">
      <c r="A28" s="3">
        <v>44094</v>
      </c>
      <c r="B28" s="4"/>
      <c r="C28" s="5">
        <v>101.1</v>
      </c>
      <c r="D28" s="7"/>
      <c r="E28" s="6">
        <v>34388</v>
      </c>
      <c r="F28" s="9"/>
      <c r="G28" s="5"/>
      <c r="H28" s="141"/>
      <c r="I28" s="141"/>
      <c r="J28" s="106">
        <f>IF(診断,-1,IF(SUMIF(N$2:N$89,N28,貸方)=SUMIF(N$2:N$89,N28,借方),IF(COUNTIF(F28,O$1),C28,),-1))</f>
        <v>0</v>
      </c>
      <c r="K28" s="129" t="str">
        <f>IF(ISBLANK(C28),"",VLOOKUP(C28,科目設定,2,0))</f>
        <v>役員からの短期借入金 1</v>
      </c>
      <c r="L28" s="21" t="str">
        <f>IF(ISBLANK(C28),"",IF(VLOOKUP(C28,科目設定,9,0)="借方",SUMIF(C$2:C28,C28,借方)-SUMIF(C$2:C28,C28,貸方),""))</f>
        <v/>
      </c>
      <c r="M28" s="108">
        <f>IF(ISBLANK(C28),"",IF(VLOOKUP(C28,科目設定,9,0)="貸方",SUMIF(C$2:C28,C28,貸方)-SUMIF(C$2:C28,C28,借方),""))</f>
        <v>1736652</v>
      </c>
      <c r="N28" s="138">
        <f t="shared" si="0"/>
        <v>11288064</v>
      </c>
      <c r="O28" s="139">
        <f t="shared" si="1"/>
        <v>11288064</v>
      </c>
      <c r="P28" s="130" t="str">
        <f>IF(ISBLANK(C28),"",IF(C28=J28,"前期繰越",IF(COUNTIF(O$2:O$89,-O28)=1,VLOOKUP(INDEX(科目,MATCH(-O28,O$2:O$89,0),1),科目設定,2,0),"諸口")))</f>
        <v>役員報酬 1</v>
      </c>
      <c r="Q28" s="131" t="str">
        <f>IF(ISBLANK(G28),"",VLOOKUP(G28,品番設定,2,0))</f>
        <v/>
      </c>
    </row>
    <row r="29" spans="1:17" ht="16.5" customHeight="1">
      <c r="A29" s="3">
        <v>44124</v>
      </c>
      <c r="B29" s="4"/>
      <c r="C29" s="5">
        <v>101.1</v>
      </c>
      <c r="D29" s="7"/>
      <c r="E29" s="6">
        <v>34388</v>
      </c>
      <c r="F29" s="9"/>
      <c r="G29" s="5"/>
      <c r="H29" s="141"/>
      <c r="I29" s="141"/>
      <c r="J29" s="106">
        <f>IF(診断,-1,IF(SUMIF(N$2:N$89,N29,貸方)=SUMIF(N$2:N$89,N29,借方),IF(COUNTIF(F29,O$1),C29,),-1))</f>
        <v>0</v>
      </c>
      <c r="K29" s="129" t="str">
        <f>IF(ISBLANK(C29),"",VLOOKUP(C29,科目設定,2,0))</f>
        <v>役員からの短期借入金 1</v>
      </c>
      <c r="L29" s="21" t="str">
        <f>IF(ISBLANK(C29),"",IF(VLOOKUP(C29,科目設定,9,0)="借方",SUMIF(C$2:C29,C29,借方)-SUMIF(C$2:C29,C29,貸方),""))</f>
        <v/>
      </c>
      <c r="M29" s="108">
        <f>IF(ISBLANK(C29),"",IF(VLOOKUP(C29,科目設定,9,0)="貸方",SUMIF(C$2:C29,C29,貸方)-SUMIF(C$2:C29,C29,借方),""))</f>
        <v>1771040</v>
      </c>
      <c r="N29" s="138">
        <f t="shared" si="0"/>
        <v>11295744</v>
      </c>
      <c r="O29" s="139">
        <f t="shared" si="1"/>
        <v>11295744</v>
      </c>
      <c r="P29" s="130" t="str">
        <f>IF(ISBLANK(C29),"",IF(C29=J29,"前期繰越",IF(COUNTIF(O$2:O$89,-O29)=1,VLOOKUP(INDEX(科目,MATCH(-O29,O$2:O$89,0),1),科目設定,2,0),"諸口")))</f>
        <v>役員報酬 1</v>
      </c>
      <c r="Q29" s="131" t="str">
        <f>IF(ISBLANK(G29),"",VLOOKUP(G29,品番設定,2,0))</f>
        <v/>
      </c>
    </row>
    <row r="30" spans="1:17" ht="16.5" customHeight="1">
      <c r="A30" s="3">
        <v>44155</v>
      </c>
      <c r="B30" s="4"/>
      <c r="C30" s="5">
        <v>101.1</v>
      </c>
      <c r="D30" s="7"/>
      <c r="E30" s="6">
        <v>34388</v>
      </c>
      <c r="F30" s="9"/>
      <c r="G30" s="5"/>
      <c r="H30" s="141"/>
      <c r="I30" s="141"/>
      <c r="J30" s="106">
        <f>IF(診断,-1,IF(SUMIF(N$2:N$89,N30,貸方)=SUMIF(N$2:N$89,N30,借方),IF(COUNTIF(F30,O$1),C30,),-1))</f>
        <v>0</v>
      </c>
      <c r="K30" s="129" t="str">
        <f>IF(ISBLANK(C30),"",VLOOKUP(C30,科目設定,2,0))</f>
        <v>役員からの短期借入金 1</v>
      </c>
      <c r="L30" s="21" t="str">
        <f>IF(ISBLANK(C30),"",IF(VLOOKUP(C30,科目設定,9,0)="借方",SUMIF(C$2:C30,C30,借方)-SUMIF(C$2:C30,C30,貸方),""))</f>
        <v/>
      </c>
      <c r="M30" s="108">
        <f>IF(ISBLANK(C30),"",IF(VLOOKUP(C30,科目設定,9,0)="貸方",SUMIF(C$2:C30,C30,貸方)-SUMIF(C$2:C30,C30,借方),""))</f>
        <v>1805428</v>
      </c>
      <c r="N30" s="138">
        <f t="shared" si="0"/>
        <v>11303680</v>
      </c>
      <c r="O30" s="139">
        <f t="shared" si="1"/>
        <v>11303680</v>
      </c>
      <c r="P30" s="130" t="str">
        <f>IF(ISBLANK(C30),"",IF(C30=J30,"前期繰越",IF(COUNTIF(O$2:O$89,-O30)=1,VLOOKUP(INDEX(科目,MATCH(-O30,O$2:O$89,0),1),科目設定,2,0),"諸口")))</f>
        <v>役員報酬 1</v>
      </c>
      <c r="Q30" s="131" t="str">
        <f>IF(ISBLANK(G30),"",VLOOKUP(G30,品番設定,2,0))</f>
        <v/>
      </c>
    </row>
    <row r="31" spans="1:17" ht="16.5" customHeight="1">
      <c r="A31" s="3">
        <v>44185</v>
      </c>
      <c r="B31" s="4"/>
      <c r="C31" s="5">
        <v>101.1</v>
      </c>
      <c r="D31" s="7"/>
      <c r="E31" s="6">
        <v>34388</v>
      </c>
      <c r="F31" s="9"/>
      <c r="G31" s="5"/>
      <c r="H31" s="141"/>
      <c r="I31" s="141"/>
      <c r="J31" s="106">
        <f>IF(診断,-1,IF(SUMIF(N$2:N$89,N31,貸方)=SUMIF(N$2:N$89,N31,借方),IF(COUNTIF(F31,O$1),C31,),-1))</f>
        <v>0</v>
      </c>
      <c r="K31" s="129" t="str">
        <f>IF(ISBLANK(C31),"",VLOOKUP(C31,科目設定,2,0))</f>
        <v>役員からの短期借入金 1</v>
      </c>
      <c r="L31" s="21" t="str">
        <f>IF(ISBLANK(C31),"",IF(VLOOKUP(C31,科目設定,9,0)="借方",SUMIF(C$2:C31,C31,借方)-SUMIF(C$2:C31,C31,貸方),""))</f>
        <v/>
      </c>
      <c r="M31" s="108">
        <f>IF(ISBLANK(C31),"",IF(VLOOKUP(C31,科目設定,9,0)="貸方",SUMIF(C$2:C31,C31,貸方)-SUMIF(C$2:C31,C31,借方),""))</f>
        <v>1839816</v>
      </c>
      <c r="N31" s="138">
        <f t="shared" si="0"/>
        <v>11311360</v>
      </c>
      <c r="O31" s="139">
        <f t="shared" si="1"/>
        <v>11311360</v>
      </c>
      <c r="P31" s="130" t="str">
        <f>IF(ISBLANK(C31),"",IF(C31=J31,"前期繰越",IF(COUNTIF(O$2:O$89,-O31)=1,VLOOKUP(INDEX(科目,MATCH(-O31,O$2:O$89,0),1),科目設定,2,0),"諸口")))</f>
        <v>役員報酬 1</v>
      </c>
      <c r="Q31" s="131" t="str">
        <f>IF(ISBLANK(G31),"",VLOOKUP(G31,品番設定,2,0))</f>
        <v/>
      </c>
    </row>
    <row r="32" spans="1:17" ht="16.5" customHeight="1">
      <c r="A32" s="3">
        <v>44196</v>
      </c>
      <c r="B32" s="5">
        <v>1</v>
      </c>
      <c r="C32" s="5">
        <v>101.1</v>
      </c>
      <c r="D32" s="6">
        <v>692571</v>
      </c>
      <c r="E32" s="7"/>
      <c r="F32" s="193" t="s">
        <v>16</v>
      </c>
      <c r="G32" s="5"/>
      <c r="H32" s="141"/>
      <c r="I32" s="141"/>
      <c r="J32" s="106">
        <f>IF(診断,-1,IF(SUMIF(N$2:N$89,N32,貸方)=SUMIF(N$2:N$89,N32,借方),IF(COUNTIF(F32,O$1),C32,),-1))</f>
        <v>0</v>
      </c>
      <c r="K32" s="129" t="str">
        <f>IF(ISBLANK(C32),"",VLOOKUP(C32,科目設定,2,0))</f>
        <v>役員からの短期借入金 1</v>
      </c>
      <c r="L32" s="21" t="str">
        <f>IF(ISBLANK(C32),"",IF(VLOOKUP(C32,科目設定,9,0)="借方",SUMIF(C$2:C32,C32,借方)-SUMIF(C$2:C32,C32,貸方),""))</f>
        <v/>
      </c>
      <c r="M32" s="108">
        <f>IF(ISBLANK(C32),"",IF(VLOOKUP(C32,科目設定,9,0)="貸方",SUMIF(C$2:C32,C32,貸方)-SUMIF(C$2:C32,C32,借方),""))</f>
        <v>1147245</v>
      </c>
      <c r="N32" s="138">
        <f t="shared" si="0"/>
        <v>11314177</v>
      </c>
      <c r="O32" s="139">
        <f t="shared" si="1"/>
        <v>-11314177</v>
      </c>
      <c r="P32" s="130" t="str">
        <f>IF(ISBLANK(C32),"",IF(C32=J32,"前期繰越",IF(COUNTIF(O$2:O$89,-O32)=1,VLOOKUP(INDEX(科目,MATCH(-O32,O$2:O$89,0),1),科目設定,2,0),"諸口")))</f>
        <v>債務免除益</v>
      </c>
      <c r="Q32" s="131" t="str">
        <f>IF(ISBLANK(G32),"",VLOOKUP(G32,品番設定,2,0))</f>
        <v/>
      </c>
    </row>
    <row r="33" spans="1:17" ht="16.5" customHeight="1">
      <c r="A33" s="3">
        <v>43831</v>
      </c>
      <c r="B33" s="4"/>
      <c r="C33" s="5">
        <v>105</v>
      </c>
      <c r="D33" s="7"/>
      <c r="E33" s="6">
        <v>11494</v>
      </c>
      <c r="F33" s="193" t="s">
        <v>10</v>
      </c>
      <c r="G33" s="5"/>
      <c r="H33" s="141"/>
      <c r="I33" s="141"/>
      <c r="J33" s="106">
        <f>IF(診断,-1,IF(SUMIF(N$2:N$89,N33,貸方)=SUMIF(N$2:N$89,N33,借方),IF(COUNTIF(F33,O$1),C33,),-1))</f>
        <v>105</v>
      </c>
      <c r="K33" s="129" t="str">
        <f>IF(ISBLANK(C33),"",VLOOKUP(C33,科目設定,2,0))</f>
        <v>預り金</v>
      </c>
      <c r="L33" s="21" t="str">
        <f>IF(ISBLANK(C33),"",IF(VLOOKUP(C33,科目設定,9,0)="借方",SUMIF(C$2:C33,C33,借方)-SUMIF(C$2:C33,C33,貸方),""))</f>
        <v/>
      </c>
      <c r="M33" s="108">
        <f>IF(ISBLANK(C33),"",IF(VLOOKUP(C33,科目設定,9,0)="貸方",SUMIF(C$2:C33,C33,貸方)-SUMIF(C$2:C33,C33,借方),""))</f>
        <v>11494</v>
      </c>
      <c r="N33" s="138">
        <f t="shared" si="0"/>
        <v>11220736</v>
      </c>
      <c r="O33" s="139">
        <f t="shared" si="1"/>
        <v>11220736</v>
      </c>
      <c r="P33" s="130" t="str">
        <f>IF(ISBLANK(C33),"",IF(C33=J33,"前期繰越",IF(COUNTIF(O$2:O$89,-O33)=1,VLOOKUP(INDEX(科目,MATCH(-O33,O$2:O$89,0),1),科目設定,2,0),"諸口")))</f>
        <v>前期繰越</v>
      </c>
      <c r="Q33" s="131" t="str">
        <f>IF(ISBLANK(G33),"",VLOOKUP(G33,品番設定,2,0))</f>
        <v/>
      </c>
    </row>
    <row r="34" spans="1:17" ht="16.5" customHeight="1">
      <c r="A34" s="3">
        <v>43836</v>
      </c>
      <c r="B34" s="4"/>
      <c r="C34" s="5">
        <v>105</v>
      </c>
      <c r="D34" s="6">
        <v>11494</v>
      </c>
      <c r="E34" s="7"/>
      <c r="F34" s="9"/>
      <c r="G34" s="5"/>
      <c r="H34" s="141"/>
      <c r="I34" s="141"/>
      <c r="J34" s="106">
        <f>IF(診断,-1,IF(SUMIF(N$2:N$89,N34,貸方)=SUMIF(N$2:N$89,N34,借方),IF(COUNTIF(F34,O$1),C34,),-1))</f>
        <v>0</v>
      </c>
      <c r="K34" s="129" t="str">
        <f>IF(ISBLANK(C34),"",VLOOKUP(C34,科目設定,2,0))</f>
        <v>預り金</v>
      </c>
      <c r="L34" s="21" t="str">
        <f>IF(ISBLANK(C34),"",IF(VLOOKUP(C34,科目設定,9,0)="借方",SUMIF(C$2:C34,C34,借方)-SUMIF(C$2:C34,C34,貸方),""))</f>
        <v/>
      </c>
      <c r="M34" s="108">
        <f>IF(ISBLANK(C34),"",IF(VLOOKUP(C34,科目設定,9,0)="貸方",SUMIF(C$2:C34,C34,貸方)-SUMIF(C$2:C34,C34,借方),""))</f>
        <v>0</v>
      </c>
      <c r="N34" s="138">
        <f t="shared" si="0"/>
        <v>11222016</v>
      </c>
      <c r="O34" s="139">
        <f t="shared" si="1"/>
        <v>-11222016</v>
      </c>
      <c r="P34" s="130" t="str">
        <f>IF(ISBLANK(C34),"",IF(C34=J34,"前期繰越",IF(COUNTIF(O$2:O$89,-O34)=1,VLOOKUP(INDEX(科目,MATCH(-O34,O$2:O$89,0),1),科目設定,2,0),"諸口")))</f>
        <v>普通預金 ゆうちょ銀行</v>
      </c>
      <c r="Q34" s="131" t="str">
        <f>IF(ISBLANK(G34),"",VLOOKUP(G34,品番設定,2,0))</f>
        <v/>
      </c>
    </row>
    <row r="35" spans="1:17" ht="16.5" customHeight="1">
      <c r="A35" s="3">
        <v>43861</v>
      </c>
      <c r="B35" s="4"/>
      <c r="C35" s="5">
        <v>105</v>
      </c>
      <c r="D35" s="6">
        <v>11494</v>
      </c>
      <c r="E35" s="7"/>
      <c r="F35" s="9"/>
      <c r="G35" s="5"/>
      <c r="H35" s="141"/>
      <c r="I35" s="141"/>
      <c r="J35" s="106">
        <f>IF(診断,-1,IF(SUMIF(N$2:N$89,N35,貸方)=SUMIF(N$2:N$89,N35,借方),IF(COUNTIF(F35,O$1),C35,),-1))</f>
        <v>0</v>
      </c>
      <c r="K35" s="129" t="str">
        <f>IF(ISBLANK(C35),"",VLOOKUP(C35,科目設定,2,0))</f>
        <v>預り金</v>
      </c>
      <c r="L35" s="21" t="str">
        <f>IF(ISBLANK(C35),"",IF(VLOOKUP(C35,科目設定,9,0)="借方",SUMIF(C$2:C35,C35,借方)-SUMIF(C$2:C35,C35,貸方),""))</f>
        <v/>
      </c>
      <c r="M35" s="108">
        <f>IF(ISBLANK(C35),"",IF(VLOOKUP(C35,科目設定,9,0)="貸方",SUMIF(C$2:C35,C35,貸方)-SUMIF(C$2:C35,C35,借方),""))</f>
        <v>-11494</v>
      </c>
      <c r="N35" s="138">
        <f t="shared" si="0"/>
        <v>11228416</v>
      </c>
      <c r="O35" s="139">
        <f t="shared" si="1"/>
        <v>-11228416</v>
      </c>
      <c r="P35" s="130" t="str">
        <f>IF(ISBLANK(C35),"",IF(C35=J35,"前期繰越",IF(COUNTIF(O$2:O$89,-O35)=1,VLOOKUP(INDEX(科目,MATCH(-O35,O$2:O$89,0),1),科目設定,2,0),"諸口")))</f>
        <v>普通預金 ゆうちょ銀行</v>
      </c>
      <c r="Q35" s="131" t="str">
        <f>IF(ISBLANK(G35),"",VLOOKUP(G35,品番設定,2,0))</f>
        <v/>
      </c>
    </row>
    <row r="36" spans="1:17" ht="16.5" customHeight="1">
      <c r="A36" s="3">
        <v>43892</v>
      </c>
      <c r="B36" s="4"/>
      <c r="C36" s="5">
        <v>105</v>
      </c>
      <c r="D36" s="6">
        <v>11494</v>
      </c>
      <c r="E36" s="7"/>
      <c r="F36" s="9"/>
      <c r="G36" s="5"/>
      <c r="H36" s="141"/>
      <c r="I36" s="141"/>
      <c r="J36" s="106">
        <f>IF(診断,-1,IF(SUMIF(N$2:N$89,N36,貸方)=SUMIF(N$2:N$89,N36,借方),IF(COUNTIF(F36,O$1),C36,),-1))</f>
        <v>0</v>
      </c>
      <c r="K36" s="129" t="str">
        <f>IF(ISBLANK(C36),"",VLOOKUP(C36,科目設定,2,0))</f>
        <v>預り金</v>
      </c>
      <c r="L36" s="21" t="str">
        <f>IF(ISBLANK(C36),"",IF(VLOOKUP(C36,科目設定,9,0)="借方",SUMIF(C$2:C36,C36,借方)-SUMIF(C$2:C36,C36,貸方),""))</f>
        <v/>
      </c>
      <c r="M36" s="108">
        <f>IF(ISBLANK(C36),"",IF(VLOOKUP(C36,科目設定,9,0)="貸方",SUMIF(C$2:C36,C36,貸方)-SUMIF(C$2:C36,C36,借方),""))</f>
        <v>-22988</v>
      </c>
      <c r="N36" s="138">
        <f t="shared" si="0"/>
        <v>11236352</v>
      </c>
      <c r="O36" s="139">
        <f t="shared" si="1"/>
        <v>-11236352</v>
      </c>
      <c r="P36" s="130" t="str">
        <f>IF(ISBLANK(C36),"",IF(C36=J36,"前期繰越",IF(COUNTIF(O$2:O$89,-O36)=1,VLOOKUP(INDEX(科目,MATCH(-O36,O$2:O$89,0),1),科目設定,2,0),"諸口")))</f>
        <v>普通預金 ゆうちょ銀行</v>
      </c>
      <c r="Q36" s="131" t="str">
        <f>IF(ISBLANK(G36),"",VLOOKUP(G36,品番設定,2,0))</f>
        <v/>
      </c>
    </row>
    <row r="37" spans="1:17" ht="16.5" customHeight="1">
      <c r="A37" s="3">
        <v>43921</v>
      </c>
      <c r="B37" s="4"/>
      <c r="C37" s="5">
        <v>105</v>
      </c>
      <c r="D37" s="6">
        <v>11494</v>
      </c>
      <c r="E37" s="7"/>
      <c r="F37" s="9"/>
      <c r="G37" s="5"/>
      <c r="H37" s="141"/>
      <c r="I37" s="141"/>
      <c r="J37" s="106">
        <f>IF(診断,-1,IF(SUMIF(N$2:N$89,N37,貸方)=SUMIF(N$2:N$89,N37,借方),IF(COUNTIF(F37,O$1),C37,),-1))</f>
        <v>0</v>
      </c>
      <c r="K37" s="129" t="str">
        <f>IF(ISBLANK(C37),"",VLOOKUP(C37,科目設定,2,0))</f>
        <v>預り金</v>
      </c>
      <c r="L37" s="21" t="str">
        <f>IF(ISBLANK(C37),"",IF(VLOOKUP(C37,科目設定,9,0)="借方",SUMIF(C$2:C37,C37,借方)-SUMIF(C$2:C37,C37,貸方),""))</f>
        <v/>
      </c>
      <c r="M37" s="108">
        <f>IF(ISBLANK(C37),"",IF(VLOOKUP(C37,科目設定,9,0)="貸方",SUMIF(C$2:C37,C37,貸方)-SUMIF(C$2:C37,C37,借方),""))</f>
        <v>-34482</v>
      </c>
      <c r="N37" s="138">
        <f t="shared" si="0"/>
        <v>11243776</v>
      </c>
      <c r="O37" s="139">
        <f t="shared" si="1"/>
        <v>-11243776</v>
      </c>
      <c r="P37" s="130" t="str">
        <f>IF(ISBLANK(C37),"",IF(C37=J37,"前期繰越",IF(COUNTIF(O$2:O$89,-O37)=1,VLOOKUP(INDEX(科目,MATCH(-O37,O$2:O$89,0),1),科目設定,2,0),"諸口")))</f>
        <v>普通預金 ゆうちょ銀行</v>
      </c>
      <c r="Q37" s="131" t="str">
        <f>IF(ISBLANK(G37),"",VLOOKUP(G37,品番設定,2,0))</f>
        <v/>
      </c>
    </row>
    <row r="38" spans="1:17" ht="16.5" customHeight="1">
      <c r="A38" s="3">
        <v>43951</v>
      </c>
      <c r="B38" s="4"/>
      <c r="C38" s="5">
        <v>105</v>
      </c>
      <c r="D38" s="6">
        <v>11512</v>
      </c>
      <c r="E38" s="7"/>
      <c r="F38" s="9" t="s">
        <v>14</v>
      </c>
      <c r="G38" s="5"/>
      <c r="H38" s="141"/>
      <c r="I38" s="141"/>
      <c r="J38" s="106">
        <f>IF(診断,-1,IF(SUMIF(N$2:N$89,N38,貸方)=SUMIF(N$2:N$89,N38,借方),IF(COUNTIF(F38,O$1),C38,),-1))</f>
        <v>0</v>
      </c>
      <c r="K38" s="129" t="str">
        <f>IF(ISBLANK(C38),"",VLOOKUP(C38,科目設定,2,0))</f>
        <v>預り金</v>
      </c>
      <c r="L38" s="21" t="str">
        <f>IF(ISBLANK(C38),"",IF(VLOOKUP(C38,科目設定,9,0)="借方",SUMIF(C$2:C38,C38,借方)-SUMIF(C$2:C38,C38,貸方),""))</f>
        <v/>
      </c>
      <c r="M38" s="108">
        <f>IF(ISBLANK(C38),"",IF(VLOOKUP(C38,科目設定,9,0)="貸方",SUMIF(C$2:C38,C38,貸方)-SUMIF(C$2:C38,C38,借方),""))</f>
        <v>-45994</v>
      </c>
      <c r="N38" s="138">
        <f t="shared" si="0"/>
        <v>11251456</v>
      </c>
      <c r="O38" s="139">
        <f t="shared" si="1"/>
        <v>-11251456</v>
      </c>
      <c r="P38" s="130" t="str">
        <f>IF(ISBLANK(C38),"",IF(C38=J38,"前期繰越",IF(COUNTIF(O$2:O$89,-O38)=1,VLOOKUP(INDEX(科目,MATCH(-O38,O$2:O$89,0),1),科目設定,2,0),"諸口")))</f>
        <v>普通預金 ゆうちょ銀行</v>
      </c>
      <c r="Q38" s="131" t="str">
        <f>IF(ISBLANK(G38),"",VLOOKUP(G38,品番設定,2,0))</f>
        <v/>
      </c>
    </row>
    <row r="39" spans="1:17" ht="16.5" customHeight="1">
      <c r="A39" s="3">
        <v>43983</v>
      </c>
      <c r="B39" s="4"/>
      <c r="C39" s="5">
        <v>105</v>
      </c>
      <c r="D39" s="6">
        <v>11512</v>
      </c>
      <c r="E39" s="7"/>
      <c r="F39" s="9"/>
      <c r="G39" s="5"/>
      <c r="H39" s="141"/>
      <c r="I39" s="141"/>
      <c r="J39" s="106">
        <f>IF(診断,-1,IF(SUMIF(N$2:N$89,N39,貸方)=SUMIF(N$2:N$89,N39,借方),IF(COUNTIF(F39,O$1),C39,),-1))</f>
        <v>0</v>
      </c>
      <c r="K39" s="129" t="str">
        <f>IF(ISBLANK(C39),"",VLOOKUP(C39,科目設定,2,0))</f>
        <v>預り金</v>
      </c>
      <c r="L39" s="21" t="str">
        <f>IF(ISBLANK(C39),"",IF(VLOOKUP(C39,科目設定,9,0)="借方",SUMIF(C$2:C39,C39,借方)-SUMIF(C$2:C39,C39,貸方),""))</f>
        <v/>
      </c>
      <c r="M39" s="108">
        <f>IF(ISBLANK(C39),"",IF(VLOOKUP(C39,科目設定,9,0)="貸方",SUMIF(C$2:C39,C39,貸方)-SUMIF(C$2:C39,C39,借方),""))</f>
        <v>-57506</v>
      </c>
      <c r="N39" s="138">
        <f t="shared" si="0"/>
        <v>11259648</v>
      </c>
      <c r="O39" s="139">
        <f t="shared" si="1"/>
        <v>-11259648</v>
      </c>
      <c r="P39" s="130" t="str">
        <f>IF(ISBLANK(C39),"",IF(C39=J39,"前期繰越",IF(COUNTIF(O$2:O$89,-O39)=1,VLOOKUP(INDEX(科目,MATCH(-O39,O$2:O$89,0),1),科目設定,2,0),"諸口")))</f>
        <v>普通預金 ゆうちょ銀行</v>
      </c>
      <c r="Q39" s="131" t="str">
        <f>IF(ISBLANK(G39),"",VLOOKUP(G39,品番設定,2,0))</f>
        <v/>
      </c>
    </row>
    <row r="40" spans="1:17" ht="16.5" customHeight="1">
      <c r="A40" s="3">
        <v>44012</v>
      </c>
      <c r="B40" s="4"/>
      <c r="C40" s="5">
        <v>105</v>
      </c>
      <c r="D40" s="6">
        <v>11512</v>
      </c>
      <c r="E40" s="7"/>
      <c r="F40" s="9"/>
      <c r="G40" s="5"/>
      <c r="H40" s="141"/>
      <c r="I40" s="141"/>
      <c r="J40" s="106">
        <f>IF(診断,-1,IF(SUMIF(N$2:N$89,N40,貸方)=SUMIF(N$2:N$89,N40,借方),IF(COUNTIF(F40,O$1),C40,),-1))</f>
        <v>0</v>
      </c>
      <c r="K40" s="129" t="str">
        <f>IF(ISBLANK(C40),"",VLOOKUP(C40,科目設定,2,0))</f>
        <v>預り金</v>
      </c>
      <c r="L40" s="21" t="str">
        <f>IF(ISBLANK(C40),"",IF(VLOOKUP(C40,科目設定,9,0)="借方",SUMIF(C$2:C40,C40,借方)-SUMIF(C$2:C40,C40,貸方),""))</f>
        <v/>
      </c>
      <c r="M40" s="108">
        <f>IF(ISBLANK(C40),"",IF(VLOOKUP(C40,科目設定,9,0)="貸方",SUMIF(C$2:C40,C40,貸方)-SUMIF(C$2:C40,C40,借方),""))</f>
        <v>-69018</v>
      </c>
      <c r="N40" s="138">
        <f t="shared" si="0"/>
        <v>11267072</v>
      </c>
      <c r="O40" s="139">
        <f t="shared" si="1"/>
        <v>-11267072</v>
      </c>
      <c r="P40" s="130" t="str">
        <f>IF(ISBLANK(C40),"",IF(C40=J40,"前期繰越",IF(COUNTIF(O$2:O$89,-O40)=1,VLOOKUP(INDEX(科目,MATCH(-O40,O$2:O$89,0),1),科目設定,2,0),"諸口")))</f>
        <v>普通預金 ゆうちょ銀行</v>
      </c>
      <c r="Q40" s="131" t="str">
        <f>IF(ISBLANK(G40),"",VLOOKUP(G40,品番設定,2,0))</f>
        <v/>
      </c>
    </row>
    <row r="41" spans="1:17" ht="16.5" customHeight="1">
      <c r="A41" s="3">
        <v>44043</v>
      </c>
      <c r="B41" s="4"/>
      <c r="C41" s="5">
        <v>105</v>
      </c>
      <c r="D41" s="6">
        <v>11512</v>
      </c>
      <c r="E41" s="7"/>
      <c r="F41" s="9"/>
      <c r="G41" s="5"/>
      <c r="H41" s="141"/>
      <c r="I41" s="141"/>
      <c r="J41" s="106">
        <f>IF(診断,-1,IF(SUMIF(N$2:N$89,N41,貸方)=SUMIF(N$2:N$89,N41,借方),IF(COUNTIF(F41,O$1),C41,),-1))</f>
        <v>0</v>
      </c>
      <c r="K41" s="129" t="str">
        <f>IF(ISBLANK(C41),"",VLOOKUP(C41,科目設定,2,0))</f>
        <v>預り金</v>
      </c>
      <c r="L41" s="21" t="str">
        <f>IF(ISBLANK(C41),"",IF(VLOOKUP(C41,科目設定,9,0)="借方",SUMIF(C$2:C41,C41,借方)-SUMIF(C$2:C41,C41,貸方),""))</f>
        <v/>
      </c>
      <c r="M41" s="108">
        <f>IF(ISBLANK(C41),"",IF(VLOOKUP(C41,科目設定,9,0)="貸方",SUMIF(C$2:C41,C41,貸方)-SUMIF(C$2:C41,C41,借方),""))</f>
        <v>-80530</v>
      </c>
      <c r="N41" s="138">
        <f t="shared" si="0"/>
        <v>11275008</v>
      </c>
      <c r="O41" s="139">
        <f t="shared" si="1"/>
        <v>-11275008</v>
      </c>
      <c r="P41" s="130" t="str">
        <f>IF(ISBLANK(C41),"",IF(C41=J41,"前期繰越",IF(COUNTIF(O$2:O$89,-O41)=1,VLOOKUP(INDEX(科目,MATCH(-O41,O$2:O$89,0),1),科目設定,2,0),"諸口")))</f>
        <v>普通預金 ゆうちょ銀行</v>
      </c>
      <c r="Q41" s="131" t="str">
        <f>IF(ISBLANK(G41),"",VLOOKUP(G41,品番設定,2,0))</f>
        <v/>
      </c>
    </row>
    <row r="42" spans="1:17" ht="16.5" customHeight="1">
      <c r="A42" s="3">
        <v>44074</v>
      </c>
      <c r="B42" s="4"/>
      <c r="C42" s="5">
        <v>105</v>
      </c>
      <c r="D42" s="6">
        <v>11512</v>
      </c>
      <c r="E42" s="7"/>
      <c r="F42" s="9"/>
      <c r="G42" s="5"/>
      <c r="H42" s="141"/>
      <c r="I42" s="141"/>
      <c r="J42" s="106">
        <f>IF(診断,-1,IF(SUMIF(N$2:N$89,N42,貸方)=SUMIF(N$2:N$89,N42,借方),IF(COUNTIF(F42,O$1),C42,),-1))</f>
        <v>0</v>
      </c>
      <c r="K42" s="129" t="str">
        <f>IF(ISBLANK(C42),"",VLOOKUP(C42,科目設定,2,0))</f>
        <v>預り金</v>
      </c>
      <c r="L42" s="21" t="str">
        <f>IF(ISBLANK(C42),"",IF(VLOOKUP(C42,科目設定,9,0)="借方",SUMIF(C$2:C42,C42,借方)-SUMIF(C$2:C42,C42,貸方),""))</f>
        <v/>
      </c>
      <c r="M42" s="108">
        <f>IF(ISBLANK(C42),"",IF(VLOOKUP(C42,科目設定,9,0)="貸方",SUMIF(C$2:C42,C42,貸方)-SUMIF(C$2:C42,C42,借方),""))</f>
        <v>-92042</v>
      </c>
      <c r="N42" s="138">
        <f t="shared" si="0"/>
        <v>11282944</v>
      </c>
      <c r="O42" s="139">
        <f t="shared" si="1"/>
        <v>-11282944</v>
      </c>
      <c r="P42" s="130" t="str">
        <f>IF(ISBLANK(C42),"",IF(C42=J42,"前期繰越",IF(COUNTIF(O$2:O$89,-O42)=1,VLOOKUP(INDEX(科目,MATCH(-O42,O$2:O$89,0),1),科目設定,2,0),"諸口")))</f>
        <v>普通預金 ゆうちょ銀行</v>
      </c>
      <c r="Q42" s="131" t="str">
        <f>IF(ISBLANK(G42),"",VLOOKUP(G42,品番設定,2,0))</f>
        <v/>
      </c>
    </row>
    <row r="43" spans="1:17" ht="16.5" customHeight="1">
      <c r="A43" s="3">
        <v>44104</v>
      </c>
      <c r="B43" s="4"/>
      <c r="C43" s="5">
        <v>105</v>
      </c>
      <c r="D43" s="6">
        <v>11512</v>
      </c>
      <c r="E43" s="7"/>
      <c r="F43" s="9"/>
      <c r="G43" s="5"/>
      <c r="H43" s="141"/>
      <c r="I43" s="141"/>
      <c r="J43" s="106">
        <f>IF(診断,-1,IF(SUMIF(N$2:N$89,N43,貸方)=SUMIF(N$2:N$89,N43,借方),IF(COUNTIF(F43,O$1),C43,),-1))</f>
        <v>0</v>
      </c>
      <c r="K43" s="129" t="str">
        <f>IF(ISBLANK(C43),"",VLOOKUP(C43,科目設定,2,0))</f>
        <v>預り金</v>
      </c>
      <c r="L43" s="21" t="str">
        <f>IF(ISBLANK(C43),"",IF(VLOOKUP(C43,科目設定,9,0)="借方",SUMIF(C$2:C43,C43,借方)-SUMIF(C$2:C43,C43,貸方),""))</f>
        <v/>
      </c>
      <c r="M43" s="108">
        <f>IF(ISBLANK(C43),"",IF(VLOOKUP(C43,科目設定,9,0)="貸方",SUMIF(C$2:C43,C43,貸方)-SUMIF(C$2:C43,C43,借方),""))</f>
        <v>-103554</v>
      </c>
      <c r="N43" s="138">
        <f t="shared" si="0"/>
        <v>11290624</v>
      </c>
      <c r="O43" s="139">
        <f t="shared" si="1"/>
        <v>-11290624</v>
      </c>
      <c r="P43" s="130" t="str">
        <f>IF(ISBLANK(C43),"",IF(C43=J43,"前期繰越",IF(COUNTIF(O$2:O$89,-O43)=1,VLOOKUP(INDEX(科目,MATCH(-O43,O$2:O$89,0),1),科目設定,2,0),"諸口")))</f>
        <v>普通預金 ゆうちょ銀行</v>
      </c>
      <c r="Q43" s="131" t="str">
        <f>IF(ISBLANK(G43),"",VLOOKUP(G43,品番設定,2,0))</f>
        <v/>
      </c>
    </row>
    <row r="44" spans="1:17" ht="16.5" customHeight="1">
      <c r="A44" s="3">
        <v>44137</v>
      </c>
      <c r="B44" s="4"/>
      <c r="C44" s="5">
        <v>105</v>
      </c>
      <c r="D44" s="6">
        <v>11512</v>
      </c>
      <c r="E44" s="7"/>
      <c r="F44" s="9"/>
      <c r="G44" s="5"/>
      <c r="H44" s="141"/>
      <c r="I44" s="141"/>
      <c r="J44" s="106">
        <f>IF(診断,-1,IF(SUMIF(N$2:N$89,N44,貸方)=SUMIF(N$2:N$89,N44,借方),IF(COUNTIF(F44,O$1),C44,),-1))</f>
        <v>0</v>
      </c>
      <c r="K44" s="129" t="str">
        <f>IF(ISBLANK(C44),"",VLOOKUP(C44,科目設定,2,0))</f>
        <v>預り金</v>
      </c>
      <c r="L44" s="21" t="str">
        <f>IF(ISBLANK(C44),"",IF(VLOOKUP(C44,科目設定,9,0)="借方",SUMIF(C$2:C44,C44,借方)-SUMIF(C$2:C44,C44,貸方),""))</f>
        <v/>
      </c>
      <c r="M44" s="108">
        <f>IF(ISBLANK(C44),"",IF(VLOOKUP(C44,科目設定,9,0)="貸方",SUMIF(C$2:C44,C44,貸方)-SUMIF(C$2:C44,C44,借方),""))</f>
        <v>-115066</v>
      </c>
      <c r="N44" s="138">
        <f t="shared" si="0"/>
        <v>11299072</v>
      </c>
      <c r="O44" s="139">
        <f t="shared" si="1"/>
        <v>-11299072</v>
      </c>
      <c r="P44" s="130" t="str">
        <f>IF(ISBLANK(C44),"",IF(C44=J44,"前期繰越",IF(COUNTIF(O$2:O$89,-O44)=1,VLOOKUP(INDEX(科目,MATCH(-O44,O$2:O$89,0),1),科目設定,2,0),"諸口")))</f>
        <v>普通預金 ゆうちょ銀行</v>
      </c>
      <c r="Q44" s="131" t="str">
        <f>IF(ISBLANK(G44),"",VLOOKUP(G44,品番設定,2,0))</f>
        <v/>
      </c>
    </row>
    <row r="45" spans="1:17" ht="16.5" customHeight="1">
      <c r="A45" s="3">
        <v>44165</v>
      </c>
      <c r="B45" s="4"/>
      <c r="C45" s="5">
        <v>105</v>
      </c>
      <c r="D45" s="6">
        <v>11512</v>
      </c>
      <c r="E45" s="7"/>
      <c r="F45" s="9"/>
      <c r="G45" s="5"/>
      <c r="H45" s="141"/>
      <c r="I45" s="141"/>
      <c r="J45" s="106">
        <f>IF(診断,-1,IF(SUMIF(N$2:N$89,N45,貸方)=SUMIF(N$2:N$89,N45,借方),IF(COUNTIF(F45,O$1),C45,),-1))</f>
        <v>0</v>
      </c>
      <c r="K45" s="129" t="str">
        <f>IF(ISBLANK(C45),"",VLOOKUP(C45,科目設定,2,0))</f>
        <v>預り金</v>
      </c>
      <c r="L45" s="21" t="str">
        <f>IF(ISBLANK(C45),"",IF(VLOOKUP(C45,科目設定,9,0)="借方",SUMIF(C$2:C45,C45,借方)-SUMIF(C$2:C45,C45,貸方),""))</f>
        <v/>
      </c>
      <c r="M45" s="108">
        <f>IF(ISBLANK(C45),"",IF(VLOOKUP(C45,科目設定,9,0)="貸方",SUMIF(C$2:C45,C45,貸方)-SUMIF(C$2:C45,C45,借方),""))</f>
        <v>-126578</v>
      </c>
      <c r="N45" s="138">
        <f t="shared" si="0"/>
        <v>11306240</v>
      </c>
      <c r="O45" s="139">
        <f t="shared" si="1"/>
        <v>-11306240</v>
      </c>
      <c r="P45" s="130" t="str">
        <f>IF(ISBLANK(C45),"",IF(C45=J45,"前期繰越",IF(COUNTIF(O$2:O$89,-O45)=1,VLOOKUP(INDEX(科目,MATCH(-O45,O$2:O$89,0),1),科目設定,2,0),"諸口")))</f>
        <v>普通預金 ゆうちょ銀行</v>
      </c>
      <c r="Q45" s="131" t="str">
        <f>IF(ISBLANK(G45),"",VLOOKUP(G45,品番設定,2,0))</f>
        <v/>
      </c>
    </row>
    <row r="46" spans="1:17" ht="16.5" customHeight="1">
      <c r="A46" s="3">
        <v>43850</v>
      </c>
      <c r="B46" s="4"/>
      <c r="C46" s="5">
        <v>105.1</v>
      </c>
      <c r="D46" s="7"/>
      <c r="E46" s="6">
        <v>11494</v>
      </c>
      <c r="F46" s="9"/>
      <c r="G46" s="5"/>
      <c r="H46" s="141"/>
      <c r="I46" s="141"/>
      <c r="J46" s="106">
        <f>IF(診断,-1,IF(SUMIF(N$2:N$89,N46,貸方)=SUMIF(N$2:N$89,N46,借方),IF(COUNTIF(F46,O$1),C46,),-1))</f>
        <v>0</v>
      </c>
      <c r="K46" s="129" t="str">
        <f>IF(ISBLANK(C46),"",VLOOKUP(C46,科目設定,2,0))</f>
        <v>社保預り金 1</v>
      </c>
      <c r="L46" s="21" t="str">
        <f>IF(ISBLANK(C46),"",IF(VLOOKUP(C46,科目設定,9,0)="借方",SUMIF(C$2:C46,C46,借方)-SUMIF(C$2:C46,C46,貸方),""))</f>
        <v/>
      </c>
      <c r="M46" s="108">
        <f>IF(ISBLANK(C46),"",IF(VLOOKUP(C46,科目設定,9,0)="貸方",SUMIF(C$2:C46,C46,貸方)-SUMIF(C$2:C46,C46,借方),""))</f>
        <v>11494</v>
      </c>
      <c r="N46" s="138">
        <f t="shared" si="0"/>
        <v>11225600</v>
      </c>
      <c r="O46" s="139">
        <f t="shared" si="1"/>
        <v>11225600</v>
      </c>
      <c r="P46" s="130" t="str">
        <f>IF(ISBLANK(C46),"",IF(C46=J46,"前期繰越",IF(COUNTIF(O$2:O$89,-O46)=1,VLOOKUP(INDEX(科目,MATCH(-O46,O$2:O$89,0),1),科目設定,2,0),"諸口")))</f>
        <v>役員報酬 1</v>
      </c>
      <c r="Q46" s="131" t="str">
        <f>IF(ISBLANK(G46),"",VLOOKUP(G46,品番設定,2,0))</f>
        <v/>
      </c>
    </row>
    <row r="47" spans="1:17" ht="16.5" customHeight="1">
      <c r="A47" s="3">
        <v>43881</v>
      </c>
      <c r="B47" s="5"/>
      <c r="C47" s="5">
        <v>105.1</v>
      </c>
      <c r="D47" s="7"/>
      <c r="E47" s="6">
        <v>11494</v>
      </c>
      <c r="F47" s="9"/>
      <c r="G47" s="5"/>
      <c r="H47" s="141"/>
      <c r="I47" s="141"/>
      <c r="J47" s="106">
        <f>IF(診断,-1,IF(SUMIF(N$2:N$89,N47,貸方)=SUMIF(N$2:N$89,N47,借方),IF(COUNTIF(F47,O$1),C47,),-1))</f>
        <v>0</v>
      </c>
      <c r="K47" s="129" t="str">
        <f>IF(ISBLANK(C47),"",VLOOKUP(C47,科目設定,2,0))</f>
        <v>社保預り金 1</v>
      </c>
      <c r="L47" s="21" t="str">
        <f>IF(ISBLANK(C47),"",IF(VLOOKUP(C47,科目設定,9,0)="借方",SUMIF(C$2:C47,C47,借方)-SUMIF(C$2:C47,C47,貸方),""))</f>
        <v/>
      </c>
      <c r="M47" s="108">
        <f>IF(ISBLANK(C47),"",IF(VLOOKUP(C47,科目設定,9,0)="貸方",SUMIF(C$2:C47,C47,貸方)-SUMIF(C$2:C47,C47,借方),""))</f>
        <v>22988</v>
      </c>
      <c r="N47" s="138">
        <f t="shared" si="0"/>
        <v>11233536</v>
      </c>
      <c r="O47" s="139">
        <f t="shared" si="1"/>
        <v>11233536</v>
      </c>
      <c r="P47" s="130" t="str">
        <f>IF(ISBLANK(C47),"",IF(C47=J47,"前期繰越",IF(COUNTIF(O$2:O$89,-O47)=1,VLOOKUP(INDEX(科目,MATCH(-O47,O$2:O$89,0),1),科目設定,2,0),"諸口")))</f>
        <v>役員報酬 1</v>
      </c>
      <c r="Q47" s="131" t="str">
        <f>IF(ISBLANK(G47),"",VLOOKUP(G47,品番設定,2,0))</f>
        <v/>
      </c>
    </row>
    <row r="48" spans="1:17" ht="16.5" customHeight="1">
      <c r="A48" s="3">
        <v>43910</v>
      </c>
      <c r="B48" s="4"/>
      <c r="C48" s="5">
        <v>105.1</v>
      </c>
      <c r="D48" s="7"/>
      <c r="E48" s="6">
        <v>11494</v>
      </c>
      <c r="F48" s="9"/>
      <c r="G48" s="5"/>
      <c r="H48" s="141"/>
      <c r="I48" s="141"/>
      <c r="J48" s="106">
        <f>IF(診断,-1,IF(SUMIF(N$2:N$89,N48,貸方)=SUMIF(N$2:N$89,N48,借方),IF(COUNTIF(F48,O$1),C48,),-1))</f>
        <v>0</v>
      </c>
      <c r="K48" s="129" t="str">
        <f>IF(ISBLANK(C48),"",VLOOKUP(C48,科目設定,2,0))</f>
        <v>社保預り金 1</v>
      </c>
      <c r="L48" s="21" t="str">
        <f>IF(ISBLANK(C48),"",IF(VLOOKUP(C48,科目設定,9,0)="借方",SUMIF(C$2:C48,C48,借方)-SUMIF(C$2:C48,C48,貸方),""))</f>
        <v/>
      </c>
      <c r="M48" s="108">
        <f>IF(ISBLANK(C48),"",IF(VLOOKUP(C48,科目設定,9,0)="貸方",SUMIF(C$2:C48,C48,貸方)-SUMIF(C$2:C48,C48,借方),""))</f>
        <v>34482</v>
      </c>
      <c r="N48" s="138">
        <f t="shared" si="0"/>
        <v>11240960</v>
      </c>
      <c r="O48" s="139">
        <f t="shared" si="1"/>
        <v>11240960</v>
      </c>
      <c r="P48" s="130" t="str">
        <f>IF(ISBLANK(C48),"",IF(C48=J48,"前期繰越",IF(COUNTIF(O$2:O$89,-O48)=1,VLOOKUP(INDEX(科目,MATCH(-O48,O$2:O$89,0),1),科目設定,2,0),"諸口")))</f>
        <v>役員報酬 1</v>
      </c>
      <c r="Q48" s="131" t="str">
        <f>IF(ISBLANK(G48),"",VLOOKUP(G48,品番設定,2,0))</f>
        <v/>
      </c>
    </row>
    <row r="49" spans="1:17" ht="16.5" customHeight="1">
      <c r="A49" s="3">
        <v>43941</v>
      </c>
      <c r="B49" s="4"/>
      <c r="C49" s="5">
        <v>105.1</v>
      </c>
      <c r="D49" s="7"/>
      <c r="E49" s="6">
        <v>11512</v>
      </c>
      <c r="F49" s="9"/>
      <c r="G49" s="5"/>
      <c r="H49" s="141"/>
      <c r="I49" s="141"/>
      <c r="J49" s="106">
        <f>IF(診断,-1,IF(SUMIF(N$2:N$89,N49,貸方)=SUMIF(N$2:N$89,N49,借方),IF(COUNTIF(F49,O$1),C49,),-1))</f>
        <v>0</v>
      </c>
      <c r="K49" s="129" t="str">
        <f>IF(ISBLANK(C49),"",VLOOKUP(C49,科目設定,2,0))</f>
        <v>社保預り金 1</v>
      </c>
      <c r="L49" s="21" t="str">
        <f>IF(ISBLANK(C49),"",IF(VLOOKUP(C49,科目設定,9,0)="借方",SUMIF(C$2:C49,C49,借方)-SUMIF(C$2:C49,C49,貸方),""))</f>
        <v/>
      </c>
      <c r="M49" s="108">
        <f>IF(ISBLANK(C49),"",IF(VLOOKUP(C49,科目設定,9,0)="貸方",SUMIF(C$2:C49,C49,貸方)-SUMIF(C$2:C49,C49,借方),""))</f>
        <v>45994</v>
      </c>
      <c r="N49" s="138">
        <f t="shared" si="0"/>
        <v>11248896</v>
      </c>
      <c r="O49" s="139">
        <f t="shared" si="1"/>
        <v>11248896</v>
      </c>
      <c r="P49" s="130" t="str">
        <f>IF(ISBLANK(C49),"",IF(C49=J49,"前期繰越",IF(COUNTIF(O$2:O$89,-O49)=1,VLOOKUP(INDEX(科目,MATCH(-O49,O$2:O$89,0),1),科目設定,2,0),"諸口")))</f>
        <v>役員報酬 1</v>
      </c>
      <c r="Q49" s="131" t="str">
        <f>IF(ISBLANK(G49),"",VLOOKUP(G49,品番設定,2,0))</f>
        <v/>
      </c>
    </row>
    <row r="50" spans="1:17" ht="16.5" customHeight="1">
      <c r="A50" s="3">
        <v>43971</v>
      </c>
      <c r="B50" s="4"/>
      <c r="C50" s="5">
        <v>105.1</v>
      </c>
      <c r="D50" s="7"/>
      <c r="E50" s="6">
        <v>11512</v>
      </c>
      <c r="F50" s="9"/>
      <c r="G50" s="5"/>
      <c r="H50" s="141"/>
      <c r="I50" s="141"/>
      <c r="J50" s="106">
        <f>IF(診断,-1,IF(SUMIF(N$2:N$89,N50,貸方)=SUMIF(N$2:N$89,N50,借方),IF(COUNTIF(F50,O$1),C50,),-1))</f>
        <v>0</v>
      </c>
      <c r="K50" s="129" t="str">
        <f>IF(ISBLANK(C50),"",VLOOKUP(C50,科目設定,2,0))</f>
        <v>社保預り金 1</v>
      </c>
      <c r="L50" s="21" t="str">
        <f>IF(ISBLANK(C50),"",IF(VLOOKUP(C50,科目設定,9,0)="借方",SUMIF(C$2:C50,C50,借方)-SUMIF(C$2:C50,C50,貸方),""))</f>
        <v/>
      </c>
      <c r="M50" s="108">
        <f>IF(ISBLANK(C50),"",IF(VLOOKUP(C50,科目設定,9,0)="貸方",SUMIF(C$2:C50,C50,貸方)-SUMIF(C$2:C50,C50,借方),""))</f>
        <v>57506</v>
      </c>
      <c r="N50" s="138">
        <f t="shared" si="0"/>
        <v>11256576</v>
      </c>
      <c r="O50" s="139">
        <f t="shared" si="1"/>
        <v>11256576</v>
      </c>
      <c r="P50" s="130" t="str">
        <f>IF(ISBLANK(C50),"",IF(C50=J50,"前期繰越",IF(COUNTIF(O$2:O$89,-O50)=1,VLOOKUP(INDEX(科目,MATCH(-O50,O$2:O$89,0),1),科目設定,2,0),"諸口")))</f>
        <v>役員報酬 1</v>
      </c>
      <c r="Q50" s="131" t="str">
        <f>IF(ISBLANK(G50),"",VLOOKUP(G50,品番設定,2,0))</f>
        <v/>
      </c>
    </row>
    <row r="51" spans="1:17" ht="16.5" customHeight="1">
      <c r="A51" s="3">
        <v>44002</v>
      </c>
      <c r="B51" s="4"/>
      <c r="C51" s="5">
        <v>105.1</v>
      </c>
      <c r="D51" s="7"/>
      <c r="E51" s="6">
        <v>11512</v>
      </c>
      <c r="F51" s="9"/>
      <c r="G51" s="5"/>
      <c r="H51" s="141"/>
      <c r="I51" s="141"/>
      <c r="J51" s="106">
        <f>IF(診断,-1,IF(SUMIF(N$2:N$89,N51,貸方)=SUMIF(N$2:N$89,N51,借方),IF(COUNTIF(F51,O$1),C51,),-1))</f>
        <v>0</v>
      </c>
      <c r="K51" s="129" t="str">
        <f>IF(ISBLANK(C51),"",VLOOKUP(C51,科目設定,2,0))</f>
        <v>社保預り金 1</v>
      </c>
      <c r="L51" s="21" t="str">
        <f>IF(ISBLANK(C51),"",IF(VLOOKUP(C51,科目設定,9,0)="借方",SUMIF(C$2:C51,C51,借方)-SUMIF(C$2:C51,C51,貸方),""))</f>
        <v/>
      </c>
      <c r="M51" s="108">
        <f>IF(ISBLANK(C51),"",IF(VLOOKUP(C51,科目設定,9,0)="貸方",SUMIF(C$2:C51,C51,貸方)-SUMIF(C$2:C51,C51,借方),""))</f>
        <v>69018</v>
      </c>
      <c r="N51" s="138">
        <f t="shared" si="0"/>
        <v>11264512</v>
      </c>
      <c r="O51" s="139">
        <f t="shared" si="1"/>
        <v>11264512</v>
      </c>
      <c r="P51" s="130" t="str">
        <f>IF(ISBLANK(C51),"",IF(C51=J51,"前期繰越",IF(COUNTIF(O$2:O$89,-O51)=1,VLOOKUP(INDEX(科目,MATCH(-O51,O$2:O$89,0),1),科目設定,2,0),"諸口")))</f>
        <v>役員報酬 1</v>
      </c>
      <c r="Q51" s="131" t="str">
        <f>IF(ISBLANK(G51),"",VLOOKUP(G51,品番設定,2,0))</f>
        <v/>
      </c>
    </row>
    <row r="52" spans="1:17" ht="16.5" customHeight="1">
      <c r="A52" s="3">
        <v>44032</v>
      </c>
      <c r="B52" s="4"/>
      <c r="C52" s="5">
        <v>105.1</v>
      </c>
      <c r="D52" s="7"/>
      <c r="E52" s="6">
        <v>11512</v>
      </c>
      <c r="F52" s="9"/>
      <c r="G52" s="5"/>
      <c r="H52" s="141"/>
      <c r="I52" s="141"/>
      <c r="J52" s="106">
        <f>IF(診断,-1,IF(SUMIF(N$2:N$89,N52,貸方)=SUMIF(N$2:N$89,N52,借方),IF(COUNTIF(F52,O$1),C52,),-1))</f>
        <v>0</v>
      </c>
      <c r="K52" s="129" t="str">
        <f>IF(ISBLANK(C52),"",VLOOKUP(C52,科目設定,2,0))</f>
        <v>社保預り金 1</v>
      </c>
      <c r="L52" s="21" t="str">
        <f>IF(ISBLANK(C52),"",IF(VLOOKUP(C52,科目設定,9,0)="借方",SUMIF(C$2:C52,C52,借方)-SUMIF(C$2:C52,C52,貸方),""))</f>
        <v/>
      </c>
      <c r="M52" s="108">
        <f>IF(ISBLANK(C52),"",IF(VLOOKUP(C52,科目設定,9,0)="貸方",SUMIF(C$2:C52,C52,貸方)-SUMIF(C$2:C52,C52,借方),""))</f>
        <v>80530</v>
      </c>
      <c r="N52" s="138">
        <f t="shared" si="0"/>
        <v>11272192</v>
      </c>
      <c r="O52" s="139">
        <f t="shared" si="1"/>
        <v>11272192</v>
      </c>
      <c r="P52" s="130" t="str">
        <f>IF(ISBLANK(C52),"",IF(C52=J52,"前期繰越",IF(COUNTIF(O$2:O$89,-O52)=1,VLOOKUP(INDEX(科目,MATCH(-O52,O$2:O$89,0),1),科目設定,2,0),"諸口")))</f>
        <v>役員報酬 1</v>
      </c>
      <c r="Q52" s="131" t="str">
        <f>IF(ISBLANK(G52),"",VLOOKUP(G52,品番設定,2,0))</f>
        <v/>
      </c>
    </row>
    <row r="53" spans="1:17" ht="16.5" customHeight="1">
      <c r="A53" s="3">
        <v>44063</v>
      </c>
      <c r="B53" s="4"/>
      <c r="C53" s="5">
        <v>105.1</v>
      </c>
      <c r="D53" s="7"/>
      <c r="E53" s="6">
        <v>11512</v>
      </c>
      <c r="F53" s="9"/>
      <c r="G53" s="5"/>
      <c r="H53" s="141"/>
      <c r="I53" s="141"/>
      <c r="J53" s="106">
        <f>IF(診断,-1,IF(SUMIF(N$2:N$89,N53,貸方)=SUMIF(N$2:N$89,N53,借方),IF(COUNTIF(F53,O$1),C53,),-1))</f>
        <v>0</v>
      </c>
      <c r="K53" s="129" t="str">
        <f>IF(ISBLANK(C53),"",VLOOKUP(C53,科目設定,2,0))</f>
        <v>社保預り金 1</v>
      </c>
      <c r="L53" s="21" t="str">
        <f>IF(ISBLANK(C53),"",IF(VLOOKUP(C53,科目設定,9,0)="借方",SUMIF(C$2:C53,C53,借方)-SUMIF(C$2:C53,C53,貸方),""))</f>
        <v/>
      </c>
      <c r="M53" s="108">
        <f>IF(ISBLANK(C53),"",IF(VLOOKUP(C53,科目設定,9,0)="貸方",SUMIF(C$2:C53,C53,貸方)-SUMIF(C$2:C53,C53,借方),""))</f>
        <v>92042</v>
      </c>
      <c r="N53" s="138">
        <f t="shared" si="0"/>
        <v>11280128</v>
      </c>
      <c r="O53" s="139">
        <f t="shared" si="1"/>
        <v>11280128</v>
      </c>
      <c r="P53" s="130" t="str">
        <f>IF(ISBLANK(C53),"",IF(C53=J53,"前期繰越",IF(COUNTIF(O$2:O$89,-O53)=1,VLOOKUP(INDEX(科目,MATCH(-O53,O$2:O$89,0),1),科目設定,2,0),"諸口")))</f>
        <v>役員報酬 1</v>
      </c>
      <c r="Q53" s="131" t="str">
        <f>IF(ISBLANK(G53),"",VLOOKUP(G53,品番設定,2,0))</f>
        <v/>
      </c>
    </row>
    <row r="54" spans="1:17" ht="16.5" customHeight="1">
      <c r="A54" s="3">
        <v>44094</v>
      </c>
      <c r="B54" s="4"/>
      <c r="C54" s="5">
        <v>105.1</v>
      </c>
      <c r="D54" s="7"/>
      <c r="E54" s="6">
        <v>11512</v>
      </c>
      <c r="F54" s="9"/>
      <c r="G54" s="5"/>
      <c r="H54" s="141"/>
      <c r="I54" s="141"/>
      <c r="J54" s="106">
        <f>IF(診断,-1,IF(SUMIF(N$2:N$89,N54,貸方)=SUMIF(N$2:N$89,N54,借方),IF(COUNTIF(F54,O$1),C54,),-1))</f>
        <v>0</v>
      </c>
      <c r="K54" s="129" t="str">
        <f>IF(ISBLANK(C54),"",VLOOKUP(C54,科目設定,2,0))</f>
        <v>社保預り金 1</v>
      </c>
      <c r="L54" s="21" t="str">
        <f>IF(ISBLANK(C54),"",IF(VLOOKUP(C54,科目設定,9,0)="借方",SUMIF(C$2:C54,C54,借方)-SUMIF(C$2:C54,C54,貸方),""))</f>
        <v/>
      </c>
      <c r="M54" s="108">
        <f>IF(ISBLANK(C54),"",IF(VLOOKUP(C54,科目設定,9,0)="貸方",SUMIF(C$2:C54,C54,貸方)-SUMIF(C$2:C54,C54,借方),""))</f>
        <v>103554</v>
      </c>
      <c r="N54" s="138">
        <f t="shared" si="0"/>
        <v>11288064</v>
      </c>
      <c r="O54" s="139">
        <f t="shared" si="1"/>
        <v>11288064</v>
      </c>
      <c r="P54" s="130" t="str">
        <f>IF(ISBLANK(C54),"",IF(C54=J54,"前期繰越",IF(COUNTIF(O$2:O$89,-O54)=1,VLOOKUP(INDEX(科目,MATCH(-O54,O$2:O$89,0),1),科目設定,2,0),"諸口")))</f>
        <v>役員報酬 1</v>
      </c>
      <c r="Q54" s="131" t="str">
        <f>IF(ISBLANK(G54),"",VLOOKUP(G54,品番設定,2,0))</f>
        <v/>
      </c>
    </row>
    <row r="55" spans="1:17" ht="16.5" customHeight="1">
      <c r="A55" s="3">
        <v>44124</v>
      </c>
      <c r="B55" s="4"/>
      <c r="C55" s="5">
        <v>105.1</v>
      </c>
      <c r="D55" s="7"/>
      <c r="E55" s="6">
        <v>11512</v>
      </c>
      <c r="F55" s="9"/>
      <c r="G55" s="5"/>
      <c r="H55" s="141"/>
      <c r="I55" s="141"/>
      <c r="J55" s="106">
        <f>IF(診断,-1,IF(SUMIF(N$2:N$89,N55,貸方)=SUMIF(N$2:N$89,N55,借方),IF(COUNTIF(F55,O$1),C55,),-1))</f>
        <v>0</v>
      </c>
      <c r="K55" s="129" t="str">
        <f>IF(ISBLANK(C55),"",VLOOKUP(C55,科目設定,2,0))</f>
        <v>社保預り金 1</v>
      </c>
      <c r="L55" s="21" t="str">
        <f>IF(ISBLANK(C55),"",IF(VLOOKUP(C55,科目設定,9,0)="借方",SUMIF(C$2:C55,C55,借方)-SUMIF(C$2:C55,C55,貸方),""))</f>
        <v/>
      </c>
      <c r="M55" s="108">
        <f>IF(ISBLANK(C55),"",IF(VLOOKUP(C55,科目設定,9,0)="貸方",SUMIF(C$2:C55,C55,貸方)-SUMIF(C$2:C55,C55,借方),""))</f>
        <v>115066</v>
      </c>
      <c r="N55" s="138">
        <f t="shared" si="0"/>
        <v>11295744</v>
      </c>
      <c r="O55" s="139">
        <f t="shared" si="1"/>
        <v>11295744</v>
      </c>
      <c r="P55" s="130" t="str">
        <f>IF(ISBLANK(C55),"",IF(C55=J55,"前期繰越",IF(COUNTIF(O$2:O$89,-O55)=1,VLOOKUP(INDEX(科目,MATCH(-O55,O$2:O$89,0),1),科目設定,2,0),"諸口")))</f>
        <v>役員報酬 1</v>
      </c>
      <c r="Q55" s="131" t="str">
        <f>IF(ISBLANK(G55),"",VLOOKUP(G55,品番設定,2,0))</f>
        <v/>
      </c>
    </row>
    <row r="56" spans="1:17" ht="16.5" customHeight="1">
      <c r="A56" s="3">
        <v>44155</v>
      </c>
      <c r="B56" s="4"/>
      <c r="C56" s="5">
        <v>105.1</v>
      </c>
      <c r="D56" s="7"/>
      <c r="E56" s="6">
        <v>11512</v>
      </c>
      <c r="F56" s="9"/>
      <c r="G56" s="5"/>
      <c r="H56" s="141"/>
      <c r="I56" s="141"/>
      <c r="J56" s="106">
        <f>IF(診断,-1,IF(SUMIF(N$2:N$89,N56,貸方)=SUMIF(N$2:N$89,N56,借方),IF(COUNTIF(F56,O$1),C56,),-1))</f>
        <v>0</v>
      </c>
      <c r="K56" s="129" t="str">
        <f>IF(ISBLANK(C56),"",VLOOKUP(C56,科目設定,2,0))</f>
        <v>社保預り金 1</v>
      </c>
      <c r="L56" s="21" t="str">
        <f>IF(ISBLANK(C56),"",IF(VLOOKUP(C56,科目設定,9,0)="借方",SUMIF(C$2:C56,C56,借方)-SUMIF(C$2:C56,C56,貸方),""))</f>
        <v/>
      </c>
      <c r="M56" s="108">
        <f>IF(ISBLANK(C56),"",IF(VLOOKUP(C56,科目設定,9,0)="貸方",SUMIF(C$2:C56,C56,貸方)-SUMIF(C$2:C56,C56,借方),""))</f>
        <v>126578</v>
      </c>
      <c r="N56" s="138">
        <f t="shared" si="0"/>
        <v>11303680</v>
      </c>
      <c r="O56" s="139">
        <f t="shared" si="1"/>
        <v>11303680</v>
      </c>
      <c r="P56" s="130" t="str">
        <f>IF(ISBLANK(C56),"",IF(C56=J56,"前期繰越",IF(COUNTIF(O$2:O$89,-O56)=1,VLOOKUP(INDEX(科目,MATCH(-O56,O$2:O$89,0),1),科目設定,2,0),"諸口")))</f>
        <v>役員報酬 1</v>
      </c>
      <c r="Q56" s="131" t="str">
        <f>IF(ISBLANK(G56),"",VLOOKUP(G56,品番設定,2,0))</f>
        <v/>
      </c>
    </row>
    <row r="57" spans="1:17" ht="16.5" customHeight="1">
      <c r="A57" s="3">
        <v>44185</v>
      </c>
      <c r="B57" s="4"/>
      <c r="C57" s="5">
        <v>105.1</v>
      </c>
      <c r="D57" s="7"/>
      <c r="E57" s="6">
        <v>11512</v>
      </c>
      <c r="F57" s="9"/>
      <c r="G57" s="5"/>
      <c r="H57" s="141"/>
      <c r="I57" s="141"/>
      <c r="J57" s="106">
        <f>IF(診断,-1,IF(SUMIF(N$2:N$89,N57,貸方)=SUMIF(N$2:N$89,N57,借方),IF(COUNTIF(F57,O$1),C57,),-1))</f>
        <v>0</v>
      </c>
      <c r="K57" s="129" t="str">
        <f>IF(ISBLANK(C57),"",VLOOKUP(C57,科目設定,2,0))</f>
        <v>社保預り金 1</v>
      </c>
      <c r="L57" s="21" t="str">
        <f>IF(ISBLANK(C57),"",IF(VLOOKUP(C57,科目設定,9,0)="借方",SUMIF(C$2:C57,C57,借方)-SUMIF(C$2:C57,C57,貸方),""))</f>
        <v/>
      </c>
      <c r="M57" s="108">
        <f>IF(ISBLANK(C57),"",IF(VLOOKUP(C57,科目設定,9,0)="貸方",SUMIF(C$2:C57,C57,貸方)-SUMIF(C$2:C57,C57,借方),""))</f>
        <v>138090</v>
      </c>
      <c r="N57" s="138">
        <f t="shared" si="0"/>
        <v>11311360</v>
      </c>
      <c r="O57" s="139">
        <f t="shared" si="1"/>
        <v>11311360</v>
      </c>
      <c r="P57" s="130" t="str">
        <f>IF(ISBLANK(C57),"",IF(C57=J57,"前期繰越",IF(COUNTIF(O$2:O$89,-O57)=1,VLOOKUP(INDEX(科目,MATCH(-O57,O$2:O$89,0),1),科目設定,2,0),"諸口")))</f>
        <v>役員報酬 1</v>
      </c>
      <c r="Q57" s="131" t="str">
        <f>IF(ISBLANK(G57),"",VLOOKUP(G57,品番設定,2,0))</f>
        <v/>
      </c>
    </row>
    <row r="58" spans="1:17" ht="16.5" customHeight="1">
      <c r="A58" s="3">
        <v>43831</v>
      </c>
      <c r="B58" s="4"/>
      <c r="C58" s="5">
        <v>200</v>
      </c>
      <c r="D58" s="7"/>
      <c r="E58" s="6">
        <v>2000000</v>
      </c>
      <c r="F58" s="193" t="s">
        <v>10</v>
      </c>
      <c r="G58" s="5"/>
      <c r="H58" s="141"/>
      <c r="I58" s="141"/>
      <c r="J58" s="106">
        <f>IF(診断,-1,IF(SUMIF(N$2:N$89,N58,貸方)=SUMIF(N$2:N$89,N58,借方),IF(COUNTIF(F58,O$1),C58,),-1))</f>
        <v>200</v>
      </c>
      <c r="K58" s="129" t="str">
        <f>IF(ISBLANK(C58),"",VLOOKUP(C58,科目設定,2,0))</f>
        <v>資本金</v>
      </c>
      <c r="L58" s="21" t="str">
        <f>IF(ISBLANK(C58),"",IF(VLOOKUP(C58,科目設定,9,0)="借方",SUMIF(C$2:C58,C58,借方)-SUMIF(C$2:C58,C58,貸方),""))</f>
        <v/>
      </c>
      <c r="M58" s="108">
        <f>IF(ISBLANK(C58),"",IF(VLOOKUP(C58,科目設定,9,0)="貸方",SUMIF(C$2:C58,C58,貸方)-SUMIF(C$2:C58,C58,借方),""))</f>
        <v>2000000</v>
      </c>
      <c r="N58" s="138">
        <f t="shared" si="0"/>
        <v>11220736</v>
      </c>
      <c r="O58" s="139">
        <f t="shared" si="1"/>
        <v>11220736</v>
      </c>
      <c r="P58" s="130" t="str">
        <f>IF(ISBLANK(C58),"",IF(C58=J58,"前期繰越",IF(COUNTIF(O$2:O$89,-O58)=1,VLOOKUP(INDEX(科目,MATCH(-O58,O$2:O$89,0),1),科目設定,2,0),"諸口")))</f>
        <v>前期繰越</v>
      </c>
      <c r="Q58" s="131" t="str">
        <f>IF(ISBLANK(G58),"",VLOOKUP(G58,品番設定,2,0))</f>
        <v/>
      </c>
    </row>
    <row r="59" spans="1:17" ht="16.5" customHeight="1">
      <c r="A59" s="3">
        <v>43831</v>
      </c>
      <c r="B59" s="4"/>
      <c r="C59" s="5">
        <v>212</v>
      </c>
      <c r="D59" s="7"/>
      <c r="E59" s="6">
        <v>-1038600</v>
      </c>
      <c r="F59" s="193" t="s">
        <v>10</v>
      </c>
      <c r="G59" s="5"/>
      <c r="H59" s="141"/>
      <c r="I59" s="141"/>
      <c r="J59" s="106">
        <f>IF(診断,-1,IF(SUMIF(N$2:N$89,N59,貸方)=SUMIF(N$2:N$89,N59,借方),IF(COUNTIF(F59,O$1),C59,),-1))</f>
        <v>212</v>
      </c>
      <c r="K59" s="129" t="str">
        <f>IF(ISBLANK(C59),"",VLOOKUP(C59,科目設定,2,0))</f>
        <v>繰越利益剰余金</v>
      </c>
      <c r="L59" s="21" t="str">
        <f>IF(ISBLANK(C59),"",IF(VLOOKUP(C59,科目設定,9,0)="借方",SUMIF(C$2:C59,C59,借方)-SUMIF(C$2:C59,C59,貸方),""))</f>
        <v/>
      </c>
      <c r="M59" s="108">
        <f>IF(ISBLANK(C59),"",IF(VLOOKUP(C59,科目設定,9,0)="貸方",SUMIF(C$2:C59,C59,貸方)-SUMIF(C$2:C59,C59,借方),""))</f>
        <v>-1038600</v>
      </c>
      <c r="N59" s="138">
        <f t="shared" si="0"/>
        <v>11220736</v>
      </c>
      <c r="O59" s="139">
        <f t="shared" si="1"/>
        <v>11220736</v>
      </c>
      <c r="P59" s="130" t="str">
        <f>IF(ISBLANK(C59),"",IF(C59=J59,"前期繰越",IF(COUNTIF(O$2:O$89,-O59)=1,VLOOKUP(INDEX(科目,MATCH(-O59,O$2:O$89,0),1),科目設定,2,0),"諸口")))</f>
        <v>前期繰越</v>
      </c>
      <c r="Q59" s="131" t="str">
        <f>IF(ISBLANK(G59),"",VLOOKUP(G59,品番設定,2,0))</f>
        <v/>
      </c>
    </row>
    <row r="60" spans="1:17" ht="16.5" customHeight="1">
      <c r="A60" s="3">
        <v>44196</v>
      </c>
      <c r="B60" s="5">
        <v>2</v>
      </c>
      <c r="C60" s="5">
        <v>212</v>
      </c>
      <c r="D60" s="6"/>
      <c r="E60" s="7">
        <v>-82000</v>
      </c>
      <c r="F60" s="193" t="s">
        <v>17</v>
      </c>
      <c r="G60" s="5"/>
      <c r="H60" s="141"/>
      <c r="I60" s="141"/>
      <c r="J60" s="106">
        <f>IF(診断,-1,IF(SUMIF(N$2:N$89,N60,貸方)=SUMIF(N$2:N$89,N60,借方),IF(COUNTIF(F60,O$1),C60,),-1))</f>
        <v>0</v>
      </c>
      <c r="K60" s="129" t="str">
        <f>IF(ISBLANK(C60),"",VLOOKUP(C60,科目設定,2,0))</f>
        <v>繰越利益剰余金</v>
      </c>
      <c r="L60" s="21" t="str">
        <f>IF(ISBLANK(C60),"",IF(VLOOKUP(C60,科目設定,9,0)="借方",SUMIF(C$2:C60,C60,借方)-SUMIF(C$2:C60,C60,貸方),""))</f>
        <v/>
      </c>
      <c r="M60" s="108">
        <f>IF(ISBLANK(C60),"",IF(VLOOKUP(C60,科目設定,9,0)="貸方",SUMIF(C$2:C60,C60,貸方)-SUMIF(C$2:C60,C60,借方),""))</f>
        <v>-1120600</v>
      </c>
      <c r="N60" s="138">
        <f t="shared" si="0"/>
        <v>11314178</v>
      </c>
      <c r="O60" s="139">
        <f t="shared" si="1"/>
        <v>11314178</v>
      </c>
      <c r="P60" s="130" t="str">
        <f>IF(ISBLANK(C60),"",IF(C60=J60,"前期繰越",IF(COUNTIF(O$2:O$89,-O60)=1,VLOOKUP(INDEX(科目,MATCH(-O60,O$2:O$89,0),1),科目設定,2,0),"諸口")))</f>
        <v>当期純利益又は損失(-)</v>
      </c>
      <c r="Q60" s="131" t="str">
        <f>IF(ISBLANK(G60),"",VLOOKUP(G60,品番設定,2,0))</f>
        <v/>
      </c>
    </row>
    <row r="61" spans="1:17" ht="16.5" customHeight="1">
      <c r="A61" s="3">
        <v>44196</v>
      </c>
      <c r="B61" s="5">
        <v>1</v>
      </c>
      <c r="C61" s="5">
        <v>372</v>
      </c>
      <c r="D61" s="7"/>
      <c r="E61" s="6">
        <v>692571</v>
      </c>
      <c r="F61" s="193" t="s">
        <v>16</v>
      </c>
      <c r="G61" s="5"/>
      <c r="H61" s="141"/>
      <c r="I61" s="141"/>
      <c r="J61" s="106">
        <f>IF(診断,-1,IF(SUMIF(N$2:N$89,N61,貸方)=SUMIF(N$2:N$89,N61,借方),IF(COUNTIF(F61,O$1),C61,),-1))</f>
        <v>0</v>
      </c>
      <c r="K61" s="129" t="str">
        <f>IF(ISBLANK(C61),"",VLOOKUP(C61,科目設定,2,0))</f>
        <v>債務免除益</v>
      </c>
      <c r="L61" s="21" t="str">
        <f>IF(ISBLANK(C61),"",IF(VLOOKUP(C61,科目設定,9,0)="借方",SUMIF(C$2:C61,C61,借方)-SUMIF(C$2:C61,C61,貸方),""))</f>
        <v/>
      </c>
      <c r="M61" s="108">
        <f>IF(ISBLANK(C61),"",IF(VLOOKUP(C61,科目設定,9,0)="貸方",SUMIF(C$2:C61,C61,貸方)-SUMIF(C$2:C61,C61,借方),""))</f>
        <v>692571</v>
      </c>
      <c r="N61" s="138">
        <f t="shared" si="0"/>
        <v>11314177</v>
      </c>
      <c r="O61" s="139">
        <f t="shared" si="1"/>
        <v>11314177</v>
      </c>
      <c r="P61" s="130" t="str">
        <f>IF(ISBLANK(C61),"",IF(C61=J61,"前期繰越",IF(COUNTIF(O$2:O$89,-O61)=1,VLOOKUP(INDEX(科目,MATCH(-O61,O$2:O$89,0),1),科目設定,2,0),"諸口")))</f>
        <v>役員からの短期借入金 1</v>
      </c>
      <c r="Q61" s="131" t="str">
        <f>IF(ISBLANK(G61),"",VLOOKUP(G61,品番設定,2,0))</f>
        <v/>
      </c>
    </row>
    <row r="62" spans="1:17" ht="16.5" customHeight="1">
      <c r="A62" s="3">
        <v>43850</v>
      </c>
      <c r="B62" s="4"/>
      <c r="C62" s="5">
        <v>421.1</v>
      </c>
      <c r="D62" s="6">
        <v>45900</v>
      </c>
      <c r="E62" s="7"/>
      <c r="F62" s="9"/>
      <c r="G62" s="5"/>
      <c r="H62" s="141"/>
      <c r="I62" s="141"/>
      <c r="J62" s="106">
        <f>IF(診断,-1,IF(SUMIF(N$2:N$89,N62,貸方)=SUMIF(N$2:N$89,N62,借方),IF(COUNTIF(F62,O$1),C62,),-1))</f>
        <v>0</v>
      </c>
      <c r="K62" s="129" t="str">
        <f>IF(ISBLANK(C62),"",VLOOKUP(C62,科目設定,2,0))</f>
        <v>役員報酬 1</v>
      </c>
      <c r="L62" s="21">
        <f>IF(ISBLANK(C62),"",IF(VLOOKUP(C62,科目設定,9,0)="借方",SUMIF(C$2:C62,C62,借方)-SUMIF(C$2:C62,C62,貸方),""))</f>
        <v>45900</v>
      </c>
      <c r="M62" s="108" t="str">
        <f>IF(ISBLANK(C62),"",IF(VLOOKUP(C62,科目設定,9,0)="貸方",SUMIF(C$2:C62,C62,貸方)-SUMIF(C$2:C62,C62,借方),""))</f>
        <v/>
      </c>
      <c r="N62" s="138">
        <f t="shared" si="0"/>
        <v>11225600</v>
      </c>
      <c r="O62" s="139">
        <f t="shared" si="1"/>
        <v>-11225600</v>
      </c>
      <c r="P62" s="130" t="str">
        <f>IF(ISBLANK(C62),"",IF(C62=J62,"前期繰越",IF(COUNTIF(O$2:O$89,-O62)=1,VLOOKUP(INDEX(科目,MATCH(-O62,O$2:O$89,0),1),科目設定,2,0),"諸口")))</f>
        <v>諸口</v>
      </c>
      <c r="Q62" s="131" t="str">
        <f>IF(ISBLANK(G62),"",VLOOKUP(G62,品番設定,2,0))</f>
        <v/>
      </c>
    </row>
    <row r="63" spans="1:17" ht="16.5" customHeight="1">
      <c r="A63" s="3">
        <v>43881</v>
      </c>
      <c r="B63" s="5"/>
      <c r="C63" s="5">
        <v>421.1</v>
      </c>
      <c r="D63" s="6">
        <v>45900</v>
      </c>
      <c r="E63" s="7"/>
      <c r="F63" s="9"/>
      <c r="G63" s="5"/>
      <c r="H63" s="141"/>
      <c r="I63" s="141"/>
      <c r="J63" s="106">
        <f>IF(診断,-1,IF(SUMIF(N$2:N$89,N63,貸方)=SUMIF(N$2:N$89,N63,借方),IF(COUNTIF(F63,O$1),C63,),-1))</f>
        <v>0</v>
      </c>
      <c r="K63" s="129" t="str">
        <f>IF(ISBLANK(C63),"",VLOOKUP(C63,科目設定,2,0))</f>
        <v>役員報酬 1</v>
      </c>
      <c r="L63" s="21">
        <f>IF(ISBLANK(C63),"",IF(VLOOKUP(C63,科目設定,9,0)="借方",SUMIF(C$2:C63,C63,借方)-SUMIF(C$2:C63,C63,貸方),""))</f>
        <v>91800</v>
      </c>
      <c r="M63" s="108" t="str">
        <f>IF(ISBLANK(C63),"",IF(VLOOKUP(C63,科目設定,9,0)="貸方",SUMIF(C$2:C63,C63,貸方)-SUMIF(C$2:C63,C63,借方),""))</f>
        <v/>
      </c>
      <c r="N63" s="138">
        <f t="shared" si="0"/>
        <v>11233536</v>
      </c>
      <c r="O63" s="139">
        <f t="shared" si="1"/>
        <v>-11233536</v>
      </c>
      <c r="P63" s="130" t="str">
        <f>IF(ISBLANK(C63),"",IF(C63=J63,"前期繰越",IF(COUNTIF(O$2:O$89,-O63)=1,VLOOKUP(INDEX(科目,MATCH(-O63,O$2:O$89,0),1),科目設定,2,0),"諸口")))</f>
        <v>諸口</v>
      </c>
      <c r="Q63" s="131" t="str">
        <f>IF(ISBLANK(G63),"",VLOOKUP(G63,品番設定,2,0))</f>
        <v/>
      </c>
    </row>
    <row r="64" spans="1:17" ht="16.5" customHeight="1">
      <c r="A64" s="3">
        <v>43910</v>
      </c>
      <c r="B64" s="4"/>
      <c r="C64" s="5">
        <v>421.1</v>
      </c>
      <c r="D64" s="6">
        <v>45900</v>
      </c>
      <c r="E64" s="7"/>
      <c r="F64" s="9"/>
      <c r="G64" s="5"/>
      <c r="H64" s="141"/>
      <c r="I64" s="141"/>
      <c r="J64" s="106">
        <f>IF(診断,-1,IF(SUMIF(N$2:N$89,N64,貸方)=SUMIF(N$2:N$89,N64,借方),IF(COUNTIF(F64,O$1),C64,),-1))</f>
        <v>0</v>
      </c>
      <c r="K64" s="129" t="str">
        <f>IF(ISBLANK(C64),"",VLOOKUP(C64,科目設定,2,0))</f>
        <v>役員報酬 1</v>
      </c>
      <c r="L64" s="21">
        <f>IF(ISBLANK(C64),"",IF(VLOOKUP(C64,科目設定,9,0)="借方",SUMIF(C$2:C64,C64,借方)-SUMIF(C$2:C64,C64,貸方),""))</f>
        <v>137700</v>
      </c>
      <c r="M64" s="108" t="str">
        <f>IF(ISBLANK(C64),"",IF(VLOOKUP(C64,科目設定,9,0)="貸方",SUMIF(C$2:C64,C64,貸方)-SUMIF(C$2:C64,C64,借方),""))</f>
        <v/>
      </c>
      <c r="N64" s="138">
        <f t="shared" si="0"/>
        <v>11240960</v>
      </c>
      <c r="O64" s="139">
        <f t="shared" si="1"/>
        <v>-11240960</v>
      </c>
      <c r="P64" s="130" t="str">
        <f>IF(ISBLANK(C64),"",IF(C64=J64,"前期繰越",IF(COUNTIF(O$2:O$89,-O64)=1,VLOOKUP(INDEX(科目,MATCH(-O64,O$2:O$89,0),1),科目設定,2,0),"諸口")))</f>
        <v>諸口</v>
      </c>
      <c r="Q64" s="131" t="str">
        <f>IF(ISBLANK(G64),"",VLOOKUP(G64,品番設定,2,0))</f>
        <v/>
      </c>
    </row>
    <row r="65" spans="1:17" ht="16.5" customHeight="1">
      <c r="A65" s="3">
        <v>43941</v>
      </c>
      <c r="B65" s="4"/>
      <c r="C65" s="5">
        <v>421.1</v>
      </c>
      <c r="D65" s="6">
        <v>45900</v>
      </c>
      <c r="E65" s="7"/>
      <c r="F65" s="9"/>
      <c r="G65" s="5"/>
      <c r="H65" s="141"/>
      <c r="I65" s="141"/>
      <c r="J65" s="106">
        <f>IF(診断,-1,IF(SUMIF(N$2:N$89,N65,貸方)=SUMIF(N$2:N$89,N65,借方),IF(COUNTIF(F65,O$1),C65,),-1))</f>
        <v>0</v>
      </c>
      <c r="K65" s="129" t="str">
        <f>IF(ISBLANK(C65),"",VLOOKUP(C65,科目設定,2,0))</f>
        <v>役員報酬 1</v>
      </c>
      <c r="L65" s="21">
        <f>IF(ISBLANK(C65),"",IF(VLOOKUP(C65,科目設定,9,0)="借方",SUMIF(C$2:C65,C65,借方)-SUMIF(C$2:C65,C65,貸方),""))</f>
        <v>183600</v>
      </c>
      <c r="M65" s="108" t="str">
        <f>IF(ISBLANK(C65),"",IF(VLOOKUP(C65,科目設定,9,0)="貸方",SUMIF(C$2:C65,C65,貸方)-SUMIF(C$2:C65,C65,借方),""))</f>
        <v/>
      </c>
      <c r="N65" s="138">
        <f t="shared" si="0"/>
        <v>11248896</v>
      </c>
      <c r="O65" s="139">
        <f t="shared" si="1"/>
        <v>-11248896</v>
      </c>
      <c r="P65" s="130" t="str">
        <f>IF(ISBLANK(C65),"",IF(C65=J65,"前期繰越",IF(COUNTIF(O$2:O$89,-O65)=1,VLOOKUP(INDEX(科目,MATCH(-O65,O$2:O$89,0),1),科目設定,2,0),"諸口")))</f>
        <v>諸口</v>
      </c>
      <c r="Q65" s="131" t="str">
        <f>IF(ISBLANK(G65),"",VLOOKUP(G65,品番設定,2,0))</f>
        <v/>
      </c>
    </row>
    <row r="66" spans="1:17" ht="16.5" customHeight="1">
      <c r="A66" s="3">
        <v>43971</v>
      </c>
      <c r="B66" s="4"/>
      <c r="C66" s="5">
        <v>421.1</v>
      </c>
      <c r="D66" s="6">
        <v>45900</v>
      </c>
      <c r="E66" s="7"/>
      <c r="F66" s="9"/>
      <c r="G66" s="5"/>
      <c r="H66" s="141"/>
      <c r="I66" s="141"/>
      <c r="J66" s="106">
        <f>IF(診断,-1,IF(SUMIF(N$2:N$89,N66,貸方)=SUMIF(N$2:N$89,N66,借方),IF(COUNTIF(F66,O$1),C66,),-1))</f>
        <v>0</v>
      </c>
      <c r="K66" s="129" t="str">
        <f>IF(ISBLANK(C66),"",VLOOKUP(C66,科目設定,2,0))</f>
        <v>役員報酬 1</v>
      </c>
      <c r="L66" s="21">
        <f>IF(ISBLANK(C66),"",IF(VLOOKUP(C66,科目設定,9,0)="借方",SUMIF(C$2:C66,C66,借方)-SUMIF(C$2:C66,C66,貸方),""))</f>
        <v>229500</v>
      </c>
      <c r="M66" s="108" t="str">
        <f>IF(ISBLANK(C66),"",IF(VLOOKUP(C66,科目設定,9,0)="貸方",SUMIF(C$2:C66,C66,貸方)-SUMIF(C$2:C66,C66,借方),""))</f>
        <v/>
      </c>
      <c r="N66" s="138">
        <f t="shared" si="0"/>
        <v>11256576</v>
      </c>
      <c r="O66" s="139">
        <f t="shared" si="1"/>
        <v>-11256576</v>
      </c>
      <c r="P66" s="130" t="str">
        <f>IF(ISBLANK(C66),"",IF(C66=J66,"前期繰越",IF(COUNTIF(O$2:O$89,-O66)=1,VLOOKUP(INDEX(科目,MATCH(-O66,O$2:O$89,0),1),科目設定,2,0),"諸口")))</f>
        <v>諸口</v>
      </c>
      <c r="Q66" s="131" t="str">
        <f>IF(ISBLANK(G66),"",VLOOKUP(G66,品番設定,2,0))</f>
        <v/>
      </c>
    </row>
    <row r="67" spans="1:17" ht="16.5" customHeight="1">
      <c r="A67" s="3">
        <v>44002</v>
      </c>
      <c r="B67" s="4"/>
      <c r="C67" s="5">
        <v>421.1</v>
      </c>
      <c r="D67" s="6">
        <v>45900</v>
      </c>
      <c r="E67" s="7"/>
      <c r="F67" s="9"/>
      <c r="G67" s="5"/>
      <c r="H67" s="141"/>
      <c r="I67" s="141"/>
      <c r="J67" s="106">
        <f>IF(診断,-1,IF(SUMIF(N$2:N$89,N67,貸方)=SUMIF(N$2:N$89,N67,借方),IF(COUNTIF(F67,O$1),C67,),-1))</f>
        <v>0</v>
      </c>
      <c r="K67" s="129" t="str">
        <f>IF(ISBLANK(C67),"",VLOOKUP(C67,科目設定,2,0))</f>
        <v>役員報酬 1</v>
      </c>
      <c r="L67" s="21">
        <f>IF(ISBLANK(C67),"",IF(VLOOKUP(C67,科目設定,9,0)="借方",SUMIF(C$2:C67,C67,借方)-SUMIF(C$2:C67,C67,貸方),""))</f>
        <v>275400</v>
      </c>
      <c r="M67" s="108" t="str">
        <f>IF(ISBLANK(C67),"",IF(VLOOKUP(C67,科目設定,9,0)="貸方",SUMIF(C$2:C67,C67,貸方)-SUMIF(C$2:C67,C67,借方),""))</f>
        <v/>
      </c>
      <c r="N67" s="138">
        <f t="shared" si="0"/>
        <v>11264512</v>
      </c>
      <c r="O67" s="139">
        <f t="shared" si="1"/>
        <v>-11264512</v>
      </c>
      <c r="P67" s="130" t="str">
        <f>IF(ISBLANK(C67),"",IF(C67=J67,"前期繰越",IF(COUNTIF(O$2:O$89,-O67)=1,VLOOKUP(INDEX(科目,MATCH(-O67,O$2:O$89,0),1),科目設定,2,0),"諸口")))</f>
        <v>諸口</v>
      </c>
      <c r="Q67" s="131" t="str">
        <f>IF(ISBLANK(G67),"",VLOOKUP(G67,品番設定,2,0))</f>
        <v/>
      </c>
    </row>
    <row r="68" spans="1:17" ht="16.5" customHeight="1">
      <c r="A68" s="3">
        <v>44032</v>
      </c>
      <c r="B68" s="4"/>
      <c r="C68" s="5">
        <v>421.1</v>
      </c>
      <c r="D68" s="6">
        <v>45900</v>
      </c>
      <c r="E68" s="7"/>
      <c r="F68" s="9"/>
      <c r="G68" s="5"/>
      <c r="H68" s="141"/>
      <c r="I68" s="141"/>
      <c r="J68" s="106">
        <f>IF(診断,-1,IF(SUMIF(N$2:N$89,N68,貸方)=SUMIF(N$2:N$89,N68,借方),IF(COUNTIF(F68,O$1),C68,),-1))</f>
        <v>0</v>
      </c>
      <c r="K68" s="129" t="str">
        <f>IF(ISBLANK(C68),"",VLOOKUP(C68,科目設定,2,0))</f>
        <v>役員報酬 1</v>
      </c>
      <c r="L68" s="21">
        <f>IF(ISBLANK(C68),"",IF(VLOOKUP(C68,科目設定,9,0)="借方",SUMIF(C$2:C68,C68,借方)-SUMIF(C$2:C68,C68,貸方),""))</f>
        <v>321300</v>
      </c>
      <c r="M68" s="108" t="str">
        <f>IF(ISBLANK(C68),"",IF(VLOOKUP(C68,科目設定,9,0)="貸方",SUMIF(C$2:C68,C68,貸方)-SUMIF(C$2:C68,C68,借方),""))</f>
        <v/>
      </c>
      <c r="N68" s="138">
        <f t="shared" si="0"/>
        <v>11272192</v>
      </c>
      <c r="O68" s="139">
        <f t="shared" si="1"/>
        <v>-11272192</v>
      </c>
      <c r="P68" s="130" t="str">
        <f>IF(ISBLANK(C68),"",IF(C68=J68,"前期繰越",IF(COUNTIF(O$2:O$89,-O68)=1,VLOOKUP(INDEX(科目,MATCH(-O68,O$2:O$89,0),1),科目設定,2,0),"諸口")))</f>
        <v>諸口</v>
      </c>
      <c r="Q68" s="131" t="str">
        <f>IF(ISBLANK(G68),"",VLOOKUP(G68,品番設定,2,0))</f>
        <v/>
      </c>
    </row>
    <row r="69" spans="1:17" ht="16.5" customHeight="1">
      <c r="A69" s="3">
        <v>44063</v>
      </c>
      <c r="B69" s="4"/>
      <c r="C69" s="5">
        <v>421.1</v>
      </c>
      <c r="D69" s="6">
        <v>45900</v>
      </c>
      <c r="E69" s="7"/>
      <c r="F69" s="9"/>
      <c r="G69" s="5"/>
      <c r="H69" s="141"/>
      <c r="I69" s="141"/>
      <c r="J69" s="106">
        <f>IF(診断,-1,IF(SUMIF(N$2:N$89,N69,貸方)=SUMIF(N$2:N$89,N69,借方),IF(COUNTIF(F69,O$1),C69,),-1))</f>
        <v>0</v>
      </c>
      <c r="K69" s="129" t="str">
        <f>IF(ISBLANK(C69),"",VLOOKUP(C69,科目設定,2,0))</f>
        <v>役員報酬 1</v>
      </c>
      <c r="L69" s="21">
        <f>IF(ISBLANK(C69),"",IF(VLOOKUP(C69,科目設定,9,0)="借方",SUMIF(C$2:C69,C69,借方)-SUMIF(C$2:C69,C69,貸方),""))</f>
        <v>367200</v>
      </c>
      <c r="M69" s="108" t="str">
        <f>IF(ISBLANK(C69),"",IF(VLOOKUP(C69,科目設定,9,0)="貸方",SUMIF(C$2:C69,C69,貸方)-SUMIF(C$2:C69,C69,借方),""))</f>
        <v/>
      </c>
      <c r="N69" s="138">
        <f t="shared" si="0"/>
        <v>11280128</v>
      </c>
      <c r="O69" s="139">
        <f t="shared" si="1"/>
        <v>-11280128</v>
      </c>
      <c r="P69" s="130" t="str">
        <f>IF(ISBLANK(C69),"",IF(C69=J69,"前期繰越",IF(COUNTIF(O$2:O$89,-O69)=1,VLOOKUP(INDEX(科目,MATCH(-O69,O$2:O$89,0),1),科目設定,2,0),"諸口")))</f>
        <v>諸口</v>
      </c>
      <c r="Q69" s="131" t="str">
        <f>IF(ISBLANK(G69),"",VLOOKUP(G69,品番設定,2,0))</f>
        <v/>
      </c>
    </row>
    <row r="70" spans="1:17" ht="16.5" customHeight="1">
      <c r="A70" s="3">
        <v>44094</v>
      </c>
      <c r="B70" s="4"/>
      <c r="C70" s="5">
        <v>421.1</v>
      </c>
      <c r="D70" s="6">
        <v>45900</v>
      </c>
      <c r="E70" s="7"/>
      <c r="F70" s="9"/>
      <c r="G70" s="5"/>
      <c r="H70" s="141"/>
      <c r="I70" s="141"/>
      <c r="J70" s="106">
        <f>IF(診断,-1,IF(SUMIF(N$2:N$89,N70,貸方)=SUMIF(N$2:N$89,N70,借方),IF(COUNTIF(F70,O$1),C70,),-1))</f>
        <v>0</v>
      </c>
      <c r="K70" s="129" t="str">
        <f>IF(ISBLANK(C70),"",VLOOKUP(C70,科目設定,2,0))</f>
        <v>役員報酬 1</v>
      </c>
      <c r="L70" s="21">
        <f>IF(ISBLANK(C70),"",IF(VLOOKUP(C70,科目設定,9,0)="借方",SUMIF(C$2:C70,C70,借方)-SUMIF(C$2:C70,C70,貸方),""))</f>
        <v>413100</v>
      </c>
      <c r="M70" s="108" t="str">
        <f>IF(ISBLANK(C70),"",IF(VLOOKUP(C70,科目設定,9,0)="貸方",SUMIF(C$2:C70,C70,貸方)-SUMIF(C$2:C70,C70,借方),""))</f>
        <v/>
      </c>
      <c r="N70" s="138">
        <f t="shared" si="0"/>
        <v>11288064</v>
      </c>
      <c r="O70" s="139">
        <f t="shared" si="1"/>
        <v>-11288064</v>
      </c>
      <c r="P70" s="130" t="str">
        <f>IF(ISBLANK(C70),"",IF(C70=J70,"前期繰越",IF(COUNTIF(O$2:O$89,-O70)=1,VLOOKUP(INDEX(科目,MATCH(-O70,O$2:O$89,0),1),科目設定,2,0),"諸口")))</f>
        <v>諸口</v>
      </c>
      <c r="Q70" s="131" t="str">
        <f>IF(ISBLANK(G70),"",VLOOKUP(G70,品番設定,2,0))</f>
        <v/>
      </c>
    </row>
    <row r="71" spans="1:17" ht="16.5" customHeight="1">
      <c r="A71" s="3">
        <v>44124</v>
      </c>
      <c r="B71" s="4"/>
      <c r="C71" s="5">
        <v>421.1</v>
      </c>
      <c r="D71" s="6">
        <v>45900</v>
      </c>
      <c r="E71" s="7"/>
      <c r="F71" s="9"/>
      <c r="G71" s="5"/>
      <c r="H71" s="141"/>
      <c r="I71" s="141"/>
      <c r="J71" s="106">
        <f>IF(診断,-1,IF(SUMIF(N$2:N$89,N71,貸方)=SUMIF(N$2:N$89,N71,借方),IF(COUNTIF(F71,O$1),C71,),-1))</f>
        <v>0</v>
      </c>
      <c r="K71" s="129" t="str">
        <f>IF(ISBLANK(C71),"",VLOOKUP(C71,科目設定,2,0))</f>
        <v>役員報酬 1</v>
      </c>
      <c r="L71" s="21">
        <f>IF(ISBLANK(C71),"",IF(VLOOKUP(C71,科目設定,9,0)="借方",SUMIF(C$2:C71,C71,借方)-SUMIF(C$2:C71,C71,貸方),""))</f>
        <v>459000</v>
      </c>
      <c r="M71" s="108" t="str">
        <f>IF(ISBLANK(C71),"",IF(VLOOKUP(C71,科目設定,9,0)="貸方",SUMIF(C$2:C71,C71,貸方)-SUMIF(C$2:C71,C71,借方),""))</f>
        <v/>
      </c>
      <c r="N71" s="138">
        <f t="shared" si="0"/>
        <v>11295744</v>
      </c>
      <c r="O71" s="139">
        <f t="shared" si="1"/>
        <v>-11295744</v>
      </c>
      <c r="P71" s="130" t="str">
        <f>IF(ISBLANK(C71),"",IF(C71=J71,"前期繰越",IF(COUNTIF(O$2:O$89,-O71)=1,VLOOKUP(INDEX(科目,MATCH(-O71,O$2:O$89,0),1),科目設定,2,0),"諸口")))</f>
        <v>諸口</v>
      </c>
      <c r="Q71" s="131" t="str">
        <f>IF(ISBLANK(G71),"",VLOOKUP(G71,品番設定,2,0))</f>
        <v/>
      </c>
    </row>
    <row r="72" spans="1:17" ht="16.5" customHeight="1">
      <c r="A72" s="3">
        <v>44155</v>
      </c>
      <c r="B72" s="4"/>
      <c r="C72" s="5">
        <v>421.1</v>
      </c>
      <c r="D72" s="6">
        <v>45900</v>
      </c>
      <c r="E72" s="7"/>
      <c r="F72" s="9"/>
      <c r="G72" s="5"/>
      <c r="H72" s="141"/>
      <c r="I72" s="141"/>
      <c r="J72" s="106">
        <f>IF(診断,-1,IF(SUMIF(N$2:N$89,N72,貸方)=SUMIF(N$2:N$89,N72,借方),IF(COUNTIF(F72,O$1),C72,),-1))</f>
        <v>0</v>
      </c>
      <c r="K72" s="129" t="str">
        <f>IF(ISBLANK(C72),"",VLOOKUP(C72,科目設定,2,0))</f>
        <v>役員報酬 1</v>
      </c>
      <c r="L72" s="21">
        <f>IF(ISBLANK(C72),"",IF(VLOOKUP(C72,科目設定,9,0)="借方",SUMIF(C$2:C72,C72,借方)-SUMIF(C$2:C72,C72,貸方),""))</f>
        <v>504900</v>
      </c>
      <c r="M72" s="108" t="str">
        <f>IF(ISBLANK(C72),"",IF(VLOOKUP(C72,科目設定,9,0)="貸方",SUMIF(C$2:C72,C72,貸方)-SUMIF(C$2:C72,C72,借方),""))</f>
        <v/>
      </c>
      <c r="N72" s="138">
        <f t="shared" si="0"/>
        <v>11303680</v>
      </c>
      <c r="O72" s="139">
        <f t="shared" si="1"/>
        <v>-11303680</v>
      </c>
      <c r="P72" s="130" t="str">
        <f>IF(ISBLANK(C72),"",IF(C72=J72,"前期繰越",IF(COUNTIF(O$2:O$89,-O72)=1,VLOOKUP(INDEX(科目,MATCH(-O72,O$2:O$89,0),1),科目設定,2,0),"諸口")))</f>
        <v>諸口</v>
      </c>
      <c r="Q72" s="131" t="str">
        <f>IF(ISBLANK(G72),"",VLOOKUP(G72,品番設定,2,0))</f>
        <v/>
      </c>
    </row>
    <row r="73" spans="1:17" ht="16.5" customHeight="1">
      <c r="A73" s="3">
        <v>44185</v>
      </c>
      <c r="B73" s="4"/>
      <c r="C73" s="5">
        <v>421.1</v>
      </c>
      <c r="D73" s="6">
        <v>45900</v>
      </c>
      <c r="E73" s="7"/>
      <c r="F73" s="9"/>
      <c r="G73" s="5"/>
      <c r="H73" s="141"/>
      <c r="I73" s="141"/>
      <c r="J73" s="106">
        <f>IF(診断,-1,IF(SUMIF(N$2:N$89,N73,貸方)=SUMIF(N$2:N$89,N73,借方),IF(COUNTIF(F73,O$1),C73,),-1))</f>
        <v>0</v>
      </c>
      <c r="K73" s="129" t="str">
        <f>IF(ISBLANK(C73),"",VLOOKUP(C73,科目設定,2,0))</f>
        <v>役員報酬 1</v>
      </c>
      <c r="L73" s="21">
        <f>IF(ISBLANK(C73),"",IF(VLOOKUP(C73,科目設定,9,0)="借方",SUMIF(C$2:C73,C73,借方)-SUMIF(C$2:C73,C73,貸方),""))</f>
        <v>550800</v>
      </c>
      <c r="M73" s="108" t="str">
        <f>IF(ISBLANK(C73),"",IF(VLOOKUP(C73,科目設定,9,0)="貸方",SUMIF(C$2:C73,C73,貸方)-SUMIF(C$2:C73,C73,借方),""))</f>
        <v/>
      </c>
      <c r="N73" s="138">
        <f t="shared" si="0"/>
        <v>11311360</v>
      </c>
      <c r="O73" s="139">
        <f t="shared" si="1"/>
        <v>-11311360</v>
      </c>
      <c r="P73" s="130" t="str">
        <f>IF(ISBLANK(C73),"",IF(C73=J73,"前期繰越",IF(COUNTIF(O$2:O$89,-O73)=1,VLOOKUP(INDEX(科目,MATCH(-O73,O$2:O$89,0),1),科目設定,2,0),"諸口")))</f>
        <v>諸口</v>
      </c>
      <c r="Q73" s="131" t="str">
        <f>IF(ISBLANK(G73),"",VLOOKUP(G73,品番設定,2,0))</f>
        <v/>
      </c>
    </row>
    <row r="74" spans="1:17" ht="16.5" customHeight="1">
      <c r="A74" s="3">
        <v>43836</v>
      </c>
      <c r="B74" s="4"/>
      <c r="C74" s="5">
        <v>422</v>
      </c>
      <c r="D74" s="6">
        <v>11793</v>
      </c>
      <c r="E74" s="7"/>
      <c r="F74" s="9"/>
      <c r="G74" s="5"/>
      <c r="H74" s="141"/>
      <c r="I74" s="141"/>
      <c r="J74" s="106">
        <f>IF(診断,-1,IF(SUMIF(N$2:N$89,N74,貸方)=SUMIF(N$2:N$89,N74,借方),IF(COUNTIF(F74,O$1),C74,),-1))</f>
        <v>0</v>
      </c>
      <c r="K74" s="129" t="str">
        <f>IF(ISBLANK(C74),"",VLOOKUP(C74,科目設定,2,0))</f>
        <v>法定福利費</v>
      </c>
      <c r="L74" s="21">
        <f>IF(ISBLANK(C74),"",IF(VLOOKUP(C74,科目設定,9,0)="借方",SUMIF(C$2:C74,C74,借方)-SUMIF(C$2:C74,C74,貸方),""))</f>
        <v>11793</v>
      </c>
      <c r="M74" s="108" t="str">
        <f>IF(ISBLANK(C74),"",IF(VLOOKUP(C74,科目設定,9,0)="貸方",SUMIF(C$2:C74,C74,貸方)-SUMIF(C$2:C74,C74,借方),""))</f>
        <v/>
      </c>
      <c r="N74" s="138">
        <f t="shared" si="0"/>
        <v>11222016</v>
      </c>
      <c r="O74" s="139">
        <f t="shared" si="1"/>
        <v>-11222016</v>
      </c>
      <c r="P74" s="130" t="str">
        <f>IF(ISBLANK(C74),"",IF(C74=J74,"前期繰越",IF(COUNTIF(O$2:O$89,-O74)=1,VLOOKUP(INDEX(科目,MATCH(-O74,O$2:O$89,0),1),科目設定,2,0),"諸口")))</f>
        <v>普通預金 ゆうちょ銀行</v>
      </c>
      <c r="Q74" s="131" t="str">
        <f>IF(ISBLANK(G74),"",VLOOKUP(G74,品番設定,2,0))</f>
        <v/>
      </c>
    </row>
    <row r="75" spans="1:17" ht="16.5" customHeight="1">
      <c r="A75" s="3">
        <v>43861</v>
      </c>
      <c r="B75" s="4"/>
      <c r="C75" s="5">
        <v>422</v>
      </c>
      <c r="D75" s="6">
        <v>11793</v>
      </c>
      <c r="E75" s="7"/>
      <c r="F75" s="9"/>
      <c r="G75" s="5"/>
      <c r="H75" s="141"/>
      <c r="I75" s="141"/>
      <c r="J75" s="106">
        <f>IF(診断,-1,IF(SUMIF(N$2:N$89,N75,貸方)=SUMIF(N$2:N$89,N75,借方),IF(COUNTIF(F75,O$1),C75,),-1))</f>
        <v>0</v>
      </c>
      <c r="K75" s="129" t="str">
        <f>IF(ISBLANK(C75),"",VLOOKUP(C75,科目設定,2,0))</f>
        <v>法定福利費</v>
      </c>
      <c r="L75" s="21">
        <f>IF(ISBLANK(C75),"",IF(VLOOKUP(C75,科目設定,9,0)="借方",SUMIF(C$2:C75,C75,借方)-SUMIF(C$2:C75,C75,貸方),""))</f>
        <v>23586</v>
      </c>
      <c r="M75" s="108" t="str">
        <f>IF(ISBLANK(C75),"",IF(VLOOKUP(C75,科目設定,9,0)="貸方",SUMIF(C$2:C75,C75,貸方)-SUMIF(C$2:C75,C75,借方),""))</f>
        <v/>
      </c>
      <c r="N75" s="138">
        <f t="shared" si="0"/>
        <v>11228416</v>
      </c>
      <c r="O75" s="139">
        <f t="shared" si="1"/>
        <v>-11228416</v>
      </c>
      <c r="P75" s="130" t="str">
        <f>IF(ISBLANK(C75),"",IF(C75=J75,"前期繰越",IF(COUNTIF(O$2:O$89,-O75)=1,VLOOKUP(INDEX(科目,MATCH(-O75,O$2:O$89,0),1),科目設定,2,0),"諸口")))</f>
        <v>普通預金 ゆうちょ銀行</v>
      </c>
      <c r="Q75" s="131" t="str">
        <f>IF(ISBLANK(G75),"",VLOOKUP(G75,品番設定,2,0))</f>
        <v/>
      </c>
    </row>
    <row r="76" spans="1:17" ht="16.5" customHeight="1">
      <c r="A76" s="3">
        <v>43892</v>
      </c>
      <c r="B76" s="4"/>
      <c r="C76" s="5">
        <v>422</v>
      </c>
      <c r="D76" s="6">
        <v>11793</v>
      </c>
      <c r="E76" s="7"/>
      <c r="F76" s="9"/>
      <c r="G76" s="5"/>
      <c r="H76" s="141"/>
      <c r="I76" s="141"/>
      <c r="J76" s="106">
        <f>IF(診断,-1,IF(SUMIF(N$2:N$89,N76,貸方)=SUMIF(N$2:N$89,N76,借方),IF(COUNTIF(F76,O$1),C76,),-1))</f>
        <v>0</v>
      </c>
      <c r="K76" s="129" t="str">
        <f>IF(ISBLANK(C76),"",VLOOKUP(C76,科目設定,2,0))</f>
        <v>法定福利費</v>
      </c>
      <c r="L76" s="21">
        <f>IF(ISBLANK(C76),"",IF(VLOOKUP(C76,科目設定,9,0)="借方",SUMIF(C$2:C76,C76,借方)-SUMIF(C$2:C76,C76,貸方),""))</f>
        <v>35379</v>
      </c>
      <c r="M76" s="108" t="str">
        <f>IF(ISBLANK(C76),"",IF(VLOOKUP(C76,科目設定,9,0)="貸方",SUMIF(C$2:C76,C76,貸方)-SUMIF(C$2:C76,C76,借方),""))</f>
        <v/>
      </c>
      <c r="N76" s="138">
        <f t="shared" si="0"/>
        <v>11236352</v>
      </c>
      <c r="O76" s="139">
        <f t="shared" si="1"/>
        <v>-11236352</v>
      </c>
      <c r="P76" s="130" t="str">
        <f>IF(ISBLANK(C76),"",IF(C76=J76,"前期繰越",IF(COUNTIF(O$2:O$89,-O76)=1,VLOOKUP(INDEX(科目,MATCH(-O76,O$2:O$89,0),1),科目設定,2,0),"諸口")))</f>
        <v>普通預金 ゆうちょ銀行</v>
      </c>
      <c r="Q76" s="131" t="str">
        <f>IF(ISBLANK(G76),"",VLOOKUP(G76,品番設定,2,0))</f>
        <v/>
      </c>
    </row>
    <row r="77" spans="1:17" ht="16.5" customHeight="1">
      <c r="A77" s="3">
        <v>43921</v>
      </c>
      <c r="B77" s="4"/>
      <c r="C77" s="5">
        <v>422</v>
      </c>
      <c r="D77" s="6">
        <v>11793</v>
      </c>
      <c r="E77" s="7"/>
      <c r="F77" s="9"/>
      <c r="G77" s="5"/>
      <c r="H77" s="141"/>
      <c r="I77" s="141"/>
      <c r="J77" s="106">
        <f>IF(診断,-1,IF(SUMIF(N$2:N$89,N77,貸方)=SUMIF(N$2:N$89,N77,借方),IF(COUNTIF(F77,O$1),C77,),-1))</f>
        <v>0</v>
      </c>
      <c r="K77" s="129" t="str">
        <f>IF(ISBLANK(C77),"",VLOOKUP(C77,科目設定,2,0))</f>
        <v>法定福利費</v>
      </c>
      <c r="L77" s="21">
        <f>IF(ISBLANK(C77),"",IF(VLOOKUP(C77,科目設定,9,0)="借方",SUMIF(C$2:C77,C77,借方)-SUMIF(C$2:C77,C77,貸方),""))</f>
        <v>47172</v>
      </c>
      <c r="M77" s="108" t="str">
        <f>IF(ISBLANK(C77),"",IF(VLOOKUP(C77,科目設定,9,0)="貸方",SUMIF(C$2:C77,C77,貸方)-SUMIF(C$2:C77,C77,借方),""))</f>
        <v/>
      </c>
      <c r="N77" s="138">
        <f t="shared" si="0"/>
        <v>11243776</v>
      </c>
      <c r="O77" s="139">
        <f t="shared" si="1"/>
        <v>-11243776</v>
      </c>
      <c r="P77" s="130" t="str">
        <f>IF(ISBLANK(C77),"",IF(C77=J77,"前期繰越",IF(COUNTIF(O$2:O$89,-O77)=1,VLOOKUP(INDEX(科目,MATCH(-O77,O$2:O$89,0),1),科目設定,2,0),"諸口")))</f>
        <v>普通預金 ゆうちょ銀行</v>
      </c>
      <c r="Q77" s="131" t="str">
        <f>IF(ISBLANK(G77),"",VLOOKUP(G77,品番設定,2,0))</f>
        <v/>
      </c>
    </row>
    <row r="78" spans="1:17" ht="16.5" customHeight="1">
      <c r="A78" s="3">
        <v>43951</v>
      </c>
      <c r="B78" s="4"/>
      <c r="C78" s="5">
        <v>422</v>
      </c>
      <c r="D78" s="6">
        <v>11810</v>
      </c>
      <c r="E78" s="7"/>
      <c r="F78" s="9" t="s">
        <v>14</v>
      </c>
      <c r="G78" s="5"/>
      <c r="H78" s="141"/>
      <c r="I78" s="141"/>
      <c r="J78" s="106">
        <f>IF(診断,-1,IF(SUMIF(N$2:N$89,N78,貸方)=SUMIF(N$2:N$89,N78,借方),IF(COUNTIF(F78,O$1),C78,),-1))</f>
        <v>0</v>
      </c>
      <c r="K78" s="129" t="str">
        <f>IF(ISBLANK(C78),"",VLOOKUP(C78,科目設定,2,0))</f>
        <v>法定福利費</v>
      </c>
      <c r="L78" s="21">
        <f>IF(ISBLANK(C78),"",IF(VLOOKUP(C78,科目設定,9,0)="借方",SUMIF(C$2:C78,C78,借方)-SUMIF(C$2:C78,C78,貸方),""))</f>
        <v>58982</v>
      </c>
      <c r="M78" s="108" t="str">
        <f>IF(ISBLANK(C78),"",IF(VLOOKUP(C78,科目設定,9,0)="貸方",SUMIF(C$2:C78,C78,貸方)-SUMIF(C$2:C78,C78,借方),""))</f>
        <v/>
      </c>
      <c r="N78" s="138">
        <f t="shared" si="0"/>
        <v>11251456</v>
      </c>
      <c r="O78" s="139">
        <f t="shared" si="1"/>
        <v>-11251456</v>
      </c>
      <c r="P78" s="130" t="str">
        <f>IF(ISBLANK(C78),"",IF(C78=J78,"前期繰越",IF(COUNTIF(O$2:O$89,-O78)=1,VLOOKUP(INDEX(科目,MATCH(-O78,O$2:O$89,0),1),科目設定,2,0),"諸口")))</f>
        <v>普通預金 ゆうちょ銀行</v>
      </c>
      <c r="Q78" s="131" t="str">
        <f>IF(ISBLANK(G78),"",VLOOKUP(G78,品番設定,2,0))</f>
        <v/>
      </c>
    </row>
    <row r="79" spans="1:17" ht="16.5" customHeight="1">
      <c r="A79" s="3">
        <v>43983</v>
      </c>
      <c r="B79" s="4"/>
      <c r="C79" s="5">
        <v>422</v>
      </c>
      <c r="D79" s="6">
        <v>11827</v>
      </c>
      <c r="E79" s="7"/>
      <c r="F79" s="9" t="s">
        <v>15</v>
      </c>
      <c r="G79" s="5"/>
      <c r="H79" s="141"/>
      <c r="I79" s="141"/>
      <c r="J79" s="106">
        <f>IF(診断,-1,IF(SUMIF(N$2:N$89,N79,貸方)=SUMIF(N$2:N$89,N79,借方),IF(COUNTIF(F79,O$1),C79,),-1))</f>
        <v>0</v>
      </c>
      <c r="K79" s="129" t="str">
        <f>IF(ISBLANK(C79),"",VLOOKUP(C79,科目設定,2,0))</f>
        <v>法定福利費</v>
      </c>
      <c r="L79" s="21">
        <f>IF(ISBLANK(C79),"",IF(VLOOKUP(C79,科目設定,9,0)="借方",SUMIF(C$2:C79,C79,借方)-SUMIF(C$2:C79,C79,貸方),""))</f>
        <v>70809</v>
      </c>
      <c r="M79" s="108" t="str">
        <f>IF(ISBLANK(C79),"",IF(VLOOKUP(C79,科目設定,9,0)="貸方",SUMIF(C$2:C79,C79,貸方)-SUMIF(C$2:C79,C79,借方),""))</f>
        <v/>
      </c>
      <c r="N79" s="138">
        <f t="shared" si="0"/>
        <v>11259648</v>
      </c>
      <c r="O79" s="139">
        <f t="shared" si="1"/>
        <v>-11259648</v>
      </c>
      <c r="P79" s="130" t="str">
        <f>IF(ISBLANK(C79),"",IF(C79=J79,"前期繰越",IF(COUNTIF(O$2:O$89,-O79)=1,VLOOKUP(INDEX(科目,MATCH(-O79,O$2:O$89,0),1),科目設定,2,0),"諸口")))</f>
        <v>普通預金 ゆうちょ銀行</v>
      </c>
      <c r="Q79" s="131" t="str">
        <f>IF(ISBLANK(G79),"",VLOOKUP(G79,品番設定,2,0))</f>
        <v/>
      </c>
    </row>
    <row r="80" spans="1:17" ht="16.5" customHeight="1">
      <c r="A80" s="3">
        <v>44012</v>
      </c>
      <c r="B80" s="4"/>
      <c r="C80" s="5">
        <v>422</v>
      </c>
      <c r="D80" s="6">
        <v>11827</v>
      </c>
      <c r="E80" s="7"/>
      <c r="F80" s="9"/>
      <c r="G80" s="5"/>
      <c r="H80" s="141"/>
      <c r="I80" s="141"/>
      <c r="J80" s="106">
        <f>IF(診断,-1,IF(SUMIF(N$2:N$89,N80,貸方)=SUMIF(N$2:N$89,N80,借方),IF(COUNTIF(F80,O$1),C80,),-1))</f>
        <v>0</v>
      </c>
      <c r="K80" s="129" t="str">
        <f>IF(ISBLANK(C80),"",VLOOKUP(C80,科目設定,2,0))</f>
        <v>法定福利費</v>
      </c>
      <c r="L80" s="21">
        <f>IF(ISBLANK(C80),"",IF(VLOOKUP(C80,科目設定,9,0)="借方",SUMIF(C$2:C80,C80,借方)-SUMIF(C$2:C80,C80,貸方),""))</f>
        <v>82636</v>
      </c>
      <c r="M80" s="108" t="str">
        <f>IF(ISBLANK(C80),"",IF(VLOOKUP(C80,科目設定,9,0)="貸方",SUMIF(C$2:C80,C80,貸方)-SUMIF(C$2:C80,C80,借方),""))</f>
        <v/>
      </c>
      <c r="N80" s="138">
        <f t="shared" si="0"/>
        <v>11267072</v>
      </c>
      <c r="O80" s="139">
        <f t="shared" si="1"/>
        <v>-11267072</v>
      </c>
      <c r="P80" s="130" t="str">
        <f>IF(ISBLANK(C80),"",IF(C80=J80,"前期繰越",IF(COUNTIF(O$2:O$89,-O80)=1,VLOOKUP(INDEX(科目,MATCH(-O80,O$2:O$89,0),1),科目設定,2,0),"諸口")))</f>
        <v>普通預金 ゆうちょ銀行</v>
      </c>
      <c r="Q80" s="131" t="str">
        <f>IF(ISBLANK(G80),"",VLOOKUP(G80,品番設定,2,0))</f>
        <v/>
      </c>
    </row>
    <row r="81" spans="1:17" ht="16.5" customHeight="1">
      <c r="A81" s="3">
        <v>44043</v>
      </c>
      <c r="B81" s="4"/>
      <c r="C81" s="5">
        <v>422</v>
      </c>
      <c r="D81" s="6">
        <v>11827</v>
      </c>
      <c r="E81" s="7"/>
      <c r="F81" s="9"/>
      <c r="G81" s="5"/>
      <c r="H81" s="141"/>
      <c r="I81" s="141"/>
      <c r="J81" s="106">
        <f>IF(診断,-1,IF(SUMIF(N$2:N$89,N81,貸方)=SUMIF(N$2:N$89,N81,借方),IF(COUNTIF(F81,O$1),C81,),-1))</f>
        <v>0</v>
      </c>
      <c r="K81" s="129" t="str">
        <f>IF(ISBLANK(C81),"",VLOOKUP(C81,科目設定,2,0))</f>
        <v>法定福利費</v>
      </c>
      <c r="L81" s="21">
        <f>IF(ISBLANK(C81),"",IF(VLOOKUP(C81,科目設定,9,0)="借方",SUMIF(C$2:C81,C81,借方)-SUMIF(C$2:C81,C81,貸方),""))</f>
        <v>94463</v>
      </c>
      <c r="M81" s="108" t="str">
        <f>IF(ISBLANK(C81),"",IF(VLOOKUP(C81,科目設定,9,0)="貸方",SUMIF(C$2:C81,C81,貸方)-SUMIF(C$2:C81,C81,借方),""))</f>
        <v/>
      </c>
      <c r="N81" s="138">
        <f t="shared" si="0"/>
        <v>11275008</v>
      </c>
      <c r="O81" s="139">
        <f t="shared" si="1"/>
        <v>-11275008</v>
      </c>
      <c r="P81" s="130" t="str">
        <f>IF(ISBLANK(C81),"",IF(C81=J81,"前期繰越",IF(COUNTIF(O$2:O$89,-O81)=1,VLOOKUP(INDEX(科目,MATCH(-O81,O$2:O$89,0),1),科目設定,2,0),"諸口")))</f>
        <v>普通預金 ゆうちょ銀行</v>
      </c>
      <c r="Q81" s="131" t="str">
        <f>IF(ISBLANK(G81),"",VLOOKUP(G81,品番設定,2,0))</f>
        <v/>
      </c>
    </row>
    <row r="82" spans="1:17" ht="16.5" customHeight="1">
      <c r="A82" s="3">
        <v>44074</v>
      </c>
      <c r="B82" s="4"/>
      <c r="C82" s="5">
        <v>422</v>
      </c>
      <c r="D82" s="6">
        <v>11827</v>
      </c>
      <c r="E82" s="7"/>
      <c r="F82" s="9"/>
      <c r="G82" s="5"/>
      <c r="H82" s="141"/>
      <c r="I82" s="141"/>
      <c r="J82" s="106">
        <f>IF(診断,-1,IF(SUMIF(N$2:N$89,N82,貸方)=SUMIF(N$2:N$89,N82,借方),IF(COUNTIF(F82,O$1),C82,),-1))</f>
        <v>0</v>
      </c>
      <c r="K82" s="129" t="str">
        <f>IF(ISBLANK(C82),"",VLOOKUP(C82,科目設定,2,0))</f>
        <v>法定福利費</v>
      </c>
      <c r="L82" s="21">
        <f>IF(ISBLANK(C82),"",IF(VLOOKUP(C82,科目設定,9,0)="借方",SUMIF(C$2:C82,C82,借方)-SUMIF(C$2:C82,C82,貸方),""))</f>
        <v>106290</v>
      </c>
      <c r="M82" s="108" t="str">
        <f>IF(ISBLANK(C82),"",IF(VLOOKUP(C82,科目設定,9,0)="貸方",SUMIF(C$2:C82,C82,貸方)-SUMIF(C$2:C82,C82,借方),""))</f>
        <v/>
      </c>
      <c r="N82" s="138">
        <f t="shared" si="0"/>
        <v>11282944</v>
      </c>
      <c r="O82" s="139">
        <f t="shared" si="1"/>
        <v>-11282944</v>
      </c>
      <c r="P82" s="130" t="str">
        <f>IF(ISBLANK(C82),"",IF(C82=J82,"前期繰越",IF(COUNTIF(O$2:O$89,-O82)=1,VLOOKUP(INDEX(科目,MATCH(-O82,O$2:O$89,0),1),科目設定,2,0),"諸口")))</f>
        <v>普通預金 ゆうちょ銀行</v>
      </c>
      <c r="Q82" s="131" t="str">
        <f>IF(ISBLANK(G82),"",VLOOKUP(G82,品番設定,2,0))</f>
        <v/>
      </c>
    </row>
    <row r="83" spans="1:17" ht="16.5" customHeight="1">
      <c r="A83" s="3">
        <v>44104</v>
      </c>
      <c r="B83" s="4"/>
      <c r="C83" s="5">
        <v>422</v>
      </c>
      <c r="D83" s="6">
        <v>11827</v>
      </c>
      <c r="E83" s="7"/>
      <c r="F83" s="9"/>
      <c r="G83" s="5"/>
      <c r="H83" s="141"/>
      <c r="I83" s="141"/>
      <c r="J83" s="106">
        <f>IF(診断,-1,IF(SUMIF(N$2:N$89,N83,貸方)=SUMIF(N$2:N$89,N83,借方),IF(COUNTIF(F83,O$1),C83,),-1))</f>
        <v>0</v>
      </c>
      <c r="K83" s="129" t="str">
        <f>IF(ISBLANK(C83),"",VLOOKUP(C83,科目設定,2,0))</f>
        <v>法定福利費</v>
      </c>
      <c r="L83" s="21">
        <f>IF(ISBLANK(C83),"",IF(VLOOKUP(C83,科目設定,9,0)="借方",SUMIF(C$2:C83,C83,借方)-SUMIF(C$2:C83,C83,貸方),""))</f>
        <v>118117</v>
      </c>
      <c r="M83" s="108" t="str">
        <f>IF(ISBLANK(C83),"",IF(VLOOKUP(C83,科目設定,9,0)="貸方",SUMIF(C$2:C83,C83,貸方)-SUMIF(C$2:C83,C83,借方),""))</f>
        <v/>
      </c>
      <c r="N83" s="138">
        <f t="shared" si="0"/>
        <v>11290624</v>
      </c>
      <c r="O83" s="139">
        <f t="shared" si="1"/>
        <v>-11290624</v>
      </c>
      <c r="P83" s="130" t="str">
        <f>IF(ISBLANK(C83),"",IF(C83=J83,"前期繰越",IF(COUNTIF(O$2:O$89,-O83)=1,VLOOKUP(INDEX(科目,MATCH(-O83,O$2:O$89,0),1),科目設定,2,0),"諸口")))</f>
        <v>普通預金 ゆうちょ銀行</v>
      </c>
      <c r="Q83" s="131" t="str">
        <f>IF(ISBLANK(G83),"",VLOOKUP(G83,品番設定,2,0))</f>
        <v/>
      </c>
    </row>
    <row r="84" spans="1:17" ht="16.5" customHeight="1">
      <c r="A84" s="3">
        <v>44137</v>
      </c>
      <c r="B84" s="4"/>
      <c r="C84" s="5">
        <v>422</v>
      </c>
      <c r="D84" s="6">
        <v>11827</v>
      </c>
      <c r="E84" s="7"/>
      <c r="F84" s="9"/>
      <c r="G84" s="5"/>
      <c r="H84" s="141"/>
      <c r="I84" s="141"/>
      <c r="J84" s="106">
        <f>IF(診断,-1,IF(SUMIF(N$2:N$89,N84,貸方)=SUMIF(N$2:N$89,N84,借方),IF(COUNTIF(F84,O$1),C84,),-1))</f>
        <v>0</v>
      </c>
      <c r="K84" s="129" t="str">
        <f>IF(ISBLANK(C84),"",VLOOKUP(C84,科目設定,2,0))</f>
        <v>法定福利費</v>
      </c>
      <c r="L84" s="21">
        <f>IF(ISBLANK(C84),"",IF(VLOOKUP(C84,科目設定,9,0)="借方",SUMIF(C$2:C84,C84,借方)-SUMIF(C$2:C84,C84,貸方),""))</f>
        <v>129944</v>
      </c>
      <c r="M84" s="108" t="str">
        <f>IF(ISBLANK(C84),"",IF(VLOOKUP(C84,科目設定,9,0)="貸方",SUMIF(C$2:C84,C84,貸方)-SUMIF(C$2:C84,C84,借方),""))</f>
        <v/>
      </c>
      <c r="N84" s="138">
        <f t="shared" si="0"/>
        <v>11299072</v>
      </c>
      <c r="O84" s="139">
        <f t="shared" si="1"/>
        <v>-11299072</v>
      </c>
      <c r="P84" s="130" t="str">
        <f>IF(ISBLANK(C84),"",IF(C84=J84,"前期繰越",IF(COUNTIF(O$2:O$89,-O84)=1,VLOOKUP(INDEX(科目,MATCH(-O84,O$2:O$89,0),1),科目設定,2,0),"諸口")))</f>
        <v>普通預金 ゆうちょ銀行</v>
      </c>
      <c r="Q84" s="131" t="str">
        <f>IF(ISBLANK(G84),"",VLOOKUP(G84,品番設定,2,0))</f>
        <v/>
      </c>
    </row>
    <row r="85" spans="1:17" ht="16.5" customHeight="1">
      <c r="A85" s="3">
        <v>44165</v>
      </c>
      <c r="B85" s="4"/>
      <c r="C85" s="5">
        <v>422</v>
      </c>
      <c r="D85" s="6">
        <v>11827</v>
      </c>
      <c r="E85" s="7"/>
      <c r="F85" s="9"/>
      <c r="G85" s="5"/>
      <c r="H85" s="141"/>
      <c r="I85" s="141"/>
      <c r="J85" s="106">
        <f>IF(診断,-1,IF(SUMIF(N$2:N$89,N85,貸方)=SUMIF(N$2:N$89,N85,借方),IF(COUNTIF(F85,O$1),C85,),-1))</f>
        <v>0</v>
      </c>
      <c r="K85" s="129" t="str">
        <f>IF(ISBLANK(C85),"",VLOOKUP(C85,科目設定,2,0))</f>
        <v>法定福利費</v>
      </c>
      <c r="L85" s="21">
        <f>IF(ISBLANK(C85),"",IF(VLOOKUP(C85,科目設定,9,0)="借方",SUMIF(C$2:C85,C85,借方)-SUMIF(C$2:C85,C85,貸方),""))</f>
        <v>141771</v>
      </c>
      <c r="M85" s="108" t="str">
        <f>IF(ISBLANK(C85),"",IF(VLOOKUP(C85,科目設定,9,0)="貸方",SUMIF(C$2:C85,C85,貸方)-SUMIF(C$2:C85,C85,借方),""))</f>
        <v/>
      </c>
      <c r="N85" s="138">
        <f t="shared" si="0"/>
        <v>11306240</v>
      </c>
      <c r="O85" s="139">
        <f t="shared" si="1"/>
        <v>-11306240</v>
      </c>
      <c r="P85" s="130" t="str">
        <f>IF(ISBLANK(C85),"",IF(C85=J85,"前期繰越",IF(COUNTIF(O$2:O$89,-O85)=1,VLOOKUP(INDEX(科目,MATCH(-O85,O$2:O$89,0),1),科目設定,2,0),"諸口")))</f>
        <v>普通預金 ゆうちょ銀行</v>
      </c>
      <c r="Q85" s="131" t="str">
        <f>IF(ISBLANK(G85),"",VLOOKUP(G85,品番設定,2,0))</f>
        <v/>
      </c>
    </row>
    <row r="86" spans="1:17" ht="16.5" customHeight="1">
      <c r="A86" s="3">
        <v>43880</v>
      </c>
      <c r="B86" s="5">
        <v>2</v>
      </c>
      <c r="C86" s="5">
        <v>482</v>
      </c>
      <c r="D86" s="6">
        <v>22000</v>
      </c>
      <c r="E86" s="7"/>
      <c r="F86" s="9"/>
      <c r="G86" s="5"/>
      <c r="H86" s="141"/>
      <c r="I86" s="141"/>
      <c r="J86" s="106">
        <f>IF(診断,-1,IF(SUMIF(N$2:N$89,N86,貸方)=SUMIF(N$2:N$89,N86,借方),IF(COUNTIF(F86,O$1),C86,),-1))</f>
        <v>0</v>
      </c>
      <c r="K86" s="129" t="str">
        <f>IF(ISBLANK(C86),"",VLOOKUP(C86,科目設定,2,0))</f>
        <v>法人県民税等</v>
      </c>
      <c r="L86" s="21">
        <f>IF(ISBLANK(C86),"",IF(VLOOKUP(C86,科目設定,9,0)="借方",SUMIF(C$2:C86,C86,借方)-SUMIF(C$2:C86,C86,貸方),""))</f>
        <v>22000</v>
      </c>
      <c r="M86" s="108" t="str">
        <f>IF(ISBLANK(C86),"",IF(VLOOKUP(C86,科目設定,9,0)="貸方",SUMIF(C$2:C86,C86,貸方)-SUMIF(C$2:C86,C86,借方),""))</f>
        <v/>
      </c>
      <c r="N86" s="138">
        <f t="shared" si="0"/>
        <v>11233282</v>
      </c>
      <c r="O86" s="139">
        <f t="shared" si="1"/>
        <v>-11233282</v>
      </c>
      <c r="P86" s="130" t="str">
        <f>IF(ISBLANK(C86),"",IF(C86=J86,"前期繰越",IF(COUNTIF(O$2:O$89,-O86)=1,VLOOKUP(INDEX(科目,MATCH(-O86,O$2:O$89,0),1),科目設定,2,0),"諸口")))</f>
        <v>普通預金 ゆうちょ銀行</v>
      </c>
      <c r="Q86" s="131" t="str">
        <f>IF(ISBLANK(G86),"",VLOOKUP(G86,品番設定,2,0))</f>
        <v/>
      </c>
    </row>
    <row r="87" spans="1:17" ht="16.5" customHeight="1">
      <c r="A87" s="3">
        <v>43880</v>
      </c>
      <c r="B87" s="5">
        <v>2</v>
      </c>
      <c r="C87" s="5">
        <v>483</v>
      </c>
      <c r="D87" s="6">
        <v>60000</v>
      </c>
      <c r="E87" s="7"/>
      <c r="F87" s="9"/>
      <c r="G87" s="5"/>
      <c r="H87" s="141"/>
      <c r="I87" s="141"/>
      <c r="J87" s="106">
        <f>IF(診断,-1,IF(SUMIF(N$2:N$89,N87,貸方)=SUMIF(N$2:N$89,N87,借方),IF(COUNTIF(F87,O$1),C87,),-1))</f>
        <v>0</v>
      </c>
      <c r="K87" s="129" t="str">
        <f>IF(ISBLANK(C87),"",VLOOKUP(C87,科目設定,2,0))</f>
        <v>法人市民税</v>
      </c>
      <c r="L87" s="21">
        <f>IF(ISBLANK(C87),"",IF(VLOOKUP(C87,科目設定,9,0)="借方",SUMIF(C$2:C87,C87,借方)-SUMIF(C$2:C87,C87,貸方),""))</f>
        <v>60000</v>
      </c>
      <c r="M87" s="108" t="str">
        <f>IF(ISBLANK(C87),"",IF(VLOOKUP(C87,科目設定,9,0)="貸方",SUMIF(C$2:C87,C87,貸方)-SUMIF(C$2:C87,C87,借方),""))</f>
        <v/>
      </c>
      <c r="N87" s="138">
        <f t="shared" si="0"/>
        <v>11233282</v>
      </c>
      <c r="O87" s="139">
        <f t="shared" si="1"/>
        <v>-11233282</v>
      </c>
      <c r="P87" s="130" t="str">
        <f>IF(ISBLANK(C87),"",IF(C87=J87,"前期繰越",IF(COUNTIF(O$2:O$89,-O87)=1,VLOOKUP(INDEX(科目,MATCH(-O87,O$2:O$89,0),1),科目設定,2,0),"諸口")))</f>
        <v>普通預金 ゆうちょ銀行</v>
      </c>
      <c r="Q87" s="131" t="str">
        <f>IF(ISBLANK(G87),"",VLOOKUP(G87,品番設定,2,0))</f>
        <v/>
      </c>
    </row>
    <row r="88" spans="1:17" ht="16.5" customHeight="1">
      <c r="A88" s="3">
        <v>44196</v>
      </c>
      <c r="B88" s="5">
        <v>2</v>
      </c>
      <c r="C88" s="5">
        <v>490</v>
      </c>
      <c r="D88" s="7">
        <v>-82000</v>
      </c>
      <c r="E88" s="6"/>
      <c r="F88" s="193" t="s">
        <v>17</v>
      </c>
      <c r="G88" s="5"/>
      <c r="H88" s="141"/>
      <c r="I88" s="141"/>
      <c r="J88" s="106">
        <f>IF(診断,-1,IF(SUMIF(N$2:N$89,N88,貸方)=SUMIF(N$2:N$89,N88,借方),IF(COUNTIF(F88,O$1),C88,),-1))</f>
        <v>0</v>
      </c>
      <c r="K88" s="129" t="str">
        <f>IF(ISBLANK(C88),"",VLOOKUP(C88,科目設定,2,0))</f>
        <v>当期純利益又は損失(-)</v>
      </c>
      <c r="L88" s="21">
        <f>IF(ISBLANK(C88),"",IF(VLOOKUP(C88,科目設定,9,0)="借方",SUMIF(C$2:C88,C88,借方)-SUMIF(C$2:C88,C88,貸方),""))</f>
        <v>-82000</v>
      </c>
      <c r="M88" s="108" t="str">
        <f>IF(ISBLANK(C88),"",IF(VLOOKUP(C88,科目設定,9,0)="貸方",SUMIF(C$2:C88,C88,貸方)-SUMIF(C$2:C88,C88,借方),""))</f>
        <v/>
      </c>
      <c r="N88" s="138">
        <f t="shared" si="0"/>
        <v>11314178</v>
      </c>
      <c r="O88" s="139">
        <f t="shared" si="1"/>
        <v>-11314178</v>
      </c>
      <c r="P88" s="130" t="str">
        <f>IF(ISBLANK(C88),"",IF(C88=J88,"前期繰越",IF(COUNTIF(O$2:O$89,-O88)=1,VLOOKUP(INDEX(科目,MATCH(-O88,O$2:O$89,0),1),科目設定,2,0),"諸口")))</f>
        <v>繰越利益剰余金</v>
      </c>
      <c r="Q88" s="131" t="str">
        <f>IF(ISBLANK(G88),"",VLOOKUP(G88,品番設定,2,0))</f>
        <v/>
      </c>
    </row>
    <row r="89" spans="1:17" ht="16.5" hidden="1" customHeight="1">
      <c r="A89" s="97"/>
      <c r="B89" s="25"/>
      <c r="C89" s="97">
        <v>10001</v>
      </c>
      <c r="D89" s="27"/>
      <c r="E89" s="27"/>
      <c r="F89" s="2"/>
      <c r="G89" s="25"/>
      <c r="H89" s="140"/>
      <c r="I89" s="140"/>
      <c r="J89" s="127"/>
      <c r="K89" s="2"/>
      <c r="L89" s="100"/>
      <c r="M89" s="101"/>
      <c r="N89" s="137"/>
      <c r="O89" s="104"/>
      <c r="P89" s="128"/>
      <c r="Q89" s="2"/>
    </row>
    <row r="90" spans="1:17" ht="16.5" customHeight="1">
      <c r="A90" s="132"/>
      <c r="B90" s="72"/>
      <c r="C90" s="72" t="s">
        <v>18</v>
      </c>
      <c r="D90" s="74">
        <f>SUM(借方)</f>
        <v>3923214</v>
      </c>
      <c r="E90" s="74">
        <f>SUM(貸方)</f>
        <v>3923214</v>
      </c>
      <c r="F90" s="15"/>
      <c r="G90" s="72"/>
      <c r="H90" s="142"/>
      <c r="I90" s="142"/>
      <c r="J90" s="133"/>
      <c r="K90" s="15"/>
      <c r="L90" s="117"/>
      <c r="M90" s="118"/>
      <c r="N90" s="134"/>
      <c r="O90" s="135"/>
      <c r="P90" s="136"/>
      <c r="Q90" s="10" t="s">
        <v>19</v>
      </c>
    </row>
  </sheetData>
  <sortState xmlns:xlrd2="http://schemas.microsoft.com/office/spreadsheetml/2017/richdata2" ref="A3:F90">
    <sortCondition ref="C3:C90"/>
  </sortState>
  <conditionalFormatting sqref="C2:C3 C89">
    <cfRule type="cellIs" dxfId="10" priority="2" operator="equal">
      <formula>0</formula>
    </cfRule>
  </conditionalFormatting>
  <conditionalFormatting sqref="F77">
    <cfRule type="cellIs" dxfId="9" priority="3" operator="equal">
      <formula>0</formula>
    </cfRule>
  </conditionalFormatting>
  <conditionalFormatting sqref="J2:J16 J19:J90">
    <cfRule type="cellIs" dxfId="8" priority="4" operator="equal">
      <formula>-1</formula>
    </cfRule>
  </conditionalFormatting>
  <conditionalFormatting sqref="J17:J18">
    <cfRule type="cellIs" dxfId="7" priority="5" operator="equal">
      <formula>-1</formula>
    </cfRule>
  </conditionalFormatting>
  <conditionalFormatting sqref="J1">
    <cfRule type="cellIs" dxfId="6" priority="1" operator="equal">
      <formula>-1</formula>
    </cfRule>
  </conditionalFormatting>
  <printOptions horizontalCentered="1" gridLines="1"/>
  <pageMargins left="0.7" right="0.7" top="0.75" bottom="0.75" header="0" footer="0"/>
  <pageSetup paperSize="9" fitToHeight="0" pageOrder="overThenDown"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
  <sheetViews>
    <sheetView workbookViewId="0">
      <pane ySplit="2" topLeftCell="A3" activePane="bottomLeft" state="frozen"/>
      <selection pane="bottomLeft"/>
    </sheetView>
  </sheetViews>
  <sheetFormatPr defaultColWidth="14.42578125" defaultRowHeight="16.5" customHeight="1"/>
  <cols>
    <col min="1" max="1" width="7" style="84" customWidth="1"/>
    <col min="2" max="2" width="24.140625" style="84" customWidth="1"/>
    <col min="3" max="3" width="7" style="84" customWidth="1"/>
    <col min="4" max="5" width="10.42578125" style="84" customWidth="1"/>
    <col min="6" max="6" width="12.140625" style="84" customWidth="1"/>
    <col min="7" max="7" width="3.5703125" style="84" customWidth="1"/>
    <col min="8" max="8" width="12.140625" style="84" customWidth="1"/>
    <col min="9" max="12" width="10.42578125" style="84" customWidth="1"/>
    <col min="13" max="13" width="60.42578125" style="84" customWidth="1"/>
    <col min="14" max="16384" width="14.42578125" style="84"/>
  </cols>
  <sheetData>
    <row r="1" spans="1:13" ht="16.5" customHeight="1">
      <c r="A1" s="87" t="s">
        <v>4</v>
      </c>
      <c r="B1" s="1" t="s">
        <v>12</v>
      </c>
      <c r="C1" s="1" t="s">
        <v>20</v>
      </c>
      <c r="D1" s="91" t="s">
        <v>21</v>
      </c>
      <c r="E1" s="91" t="s">
        <v>22</v>
      </c>
      <c r="F1" s="91" t="s">
        <v>23</v>
      </c>
      <c r="G1" s="143">
        <f>IF(COUNTIF(G2:G6,-1),-1,)</f>
        <v>0</v>
      </c>
      <c r="H1" s="91" t="s">
        <v>24</v>
      </c>
      <c r="I1" s="91" t="s">
        <v>5</v>
      </c>
      <c r="J1" s="91" t="s">
        <v>6</v>
      </c>
      <c r="K1" s="91" t="s">
        <v>25</v>
      </c>
      <c r="L1" s="91" t="s">
        <v>26</v>
      </c>
      <c r="M1" s="1" t="s">
        <v>27</v>
      </c>
    </row>
    <row r="2" spans="1:13" ht="16.5" hidden="1" customHeight="1">
      <c r="A2" s="25"/>
      <c r="B2" s="12"/>
      <c r="C2" s="12"/>
      <c r="D2" s="100"/>
      <c r="E2" s="100"/>
      <c r="F2" s="100"/>
      <c r="G2" s="11"/>
      <c r="H2" s="100"/>
      <c r="I2" s="100"/>
      <c r="J2" s="100"/>
      <c r="K2" s="100"/>
      <c r="L2" s="100"/>
      <c r="M2" s="12"/>
    </row>
    <row r="3" spans="1:13" ht="16.5" customHeight="1">
      <c r="A3" s="5">
        <v>1</v>
      </c>
      <c r="B3" s="14" t="s">
        <v>28</v>
      </c>
      <c r="C3" s="14" t="s">
        <v>29</v>
      </c>
      <c r="D3" s="144"/>
      <c r="E3" s="144"/>
      <c r="F3" s="144"/>
      <c r="G3" s="13">
        <f>IF(診断,-1,IF(ISBLANK(A3),,IF(COUNTIF(A$2:A$6,A3)=1,,-1)))</f>
        <v>0</v>
      </c>
      <c r="H3" s="145">
        <f>IF(ISBLANK(A3),"",E3*F3)</f>
        <v>0</v>
      </c>
      <c r="I3" s="145">
        <f>IF(ISBLANK(A3),"",SUMIF(品番,A3,出庫))</f>
        <v>0</v>
      </c>
      <c r="J3" s="145">
        <f>IF(ISBLANK(A3),"",SUMIF(品番,A3,入庫))</f>
        <v>0</v>
      </c>
      <c r="K3" s="145">
        <f>IF(ISBLANK(A3),"",D3+J3-I3)</f>
        <v>0</v>
      </c>
      <c r="L3" s="145">
        <f>IF(ISBLANK(A3),"",E3-K3)</f>
        <v>0</v>
      </c>
      <c r="M3" s="14"/>
    </row>
    <row r="4" spans="1:13" ht="16.5" customHeight="1">
      <c r="A4" s="5">
        <v>2</v>
      </c>
      <c r="B4" s="14" t="s">
        <v>30</v>
      </c>
      <c r="C4" s="14" t="s">
        <v>29</v>
      </c>
      <c r="D4" s="144"/>
      <c r="E4" s="144"/>
      <c r="F4" s="144"/>
      <c r="G4" s="13">
        <f>IF(診断,-1,IF(ISBLANK(A4),,IF(COUNTIF(A$2:A$6,A4)=1,,-1)))</f>
        <v>0</v>
      </c>
      <c r="H4" s="145">
        <f t="shared" ref="H4:H5" si="0">IF(ISBLANK(A4),"",E4*F4)</f>
        <v>0</v>
      </c>
      <c r="I4" s="145">
        <f>IF(ISBLANK(A4),"",SUMIF(品番,A4,出庫))</f>
        <v>0</v>
      </c>
      <c r="J4" s="145">
        <f>IF(ISBLANK(A4),"",SUMIF(品番,A4,入庫))</f>
        <v>0</v>
      </c>
      <c r="K4" s="145">
        <f t="shared" ref="K4:K5" si="1">IF(ISBLANK(A4),"",D4+J4-I4)</f>
        <v>0</v>
      </c>
      <c r="L4" s="145">
        <f t="shared" ref="L4:L5" si="2">IF(ISBLANK(A4),"",E4-K4)</f>
        <v>0</v>
      </c>
      <c r="M4" s="14"/>
    </row>
    <row r="5" spans="1:13" ht="16.5" customHeight="1">
      <c r="A5" s="5"/>
      <c r="B5" s="14"/>
      <c r="C5" s="14"/>
      <c r="D5" s="144"/>
      <c r="E5" s="144"/>
      <c r="F5" s="144"/>
      <c r="G5" s="13">
        <f>IF(診断,-1,IF(ISBLANK(A5),,IF(COUNTIF(A$2:A$6,A5)=1,,-1)))</f>
        <v>0</v>
      </c>
      <c r="H5" s="145" t="str">
        <f t="shared" si="0"/>
        <v/>
      </c>
      <c r="I5" s="145" t="str">
        <f>IF(ISBLANK(A5),"",SUMIF(品番,A5,出庫))</f>
        <v/>
      </c>
      <c r="J5" s="145" t="str">
        <f>IF(ISBLANK(A5),"",SUMIF(品番,A5,入庫))</f>
        <v/>
      </c>
      <c r="K5" s="145" t="str">
        <f t="shared" si="1"/>
        <v/>
      </c>
      <c r="L5" s="145" t="str">
        <f t="shared" si="2"/>
        <v/>
      </c>
      <c r="M5" s="14"/>
    </row>
    <row r="6" spans="1:13" ht="16.5" hidden="1" customHeight="1">
      <c r="A6" s="25"/>
      <c r="B6" s="12"/>
      <c r="C6" s="12"/>
      <c r="D6" s="100"/>
      <c r="E6" s="100"/>
      <c r="F6" s="100"/>
      <c r="G6" s="11"/>
      <c r="H6" s="100"/>
      <c r="I6" s="100"/>
      <c r="J6" s="100"/>
      <c r="K6" s="100"/>
      <c r="L6" s="100"/>
      <c r="M6" s="12"/>
    </row>
    <row r="7" spans="1:13" ht="16.5" customHeight="1">
      <c r="A7" s="116"/>
      <c r="B7" s="16" t="s">
        <v>18</v>
      </c>
      <c r="C7" s="15"/>
      <c r="D7" s="16"/>
      <c r="E7" s="16"/>
      <c r="F7" s="16"/>
      <c r="G7" s="17"/>
      <c r="H7" s="16">
        <f>SUM(H2:H6)</f>
        <v>0</v>
      </c>
      <c r="I7" s="16"/>
      <c r="J7" s="16"/>
      <c r="K7" s="16"/>
      <c r="L7" s="16"/>
      <c r="M7" s="15"/>
    </row>
  </sheetData>
  <conditionalFormatting sqref="G1:G3 G6">
    <cfRule type="cellIs" dxfId="5" priority="2" operator="equal">
      <formula>-1</formula>
    </cfRule>
  </conditionalFormatting>
  <conditionalFormatting sqref="G4:G5">
    <cfRule type="cellIs" dxfId="4" priority="1" operator="equal">
      <formula>-1</formula>
    </cfRule>
  </conditionalFormatting>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81"/>
  <sheetViews>
    <sheetView workbookViewId="0">
      <pane ySplit="2" topLeftCell="A3" activePane="bottomLeft" state="frozen"/>
      <selection pane="bottomLeft"/>
    </sheetView>
  </sheetViews>
  <sheetFormatPr defaultColWidth="14.42578125" defaultRowHeight="16.5" customHeight="1"/>
  <cols>
    <col min="1" max="1" width="7" style="84" customWidth="1"/>
    <col min="2" max="2" width="24.140625" style="84" customWidth="1"/>
    <col min="3" max="4" width="7" style="84" customWidth="1"/>
    <col min="5" max="5" width="84.5703125" style="84" customWidth="1"/>
    <col min="6" max="6" width="3.5703125" style="84" customWidth="1"/>
    <col min="7" max="8" width="12.140625" style="84" customWidth="1"/>
    <col min="9" max="9" width="7" style="84" customWidth="1"/>
    <col min="10" max="11" width="12.140625" style="84" customWidth="1"/>
    <col min="12" max="16384" width="14.42578125" style="84"/>
  </cols>
  <sheetData>
    <row r="1" spans="1:11" ht="16.5" customHeight="1">
      <c r="A1" s="87" t="s">
        <v>2</v>
      </c>
      <c r="B1" s="146" t="s">
        <v>31</v>
      </c>
      <c r="C1" s="45" t="s">
        <v>32</v>
      </c>
      <c r="D1" s="45" t="s">
        <v>33</v>
      </c>
      <c r="E1" s="146" t="s">
        <v>34</v>
      </c>
      <c r="F1" s="125">
        <f>IF(COUNTIF(F2:F81,-1),-1,)</f>
        <v>0</v>
      </c>
      <c r="G1" s="70" t="s">
        <v>35</v>
      </c>
      <c r="H1" s="70" t="s">
        <v>36</v>
      </c>
      <c r="I1" s="147" t="s">
        <v>37</v>
      </c>
      <c r="J1" s="70" t="s">
        <v>38</v>
      </c>
      <c r="K1" s="70" t="s">
        <v>39</v>
      </c>
    </row>
    <row r="2" spans="1:11" ht="16.5" hidden="1" customHeight="1">
      <c r="A2" s="99"/>
      <c r="B2" s="23"/>
      <c r="C2" s="18"/>
      <c r="D2" s="18"/>
      <c r="E2" s="12"/>
      <c r="F2" s="127"/>
      <c r="G2" s="27"/>
      <c r="H2" s="27"/>
      <c r="I2" s="28"/>
      <c r="J2" s="27"/>
      <c r="K2" s="27"/>
    </row>
    <row r="3" spans="1:11" ht="16.5" customHeight="1">
      <c r="A3" s="5">
        <v>0</v>
      </c>
      <c r="B3" s="23" t="s">
        <v>40</v>
      </c>
      <c r="C3" s="18"/>
      <c r="D3" s="19"/>
      <c r="E3" s="14"/>
      <c r="F3" s="148">
        <f>IF(診断,-1,IF(COUNTIF(A$2:A$79,A3)=1,,-1))</f>
        <v>0</v>
      </c>
      <c r="G3" s="21">
        <f>SUMIF(科目,A3,借方)</f>
        <v>0</v>
      </c>
      <c r="H3" s="21">
        <f>SUMIF(科目,A3,貸方)</f>
        <v>0</v>
      </c>
      <c r="I3" s="24" t="str">
        <f>IF(COUNTIF(負資収,A3),"貸方","借方")</f>
        <v>借方</v>
      </c>
      <c r="J3" s="21">
        <f t="shared" ref="J3:J13" si="0">IF(I3="借方",G3-H3,H3-G3)</f>
        <v>0</v>
      </c>
      <c r="K3" s="21">
        <f t="shared" ref="K3:K13" si="1">IF(ISBLANK(C3),IF(ISBLANK(D3),J3,J3+SUMIF(C$2:C$79,A3,J$2:J$79)),"")</f>
        <v>0</v>
      </c>
    </row>
    <row r="4" spans="1:11" ht="16.5" customHeight="1">
      <c r="A4" s="5">
        <v>1</v>
      </c>
      <c r="B4" s="14" t="s">
        <v>41</v>
      </c>
      <c r="C4" s="4"/>
      <c r="D4" s="4">
        <v>0</v>
      </c>
      <c r="E4" s="14"/>
      <c r="F4" s="148">
        <f>IF(診断,-1,IF(COUNTIF(A$2:A$79,A4)=1,,-1))</f>
        <v>0</v>
      </c>
      <c r="G4" s="21">
        <f>SUMIF(科目,A4,借方)</f>
        <v>0</v>
      </c>
      <c r="H4" s="21">
        <f>SUMIF(科目,A4,貸方)</f>
        <v>0</v>
      </c>
      <c r="I4" s="24" t="str">
        <f>IF(COUNTIF(負資収,A4),"貸方","借方")</f>
        <v>借方</v>
      </c>
      <c r="J4" s="21">
        <f t="shared" si="0"/>
        <v>0</v>
      </c>
      <c r="K4" s="21">
        <f t="shared" si="1"/>
        <v>2038157</v>
      </c>
    </row>
    <row r="5" spans="1:11" ht="16.5" customHeight="1">
      <c r="A5" s="5">
        <v>1.1000000000000001</v>
      </c>
      <c r="B5" s="149" t="s">
        <v>42</v>
      </c>
      <c r="C5" s="4">
        <v>1</v>
      </c>
      <c r="D5" s="9"/>
      <c r="E5" s="20"/>
      <c r="F5" s="148">
        <f>IF(診断,-1,IF(COUNTIF(A$2:A$79,A5)=1,,-1))</f>
        <v>0</v>
      </c>
      <c r="G5" s="21">
        <f>SUMIF(科目,A5,借方)</f>
        <v>2400000</v>
      </c>
      <c r="H5" s="21">
        <f>SUMIF(科目,A5,貸方)</f>
        <v>361843</v>
      </c>
      <c r="I5" s="24" t="str">
        <f>IF(COUNTIF(負資収,A5),"貸方","借方")</f>
        <v>借方</v>
      </c>
      <c r="J5" s="21">
        <f t="shared" si="0"/>
        <v>2038157</v>
      </c>
      <c r="K5" s="21" t="str">
        <f t="shared" si="1"/>
        <v/>
      </c>
    </row>
    <row r="6" spans="1:11" ht="16.5" customHeight="1">
      <c r="A6" s="5">
        <v>2</v>
      </c>
      <c r="B6" s="14" t="s">
        <v>43</v>
      </c>
      <c r="C6" s="4"/>
      <c r="D6" s="4">
        <v>0</v>
      </c>
      <c r="E6" s="14"/>
      <c r="F6" s="148">
        <f>IF(診断,-1,IF(COUNTIF(A$2:A$79,A6)=1,,-1))</f>
        <v>0</v>
      </c>
      <c r="G6" s="21">
        <f>SUMIF(科目,A6,借方)</f>
        <v>0</v>
      </c>
      <c r="H6" s="21">
        <f>SUMIF(科目,A6,貸方)</f>
        <v>0</v>
      </c>
      <c r="I6" s="24" t="str">
        <f>IF(COUNTIF(負資収,A6),"貸方","借方")</f>
        <v>借方</v>
      </c>
      <c r="J6" s="21">
        <f t="shared" si="0"/>
        <v>0</v>
      </c>
      <c r="K6" s="21">
        <f t="shared" si="1"/>
        <v>0</v>
      </c>
    </row>
    <row r="7" spans="1:11" ht="16.5" customHeight="1">
      <c r="A7" s="5">
        <v>11</v>
      </c>
      <c r="B7" s="14" t="s">
        <v>44</v>
      </c>
      <c r="C7" s="4"/>
      <c r="D7" s="4">
        <v>0</v>
      </c>
      <c r="E7" s="14"/>
      <c r="F7" s="148">
        <f>IF(診断,-1,IF(COUNTIF(A$2:A$79,A7)=1,,-1))</f>
        <v>0</v>
      </c>
      <c r="G7" s="21">
        <f>SUMIF(科目,A7,借方)</f>
        <v>0</v>
      </c>
      <c r="H7" s="21">
        <f>SUMIF(科目,A7,貸方)</f>
        <v>0</v>
      </c>
      <c r="I7" s="24" t="str">
        <f>IF(COUNTIF(負資収,A7),"貸方","借方")</f>
        <v>借方</v>
      </c>
      <c r="J7" s="21">
        <f t="shared" si="0"/>
        <v>0</v>
      </c>
      <c r="K7" s="21">
        <f t="shared" si="1"/>
        <v>0</v>
      </c>
    </row>
    <row r="8" spans="1:11" ht="16.5" customHeight="1">
      <c r="A8" s="5">
        <v>12</v>
      </c>
      <c r="B8" s="14" t="s">
        <v>45</v>
      </c>
      <c r="C8" s="4"/>
      <c r="D8" s="4">
        <v>0</v>
      </c>
      <c r="E8" s="14"/>
      <c r="F8" s="148">
        <f>IF(診断,-1,IF(COUNTIF(A$2:A$79,A8)=1,,-1))</f>
        <v>0</v>
      </c>
      <c r="G8" s="21">
        <f>SUMIF(科目,A8,借方)</f>
        <v>0</v>
      </c>
      <c r="H8" s="21">
        <f>SUMIF(科目,A8,貸方)</f>
        <v>0</v>
      </c>
      <c r="I8" s="24" t="str">
        <f>IF(COUNTIF(負資収,A8),"貸方","借方")</f>
        <v>借方</v>
      </c>
      <c r="J8" s="21">
        <f t="shared" si="0"/>
        <v>0</v>
      </c>
      <c r="K8" s="21">
        <f t="shared" si="1"/>
        <v>0</v>
      </c>
    </row>
    <row r="9" spans="1:11" ht="16.5" customHeight="1">
      <c r="A9" s="5">
        <v>20</v>
      </c>
      <c r="B9" s="23" t="s">
        <v>46</v>
      </c>
      <c r="C9" s="18"/>
      <c r="D9" s="19"/>
      <c r="E9" s="14"/>
      <c r="F9" s="148">
        <f>IF(診断,-1,IF(COUNTIF(A$2:A$79,A9)=1,,-1))</f>
        <v>0</v>
      </c>
      <c r="G9" s="21">
        <f>SUMIF(科目,A9,借方)</f>
        <v>0</v>
      </c>
      <c r="H9" s="21">
        <f>SUMIF(科目,A9,貸方)</f>
        <v>0</v>
      </c>
      <c r="I9" s="24" t="str">
        <f>IF(COUNTIF(負資収,A9),"貸方","借方")</f>
        <v>借方</v>
      </c>
      <c r="J9" s="21">
        <f t="shared" si="0"/>
        <v>0</v>
      </c>
      <c r="K9" s="21">
        <f t="shared" si="1"/>
        <v>0</v>
      </c>
    </row>
    <row r="10" spans="1:11" ht="16.5" customHeight="1">
      <c r="A10" s="5">
        <v>30</v>
      </c>
      <c r="B10" s="23" t="s">
        <v>47</v>
      </c>
      <c r="C10" s="18"/>
      <c r="D10" s="18"/>
      <c r="E10" s="14"/>
      <c r="F10" s="148">
        <f>IF(診断,-1,IF(COUNTIF(A$2:A$79,A10)=1,,-1))</f>
        <v>0</v>
      </c>
      <c r="G10" s="21">
        <f>SUMIF(科目,A10,借方)</f>
        <v>0</v>
      </c>
      <c r="H10" s="21">
        <f>SUMIF(科目,A10,貸方)</f>
        <v>0</v>
      </c>
      <c r="I10" s="24" t="str">
        <f>IF(COUNTIF(負資収,A10),"貸方","借方")</f>
        <v>借方</v>
      </c>
      <c r="J10" s="21">
        <f t="shared" si="0"/>
        <v>0</v>
      </c>
      <c r="K10" s="21">
        <f t="shared" si="1"/>
        <v>0</v>
      </c>
    </row>
    <row r="11" spans="1:11" ht="16.5" customHeight="1">
      <c r="A11" s="5">
        <v>40</v>
      </c>
      <c r="B11" s="23" t="s">
        <v>48</v>
      </c>
      <c r="C11" s="18"/>
      <c r="D11" s="18"/>
      <c r="E11" s="14"/>
      <c r="F11" s="148">
        <f>IF(診断,-1,IF(COUNTIF(A$2:A$79,A11)=1,,-1))</f>
        <v>0</v>
      </c>
      <c r="G11" s="21">
        <f>SUMIF(科目,A11,借方)</f>
        <v>0</v>
      </c>
      <c r="H11" s="21">
        <f>SUMIF(科目,A11,貸方)</f>
        <v>0</v>
      </c>
      <c r="I11" s="24" t="str">
        <f>IF(COUNTIF(負資収,A11),"貸方","借方")</f>
        <v>借方</v>
      </c>
      <c r="J11" s="21">
        <f t="shared" si="0"/>
        <v>0</v>
      </c>
      <c r="K11" s="21">
        <f t="shared" si="1"/>
        <v>0</v>
      </c>
    </row>
    <row r="12" spans="1:11" ht="16.5" customHeight="1">
      <c r="A12" s="4">
        <v>41</v>
      </c>
      <c r="B12" s="150" t="s">
        <v>49</v>
      </c>
      <c r="C12" s="4"/>
      <c r="D12" s="4">
        <v>40</v>
      </c>
      <c r="E12" s="22"/>
      <c r="F12" s="148">
        <f>IF(診断,-1,IF(COUNTIF(A$2:A$79,A12)=1,,-1))</f>
        <v>0</v>
      </c>
      <c r="G12" s="21">
        <f>SUMIF(科目,A12,借方)</f>
        <v>0</v>
      </c>
      <c r="H12" s="21">
        <f>SUMIF(科目,A12,貸方)</f>
        <v>0</v>
      </c>
      <c r="I12" s="24" t="str">
        <f>IF(COUNTIF(負資収,A12),"貸方","借方")</f>
        <v>借方</v>
      </c>
      <c r="J12" s="21">
        <f t="shared" si="0"/>
        <v>0</v>
      </c>
      <c r="K12" s="21">
        <f t="shared" si="1"/>
        <v>0</v>
      </c>
    </row>
    <row r="13" spans="1:11" ht="16.5" customHeight="1">
      <c r="A13" s="5">
        <v>50</v>
      </c>
      <c r="B13" s="23" t="s">
        <v>50</v>
      </c>
      <c r="C13" s="19"/>
      <c r="D13" s="19"/>
      <c r="E13" s="20"/>
      <c r="F13" s="148">
        <f>IF(診断,-1,IF(COUNTIF(A$2:A$79,A13)=1,,-1))</f>
        <v>0</v>
      </c>
      <c r="G13" s="21">
        <f>SUMIF(科目,A13,借方)</f>
        <v>0</v>
      </c>
      <c r="H13" s="21">
        <f>SUMIF(科目,A13,貸方)</f>
        <v>0</v>
      </c>
      <c r="I13" s="24" t="str">
        <f>IF(COUNTIF(負資収,A13),"貸方","借方")</f>
        <v>借方</v>
      </c>
      <c r="J13" s="21">
        <f t="shared" si="0"/>
        <v>0</v>
      </c>
      <c r="K13" s="21">
        <f t="shared" si="1"/>
        <v>0</v>
      </c>
    </row>
    <row r="14" spans="1:11" ht="16.5" hidden="1" customHeight="1">
      <c r="A14" s="25"/>
      <c r="B14" s="23"/>
      <c r="C14" s="19"/>
      <c r="D14" s="19"/>
      <c r="E14" s="26"/>
      <c r="F14" s="151"/>
      <c r="G14" s="27"/>
      <c r="H14" s="27"/>
      <c r="I14" s="28"/>
      <c r="J14" s="27"/>
      <c r="K14" s="27"/>
    </row>
    <row r="15" spans="1:11" ht="16.5" customHeight="1">
      <c r="A15" s="116"/>
      <c r="B15" s="71" t="s">
        <v>51</v>
      </c>
      <c r="C15" s="53"/>
      <c r="D15" s="53"/>
      <c r="E15" s="152"/>
      <c r="F15" s="133">
        <f>IF(診断,-1,IF(AND(G15-H15=J15,J15=K15),,-1))</f>
        <v>0</v>
      </c>
      <c r="G15" s="74">
        <f t="shared" ref="G15:H15" si="2">SUM(G2:G14)</f>
        <v>2400000</v>
      </c>
      <c r="H15" s="74">
        <f t="shared" si="2"/>
        <v>361843</v>
      </c>
      <c r="I15" s="114"/>
      <c r="J15" s="74">
        <f t="shared" ref="J15:K15" si="3">SUM(J2:J14)</f>
        <v>2038157</v>
      </c>
      <c r="K15" s="74">
        <f t="shared" si="3"/>
        <v>2038157</v>
      </c>
    </row>
    <row r="16" spans="1:11" ht="16.5" hidden="1" customHeight="1">
      <c r="A16" s="25"/>
      <c r="B16" s="23"/>
      <c r="C16" s="18"/>
      <c r="D16" s="18"/>
      <c r="E16" s="12"/>
      <c r="F16" s="151"/>
      <c r="G16" s="27"/>
      <c r="H16" s="27"/>
      <c r="I16" s="28"/>
      <c r="J16" s="27"/>
      <c r="K16" s="27"/>
    </row>
    <row r="17" spans="1:11" ht="16.5" customHeight="1">
      <c r="A17" s="5">
        <v>100</v>
      </c>
      <c r="B17" s="23" t="s">
        <v>52</v>
      </c>
      <c r="C17" s="18"/>
      <c r="D17" s="18"/>
      <c r="E17" s="14"/>
      <c r="F17" s="148">
        <f>IF(診断,-1,IF(COUNTIF(A$2:A$79,A17)=1,,-1))</f>
        <v>0</v>
      </c>
      <c r="G17" s="21">
        <f>SUMIF(科目,A17,借方)</f>
        <v>0</v>
      </c>
      <c r="H17" s="21">
        <f>SUMIF(科目,A17,貸方)</f>
        <v>0</v>
      </c>
      <c r="I17" s="24" t="str">
        <f>IF(COUNTIF(負資収,A17),"貸方","借方")</f>
        <v>貸方</v>
      </c>
      <c r="J17" s="21">
        <f t="shared" ref="J17:J29" si="4">IF(I17="借方",G17-H17,H17-G17)</f>
        <v>0</v>
      </c>
      <c r="K17" s="21">
        <f t="shared" ref="K17:K29" si="5">IF(ISBLANK(C17),IF(ISBLANK(D17),J17,J17+SUMIF(C$2:C$79,A17,J$2:J$79)),"")</f>
        <v>0</v>
      </c>
    </row>
    <row r="18" spans="1:11" ht="16.5" customHeight="1">
      <c r="A18" s="5">
        <v>101</v>
      </c>
      <c r="B18" s="14" t="s">
        <v>53</v>
      </c>
      <c r="C18" s="4"/>
      <c r="D18" s="4">
        <v>100</v>
      </c>
      <c r="E18" s="192"/>
      <c r="F18" s="148">
        <f>IF(診断,-1,IF(COUNTIF(A$2:A$79,A18)=1,,-1))</f>
        <v>0</v>
      </c>
      <c r="G18" s="21">
        <f>SUMIF(科目,A18,借方)</f>
        <v>0</v>
      </c>
      <c r="H18" s="21">
        <f>SUMIF(科目,A18,貸方)</f>
        <v>0</v>
      </c>
      <c r="I18" s="24" t="str">
        <f>IF(COUNTIF(負資収,A18),"貸方","借方")</f>
        <v>貸方</v>
      </c>
      <c r="J18" s="21">
        <f t="shared" si="4"/>
        <v>0</v>
      </c>
      <c r="K18" s="21">
        <f t="shared" si="5"/>
        <v>1147245</v>
      </c>
    </row>
    <row r="19" spans="1:11" ht="16.5" customHeight="1">
      <c r="A19" s="5">
        <v>101.1</v>
      </c>
      <c r="B19" s="149" t="s">
        <v>54</v>
      </c>
      <c r="C19" s="4">
        <v>101</v>
      </c>
      <c r="D19" s="4"/>
      <c r="E19" s="14" t="s">
        <v>55</v>
      </c>
      <c r="F19" s="148">
        <f>IF(診断,-1,IF(COUNTIF(A$2:A$79,A19)=1,,-1))</f>
        <v>0</v>
      </c>
      <c r="G19" s="21">
        <f>SUMIF(科目,A19,借方)</f>
        <v>692571</v>
      </c>
      <c r="H19" s="21">
        <f>SUMIF(科目,A19,貸方)</f>
        <v>1839816</v>
      </c>
      <c r="I19" s="24" t="str">
        <f>IF(COUNTIF(負資収,A19),"貸方","借方")</f>
        <v>貸方</v>
      </c>
      <c r="J19" s="21">
        <f t="shared" si="4"/>
        <v>1147245</v>
      </c>
      <c r="K19" s="21" t="str">
        <f t="shared" si="5"/>
        <v/>
      </c>
    </row>
    <row r="20" spans="1:11" ht="16.5" customHeight="1">
      <c r="A20" s="5">
        <v>102</v>
      </c>
      <c r="B20" s="14" t="s">
        <v>56</v>
      </c>
      <c r="C20" s="4"/>
      <c r="D20" s="4">
        <v>100</v>
      </c>
      <c r="E20" s="14"/>
      <c r="F20" s="148">
        <f>IF(診断,-1,IF(COUNTIF(A$2:A$79,A20)=1,,-1))</f>
        <v>0</v>
      </c>
      <c r="G20" s="21">
        <f>SUMIF(科目,A20,借方)</f>
        <v>0</v>
      </c>
      <c r="H20" s="21">
        <f>SUMIF(科目,A20,貸方)</f>
        <v>0</v>
      </c>
      <c r="I20" s="24" t="str">
        <f>IF(COUNTIF(負資収,A20),"貸方","借方")</f>
        <v>貸方</v>
      </c>
      <c r="J20" s="21">
        <f t="shared" si="4"/>
        <v>0</v>
      </c>
      <c r="K20" s="21">
        <f t="shared" si="5"/>
        <v>0</v>
      </c>
    </row>
    <row r="21" spans="1:11" ht="16.5" customHeight="1">
      <c r="A21" s="5">
        <v>105</v>
      </c>
      <c r="B21" s="14" t="s">
        <v>57</v>
      </c>
      <c r="C21" s="4"/>
      <c r="D21" s="4">
        <v>100</v>
      </c>
      <c r="E21" s="14" t="s">
        <v>58</v>
      </c>
      <c r="F21" s="148">
        <f>IF(診断,-1,IF(COUNTIF(A$2:A$79,A21)=1,,-1))</f>
        <v>0</v>
      </c>
      <c r="G21" s="21">
        <f>SUMIF(科目,A21,借方)</f>
        <v>138072</v>
      </c>
      <c r="H21" s="21">
        <f>SUMIF(科目,A21,貸方)</f>
        <v>11494</v>
      </c>
      <c r="I21" s="24" t="str">
        <f>IF(COUNTIF(負資収,A21),"貸方","借方")</f>
        <v>貸方</v>
      </c>
      <c r="J21" s="21">
        <f t="shared" si="4"/>
        <v>-126578</v>
      </c>
      <c r="K21" s="21">
        <f t="shared" si="5"/>
        <v>11512</v>
      </c>
    </row>
    <row r="22" spans="1:11" ht="16.5" customHeight="1">
      <c r="A22" s="5">
        <v>105.1</v>
      </c>
      <c r="B22" s="14" t="s">
        <v>59</v>
      </c>
      <c r="C22" s="4">
        <v>105</v>
      </c>
      <c r="D22" s="4"/>
      <c r="E22" s="14" t="s">
        <v>55</v>
      </c>
      <c r="F22" s="148">
        <f>IF(診断,-1,IF(COUNTIF(A$2:A$79,A22)=1,,-1))</f>
        <v>0</v>
      </c>
      <c r="G22" s="21">
        <f>SUMIF(科目,A22,借方)</f>
        <v>0</v>
      </c>
      <c r="H22" s="21">
        <f>SUMIF(科目,A22,貸方)</f>
        <v>138090</v>
      </c>
      <c r="I22" s="24" t="str">
        <f>IF(COUNTIF(負資収,A22),"貸方","借方")</f>
        <v>貸方</v>
      </c>
      <c r="J22" s="21">
        <f t="shared" si="4"/>
        <v>138090</v>
      </c>
      <c r="K22" s="21" t="str">
        <f t="shared" si="5"/>
        <v/>
      </c>
    </row>
    <row r="23" spans="1:11" ht="16.5" customHeight="1">
      <c r="A23" s="5">
        <v>111</v>
      </c>
      <c r="B23" s="14" t="s">
        <v>60</v>
      </c>
      <c r="C23" s="4"/>
      <c r="D23" s="4">
        <v>100</v>
      </c>
      <c r="E23" s="14"/>
      <c r="F23" s="148">
        <f>IF(診断,-1,IF(COUNTIF(A$2:A$79,A23)=1,,-1))</f>
        <v>0</v>
      </c>
      <c r="G23" s="21">
        <f>SUMIF(科目,A23,借方)</f>
        <v>0</v>
      </c>
      <c r="H23" s="21">
        <f>SUMIF(科目,A23,貸方)</f>
        <v>0</v>
      </c>
      <c r="I23" s="24" t="str">
        <f>IF(COUNTIF(負資収,A23),"貸方","借方")</f>
        <v>貸方</v>
      </c>
      <c r="J23" s="21">
        <f t="shared" si="4"/>
        <v>0</v>
      </c>
      <c r="K23" s="21">
        <f t="shared" si="5"/>
        <v>0</v>
      </c>
    </row>
    <row r="24" spans="1:11" ht="16.5" customHeight="1">
      <c r="A24" s="5">
        <v>120</v>
      </c>
      <c r="B24" s="23" t="s">
        <v>61</v>
      </c>
      <c r="C24" s="18"/>
      <c r="D24" s="18"/>
      <c r="E24" s="14"/>
      <c r="F24" s="148">
        <f>IF(診断,-1,IF(COUNTIF(A$2:A$79,A24)=1,,-1))</f>
        <v>0</v>
      </c>
      <c r="G24" s="21">
        <f>SUMIF(科目,A24,借方)</f>
        <v>0</v>
      </c>
      <c r="H24" s="21">
        <f>SUMIF(科目,A24,貸方)</f>
        <v>0</v>
      </c>
      <c r="I24" s="24" t="str">
        <f>IF(COUNTIF(負資収,A24),"貸方","借方")</f>
        <v>貸方</v>
      </c>
      <c r="J24" s="21">
        <f t="shared" si="4"/>
        <v>0</v>
      </c>
      <c r="K24" s="21">
        <f t="shared" si="5"/>
        <v>0</v>
      </c>
    </row>
    <row r="25" spans="1:11" ht="16.5" customHeight="1">
      <c r="A25" s="5">
        <v>200</v>
      </c>
      <c r="B25" s="23" t="s">
        <v>62</v>
      </c>
      <c r="C25" s="18"/>
      <c r="D25" s="18"/>
      <c r="E25" s="14"/>
      <c r="F25" s="148">
        <f>IF(診断,-1,IF(COUNTIF(A$2:A$79,A25)=1,,-1))</f>
        <v>0</v>
      </c>
      <c r="G25" s="21">
        <f>SUMIF(科目,A25,借方)</f>
        <v>0</v>
      </c>
      <c r="H25" s="21">
        <f>SUMIF(科目,A25,貸方)</f>
        <v>2000000</v>
      </c>
      <c r="I25" s="24" t="str">
        <f>IF(COUNTIF(負資収,A25),"貸方","借方")</f>
        <v>貸方</v>
      </c>
      <c r="J25" s="21">
        <f t="shared" si="4"/>
        <v>2000000</v>
      </c>
      <c r="K25" s="21">
        <f t="shared" si="5"/>
        <v>2000000</v>
      </c>
    </row>
    <row r="26" spans="1:11" ht="16.5" customHeight="1">
      <c r="A26" s="5">
        <v>210</v>
      </c>
      <c r="B26" s="23" t="s">
        <v>63</v>
      </c>
      <c r="C26" s="18"/>
      <c r="D26" s="18"/>
      <c r="E26" s="14"/>
      <c r="F26" s="148">
        <f>IF(診断,-1,IF(COUNTIF(A$2:A$79,A26)=1,,-1))</f>
        <v>0</v>
      </c>
      <c r="G26" s="21">
        <f>SUMIF(科目,A26,借方)</f>
        <v>0</v>
      </c>
      <c r="H26" s="21">
        <f>SUMIF(科目,A26,貸方)</f>
        <v>0</v>
      </c>
      <c r="I26" s="24" t="str">
        <f>IF(COUNTIF(負資収,A26),"貸方","借方")</f>
        <v>貸方</v>
      </c>
      <c r="J26" s="21">
        <f t="shared" si="4"/>
        <v>0</v>
      </c>
      <c r="K26" s="21">
        <f t="shared" si="5"/>
        <v>0</v>
      </c>
    </row>
    <row r="27" spans="1:11" ht="16.5" customHeight="1">
      <c r="A27" s="5">
        <v>212</v>
      </c>
      <c r="B27" s="149" t="s">
        <v>64</v>
      </c>
      <c r="C27" s="4"/>
      <c r="D27" s="4">
        <v>210</v>
      </c>
      <c r="E27" s="20"/>
      <c r="F27" s="148">
        <f>IF(診断,-1,IF(COUNTIF(A$2:A$79,A27)=1,,-1))</f>
        <v>0</v>
      </c>
      <c r="G27" s="21">
        <f>SUMIF(科目,A27,借方)</f>
        <v>0</v>
      </c>
      <c r="H27" s="21">
        <f>SUMIF(科目,A27,貸方)</f>
        <v>-1120600</v>
      </c>
      <c r="I27" s="24" t="str">
        <f>IF(COUNTIF(負資収,A27),"貸方","借方")</f>
        <v>貸方</v>
      </c>
      <c r="J27" s="21">
        <f t="shared" si="4"/>
        <v>-1120600</v>
      </c>
      <c r="K27" s="21">
        <f t="shared" si="5"/>
        <v>-1120600</v>
      </c>
    </row>
    <row r="28" spans="1:11" ht="16.5" customHeight="1">
      <c r="A28" s="5">
        <v>220</v>
      </c>
      <c r="B28" s="23" t="s">
        <v>65</v>
      </c>
      <c r="C28" s="18"/>
      <c r="D28" s="18"/>
      <c r="E28" s="14"/>
      <c r="F28" s="148">
        <f>IF(診断,-1,IF(COUNTIF(A$2:A$79,A28)=1,,-1))</f>
        <v>0</v>
      </c>
      <c r="G28" s="21">
        <f>SUMIF(科目,A28,借方)</f>
        <v>0</v>
      </c>
      <c r="H28" s="21">
        <f>SUMIF(科目,A28,貸方)</f>
        <v>0</v>
      </c>
      <c r="I28" s="24" t="str">
        <f>IF(COUNTIF(負資収,A28),"貸方","借方")</f>
        <v>貸方</v>
      </c>
      <c r="J28" s="21">
        <f t="shared" si="4"/>
        <v>0</v>
      </c>
      <c r="K28" s="21">
        <f t="shared" si="5"/>
        <v>0</v>
      </c>
    </row>
    <row r="29" spans="1:11" ht="16.5" customHeight="1">
      <c r="A29" s="5">
        <v>221</v>
      </c>
      <c r="B29" s="14" t="s">
        <v>66</v>
      </c>
      <c r="C29" s="4"/>
      <c r="D29" s="4">
        <v>220</v>
      </c>
      <c r="E29" s="20"/>
      <c r="F29" s="148">
        <f>IF(診断,-1,IF(COUNTIF(A$2:A$79,A29)=1,,-1))</f>
        <v>0</v>
      </c>
      <c r="G29" s="21">
        <f>SUMIF(科目,A29,借方)</f>
        <v>0</v>
      </c>
      <c r="H29" s="21">
        <f>SUMIF(科目,A29,貸方)</f>
        <v>0</v>
      </c>
      <c r="I29" s="24" t="str">
        <f>IF(COUNTIF(負資収,A29),"貸方","借方")</f>
        <v>貸方</v>
      </c>
      <c r="J29" s="21">
        <f t="shared" si="4"/>
        <v>0</v>
      </c>
      <c r="K29" s="21">
        <f t="shared" si="5"/>
        <v>0</v>
      </c>
    </row>
    <row r="30" spans="1:11" ht="16.5" hidden="1" customHeight="1">
      <c r="A30" s="25"/>
      <c r="B30" s="12"/>
      <c r="C30" s="18"/>
      <c r="D30" s="18"/>
      <c r="E30" s="26"/>
      <c r="F30" s="151"/>
      <c r="G30" s="27"/>
      <c r="H30" s="27"/>
      <c r="I30" s="28"/>
      <c r="J30" s="27"/>
      <c r="K30" s="27"/>
    </row>
    <row r="31" spans="1:11" ht="16.5" customHeight="1">
      <c r="A31" s="116"/>
      <c r="B31" s="71" t="s">
        <v>67</v>
      </c>
      <c r="C31" s="53"/>
      <c r="D31" s="53"/>
      <c r="E31" s="152"/>
      <c r="F31" s="133">
        <f>IF(診断,-1,IF(AND(H31-G31=J31,J31=K31),,-1))</f>
        <v>0</v>
      </c>
      <c r="G31" s="74">
        <f t="shared" ref="G31:H31" si="6">SUM(G16:G30)</f>
        <v>830643</v>
      </c>
      <c r="H31" s="74">
        <f t="shared" si="6"/>
        <v>2868800</v>
      </c>
      <c r="I31" s="114"/>
      <c r="J31" s="74">
        <f t="shared" ref="J31:K31" si="7">SUM(J16:J30)</f>
        <v>2038157</v>
      </c>
      <c r="K31" s="74">
        <f t="shared" si="7"/>
        <v>2038157</v>
      </c>
    </row>
    <row r="32" spans="1:11" ht="16.5" hidden="1" customHeight="1">
      <c r="A32" s="25"/>
      <c r="B32" s="23"/>
      <c r="C32" s="18"/>
      <c r="D32" s="19"/>
      <c r="E32" s="12"/>
      <c r="F32" s="151"/>
      <c r="G32" s="27"/>
      <c r="H32" s="27"/>
      <c r="I32" s="28"/>
      <c r="J32" s="27"/>
      <c r="K32" s="27"/>
    </row>
    <row r="33" spans="1:11" ht="16.5" customHeight="1">
      <c r="A33" s="5">
        <v>300</v>
      </c>
      <c r="B33" s="23" t="s">
        <v>68</v>
      </c>
      <c r="C33" s="18"/>
      <c r="D33" s="19"/>
      <c r="E33" s="14"/>
      <c r="F33" s="148">
        <f>IF(診断,-1,IF(COUNTIF(A$2:A$79,A33)=1,,-1))</f>
        <v>0</v>
      </c>
      <c r="G33" s="21">
        <f>SUMIF(科目,A33,借方)</f>
        <v>0</v>
      </c>
      <c r="H33" s="21">
        <f>SUMIF(科目,A33,貸方)</f>
        <v>0</v>
      </c>
      <c r="I33" s="24" t="str">
        <f>IF(COUNTIF(負資収,A33),"貸方","借方")</f>
        <v>貸方</v>
      </c>
      <c r="J33" s="21">
        <f t="shared" ref="J33:J46" si="8">IF(I33="借方",G33-H33,H33-G33)</f>
        <v>0</v>
      </c>
      <c r="K33" s="21">
        <f t="shared" ref="K33:K46" si="9">IF(ISBLANK(C33),IF(ISBLANK(D33),J33,J33+SUMIF(C$2:C$79,A33,J$2:J$79)),"")</f>
        <v>0</v>
      </c>
    </row>
    <row r="34" spans="1:11" ht="16.5" customHeight="1">
      <c r="A34" s="5">
        <v>301</v>
      </c>
      <c r="B34" s="14" t="s">
        <v>69</v>
      </c>
      <c r="C34" s="4"/>
      <c r="D34" s="4">
        <v>300</v>
      </c>
      <c r="E34" s="14" t="s">
        <v>70</v>
      </c>
      <c r="F34" s="148">
        <f>IF(診断,-1,IF(COUNTIF(A$2:A$79,A34)=1,,-1))</f>
        <v>0</v>
      </c>
      <c r="G34" s="21">
        <f>SUMIF(科目,A34,借方)</f>
        <v>0</v>
      </c>
      <c r="H34" s="21">
        <f>SUMIF(科目,A34,貸方)</f>
        <v>0</v>
      </c>
      <c r="I34" s="24" t="str">
        <f>IF(COUNTIF(負資収,A34),"貸方","借方")</f>
        <v>貸方</v>
      </c>
      <c r="J34" s="21">
        <f t="shared" si="8"/>
        <v>0</v>
      </c>
      <c r="K34" s="21">
        <f t="shared" si="9"/>
        <v>0</v>
      </c>
    </row>
    <row r="35" spans="1:11" ht="16.5" customHeight="1">
      <c r="A35" s="4">
        <v>301.2</v>
      </c>
      <c r="B35" s="192" t="s">
        <v>71</v>
      </c>
      <c r="C35" s="4">
        <v>301</v>
      </c>
      <c r="D35" s="4"/>
      <c r="E35" s="192" t="s">
        <v>72</v>
      </c>
      <c r="F35" s="148">
        <f>IF(診断,-1,IF(COUNTIF(A$2:A$79,A35)=1,,-1))</f>
        <v>0</v>
      </c>
      <c r="G35" s="153">
        <f>SUMIF(科目,A35,借方)</f>
        <v>0</v>
      </c>
      <c r="H35" s="153">
        <f>SUMIF(科目,A35,貸方)</f>
        <v>0</v>
      </c>
      <c r="I35" s="24" t="str">
        <f>IF(COUNTIF(負資収,A35),"貸方","借方")</f>
        <v>貸方</v>
      </c>
      <c r="J35" s="21">
        <f t="shared" si="8"/>
        <v>0</v>
      </c>
      <c r="K35" s="21" t="str">
        <f t="shared" si="9"/>
        <v/>
      </c>
    </row>
    <row r="36" spans="1:11" ht="16.5" customHeight="1">
      <c r="A36" s="5">
        <v>301.5</v>
      </c>
      <c r="B36" s="14" t="s">
        <v>73</v>
      </c>
      <c r="C36" s="4">
        <v>301</v>
      </c>
      <c r="D36" s="4"/>
      <c r="E36" s="14" t="s">
        <v>74</v>
      </c>
      <c r="F36" s="148">
        <f>IF(診断,-1,IF(COUNTIF(A$2:A$79,A36)=1,,-1))</f>
        <v>0</v>
      </c>
      <c r="G36" s="21">
        <f>SUMIF(科目,A36,借方)</f>
        <v>0</v>
      </c>
      <c r="H36" s="21">
        <f>SUMIF(科目,A36,貸方)</f>
        <v>0</v>
      </c>
      <c r="I36" s="24" t="str">
        <f>IF(COUNTIF(負資収,A36),"貸方","借方")</f>
        <v>貸方</v>
      </c>
      <c r="J36" s="21">
        <f t="shared" si="8"/>
        <v>0</v>
      </c>
      <c r="K36" s="21" t="str">
        <f t="shared" si="9"/>
        <v/>
      </c>
    </row>
    <row r="37" spans="1:11" ht="16.5" customHeight="1">
      <c r="A37" s="5">
        <v>302</v>
      </c>
      <c r="B37" s="149" t="s">
        <v>75</v>
      </c>
      <c r="C37" s="4"/>
      <c r="D37" s="4">
        <v>300</v>
      </c>
      <c r="E37" s="149" t="s">
        <v>76</v>
      </c>
      <c r="F37" s="148">
        <f>IF(診断,-1,IF(COUNTIF(A$2:A$79,A37)=1,,-1))</f>
        <v>0</v>
      </c>
      <c r="G37" s="21">
        <f>SUMIF(科目,A37,借方)</f>
        <v>0</v>
      </c>
      <c r="H37" s="21">
        <f>SUMIF(科目,A37,貸方)</f>
        <v>0</v>
      </c>
      <c r="I37" s="24" t="str">
        <f>IF(COUNTIF(負資収,A37),"貸方","借方")</f>
        <v>貸方</v>
      </c>
      <c r="J37" s="21">
        <f t="shared" si="8"/>
        <v>0</v>
      </c>
      <c r="K37" s="21">
        <f t="shared" si="9"/>
        <v>0</v>
      </c>
    </row>
    <row r="38" spans="1:11" ht="16.5" customHeight="1">
      <c r="A38" s="5">
        <v>360</v>
      </c>
      <c r="B38" s="23" t="s">
        <v>77</v>
      </c>
      <c r="C38" s="18"/>
      <c r="D38" s="19"/>
      <c r="E38" s="14"/>
      <c r="F38" s="148">
        <f>IF(診断,-1,IF(COUNTIF(A$2:A$79,A38)=1,,-1))</f>
        <v>0</v>
      </c>
      <c r="G38" s="21">
        <f>SUMIF(科目,A38,借方)</f>
        <v>0</v>
      </c>
      <c r="H38" s="21">
        <f>SUMIF(科目,A38,貸方)</f>
        <v>0</v>
      </c>
      <c r="I38" s="24" t="str">
        <f>IF(COUNTIF(負資収,A38),"貸方","借方")</f>
        <v>貸方</v>
      </c>
      <c r="J38" s="21">
        <f t="shared" si="8"/>
        <v>0</v>
      </c>
      <c r="K38" s="21">
        <f t="shared" si="9"/>
        <v>0</v>
      </c>
    </row>
    <row r="39" spans="1:11" ht="16.5" customHeight="1">
      <c r="A39" s="5">
        <v>361</v>
      </c>
      <c r="B39" s="14" t="s">
        <v>78</v>
      </c>
      <c r="C39" s="4"/>
      <c r="D39" s="4">
        <v>360</v>
      </c>
      <c r="E39" s="14" t="s">
        <v>79</v>
      </c>
      <c r="F39" s="148">
        <f>IF(診断,-1,IF(COUNTIF(A$2:A$79,A39)=1,,-1))</f>
        <v>0</v>
      </c>
      <c r="G39" s="21">
        <f>SUMIF(科目,A39,借方)</f>
        <v>0</v>
      </c>
      <c r="H39" s="21">
        <f>SUMIF(科目,A39,貸方)</f>
        <v>0</v>
      </c>
      <c r="I39" s="24" t="str">
        <f>IF(COUNTIF(負資収,A39),"貸方","借方")</f>
        <v>貸方</v>
      </c>
      <c r="J39" s="21">
        <f t="shared" si="8"/>
        <v>0</v>
      </c>
      <c r="K39" s="21">
        <f t="shared" si="9"/>
        <v>0</v>
      </c>
    </row>
    <row r="40" spans="1:11" ht="16.5" customHeight="1">
      <c r="A40" s="5">
        <v>362</v>
      </c>
      <c r="B40" s="14" t="s">
        <v>80</v>
      </c>
      <c r="C40" s="4"/>
      <c r="D40" s="4">
        <v>360</v>
      </c>
      <c r="E40" s="14" t="s">
        <v>81</v>
      </c>
      <c r="F40" s="148">
        <f>IF(診断,-1,IF(COUNTIF(A$2:A$79,A40)=1,,-1))</f>
        <v>0</v>
      </c>
      <c r="G40" s="21">
        <f>SUMIF(科目,A40,借方)</f>
        <v>0</v>
      </c>
      <c r="H40" s="21">
        <f>SUMIF(科目,A40,貸方)</f>
        <v>0</v>
      </c>
      <c r="I40" s="24" t="str">
        <f>IF(COUNTIF(負資収,A40),"貸方","借方")</f>
        <v>貸方</v>
      </c>
      <c r="J40" s="21">
        <f t="shared" si="8"/>
        <v>0</v>
      </c>
      <c r="K40" s="21">
        <f t="shared" si="9"/>
        <v>0</v>
      </c>
    </row>
    <row r="41" spans="1:11" ht="16.5" customHeight="1">
      <c r="A41" s="5">
        <v>363</v>
      </c>
      <c r="B41" s="14" t="s">
        <v>82</v>
      </c>
      <c r="C41" s="4"/>
      <c r="D41" s="4">
        <v>360</v>
      </c>
      <c r="E41" s="14" t="s">
        <v>83</v>
      </c>
      <c r="F41" s="148">
        <f>IF(診断,-1,IF(COUNTIF(A$2:A$79,A41)=1,,-1))</f>
        <v>0</v>
      </c>
      <c r="G41" s="21">
        <f>SUMIF(科目,A41,借方)</f>
        <v>0</v>
      </c>
      <c r="H41" s="21">
        <f>SUMIF(科目,A41,貸方)</f>
        <v>0</v>
      </c>
      <c r="I41" s="24" t="str">
        <f>IF(COUNTIF(負資収,A41),"貸方","借方")</f>
        <v>貸方</v>
      </c>
      <c r="J41" s="21">
        <f t="shared" si="8"/>
        <v>0</v>
      </c>
      <c r="K41" s="21">
        <f t="shared" si="9"/>
        <v>0</v>
      </c>
    </row>
    <row r="42" spans="1:11" ht="16.5" customHeight="1">
      <c r="A42" s="5">
        <v>370</v>
      </c>
      <c r="B42" s="23" t="s">
        <v>84</v>
      </c>
      <c r="C42" s="18"/>
      <c r="D42" s="19"/>
      <c r="E42" s="14"/>
      <c r="F42" s="148">
        <f>IF(診断,-1,IF(COUNTIF(A$2:A$79,A42)=1,,-1))</f>
        <v>0</v>
      </c>
      <c r="G42" s="21">
        <f>SUMIF(科目,A42,借方)</f>
        <v>0</v>
      </c>
      <c r="H42" s="21">
        <f>SUMIF(科目,A42,貸方)</f>
        <v>0</v>
      </c>
      <c r="I42" s="24" t="str">
        <f>IF(COUNTIF(負資収,A42),"貸方","借方")</f>
        <v>貸方</v>
      </c>
      <c r="J42" s="21">
        <f t="shared" si="8"/>
        <v>0</v>
      </c>
      <c r="K42" s="21">
        <f t="shared" si="9"/>
        <v>0</v>
      </c>
    </row>
    <row r="43" spans="1:11" ht="16.5" customHeight="1">
      <c r="A43" s="4">
        <v>371</v>
      </c>
      <c r="B43" s="192" t="s">
        <v>85</v>
      </c>
      <c r="C43" s="4"/>
      <c r="D43" s="4">
        <v>370</v>
      </c>
      <c r="E43" s="192"/>
      <c r="F43" s="148">
        <f>IF(診断,-1,IF(COUNTIF(A$2:A$79,A43)=1,,-1))</f>
        <v>0</v>
      </c>
      <c r="G43" s="153">
        <f>SUMIF(科目,A43,借方)</f>
        <v>0</v>
      </c>
      <c r="H43" s="153">
        <f>SUMIF(科目,A43,貸方)</f>
        <v>0</v>
      </c>
      <c r="I43" s="24" t="str">
        <f>IF(COUNTIF(負資収,A43),"貸方","借方")</f>
        <v>貸方</v>
      </c>
      <c r="J43" s="21">
        <f t="shared" si="8"/>
        <v>0</v>
      </c>
      <c r="K43" s="21">
        <f t="shared" si="9"/>
        <v>0</v>
      </c>
    </row>
    <row r="44" spans="1:11" ht="16.5" customHeight="1">
      <c r="A44" s="5">
        <v>371.1</v>
      </c>
      <c r="B44" s="14" t="s">
        <v>86</v>
      </c>
      <c r="C44" s="4">
        <v>371</v>
      </c>
      <c r="D44" s="4"/>
      <c r="E44" s="14"/>
      <c r="F44" s="148">
        <f>IF(診断,-1,IF(COUNTIF(A$2:A$79,A44)=1,,-1))</f>
        <v>0</v>
      </c>
      <c r="G44" s="21">
        <f>SUMIF(科目,A44,借方)</f>
        <v>0</v>
      </c>
      <c r="H44" s="21">
        <f>SUMIF(科目,A44,貸方)</f>
        <v>0</v>
      </c>
      <c r="I44" s="24" t="str">
        <f>IF(COUNTIF(負資収,A44),"貸方","借方")</f>
        <v>貸方</v>
      </c>
      <c r="J44" s="21">
        <f t="shared" si="8"/>
        <v>0</v>
      </c>
      <c r="K44" s="21" t="str">
        <f t="shared" si="9"/>
        <v/>
      </c>
    </row>
    <row r="45" spans="1:11" ht="16.5" customHeight="1">
      <c r="A45" s="5">
        <v>371.2</v>
      </c>
      <c r="B45" s="14" t="s">
        <v>87</v>
      </c>
      <c r="C45" s="4">
        <v>371</v>
      </c>
      <c r="D45" s="4"/>
      <c r="E45" s="20" t="s">
        <v>88</v>
      </c>
      <c r="F45" s="148">
        <f>IF(診断,-1,IF(COUNTIF(A$2:A$79,A45)=1,,-1))</f>
        <v>0</v>
      </c>
      <c r="G45" s="21">
        <f>SUMIF(科目,A45,借方)</f>
        <v>0</v>
      </c>
      <c r="H45" s="21">
        <f>SUMIF(科目,A45,貸方)</f>
        <v>0</v>
      </c>
      <c r="I45" s="24" t="str">
        <f>IF(COUNTIF(負資収,A45),"貸方","借方")</f>
        <v>貸方</v>
      </c>
      <c r="J45" s="21">
        <f t="shared" si="8"/>
        <v>0</v>
      </c>
      <c r="K45" s="21" t="str">
        <f t="shared" si="9"/>
        <v/>
      </c>
    </row>
    <row r="46" spans="1:11" ht="16.5" customHeight="1">
      <c r="A46" s="5">
        <v>372</v>
      </c>
      <c r="B46" s="14" t="s">
        <v>89</v>
      </c>
      <c r="C46" s="4"/>
      <c r="D46" s="4">
        <v>370</v>
      </c>
      <c r="E46" s="14"/>
      <c r="F46" s="148">
        <f>IF(診断,-1,IF(COUNTIF(A$2:A$79,A46)=1,,-1))</f>
        <v>0</v>
      </c>
      <c r="G46" s="21">
        <f>SUMIF(科目,A46,借方)</f>
        <v>0</v>
      </c>
      <c r="H46" s="21">
        <f>SUMIF(科目,A46,貸方)</f>
        <v>692571</v>
      </c>
      <c r="I46" s="24" t="str">
        <f>IF(COUNTIF(負資収,A46),"貸方","借方")</f>
        <v>貸方</v>
      </c>
      <c r="J46" s="21">
        <f t="shared" si="8"/>
        <v>692571</v>
      </c>
      <c r="K46" s="21">
        <f t="shared" si="9"/>
        <v>692571</v>
      </c>
    </row>
    <row r="47" spans="1:11" ht="16.5" hidden="1" customHeight="1">
      <c r="A47" s="25"/>
      <c r="B47" s="12"/>
      <c r="C47" s="18"/>
      <c r="D47" s="18"/>
      <c r="E47" s="12"/>
      <c r="F47" s="151"/>
      <c r="G47" s="27"/>
      <c r="H47" s="27"/>
      <c r="I47" s="28"/>
      <c r="J47" s="27"/>
      <c r="K47" s="27"/>
    </row>
    <row r="48" spans="1:11" ht="16.5" customHeight="1">
      <c r="A48" s="116"/>
      <c r="B48" s="71" t="s">
        <v>90</v>
      </c>
      <c r="C48" s="53"/>
      <c r="D48" s="53"/>
      <c r="E48" s="152"/>
      <c r="F48" s="133">
        <f>IF(診断,-1,IF(AND(H48-G48=J48,J48=K48),,-1))</f>
        <v>0</v>
      </c>
      <c r="G48" s="74">
        <f t="shared" ref="G48:H48" si="10">SUM(G32:G47)</f>
        <v>0</v>
      </c>
      <c r="H48" s="74">
        <f t="shared" si="10"/>
        <v>692571</v>
      </c>
      <c r="I48" s="114"/>
      <c r="J48" s="74">
        <f t="shared" ref="J48:K48" si="11">SUM(J32:J47)</f>
        <v>692571</v>
      </c>
      <c r="K48" s="74">
        <f t="shared" si="11"/>
        <v>692571</v>
      </c>
    </row>
    <row r="49" spans="1:11" ht="16.5" hidden="1" customHeight="1">
      <c r="A49" s="25"/>
      <c r="B49" s="23"/>
      <c r="C49" s="18"/>
      <c r="D49" s="19"/>
      <c r="E49" s="12"/>
      <c r="F49" s="151"/>
      <c r="G49" s="27"/>
      <c r="H49" s="27"/>
      <c r="I49" s="28"/>
      <c r="J49" s="27"/>
      <c r="K49" s="27"/>
    </row>
    <row r="50" spans="1:11" ht="16.5" customHeight="1">
      <c r="A50" s="5">
        <v>400</v>
      </c>
      <c r="B50" s="23" t="s">
        <v>91</v>
      </c>
      <c r="C50" s="18"/>
      <c r="D50" s="19"/>
      <c r="E50" s="14"/>
      <c r="F50" s="148">
        <f>IF(診断,-1,IF(COUNTIF(A$2:A$79,A50)=1,,-1))</f>
        <v>0</v>
      </c>
      <c r="G50" s="21">
        <f>SUMIF(科目,A50,借方)</f>
        <v>0</v>
      </c>
      <c r="H50" s="21">
        <f>SUMIF(科目,A50,貸方)</f>
        <v>0</v>
      </c>
      <c r="I50" s="24" t="str">
        <f>IF(COUNTIF(負資収,A50),"貸方","借方")</f>
        <v>借方</v>
      </c>
      <c r="J50" s="21">
        <f t="shared" ref="J50:J78" si="12">IF(I50="借方",G50-H50,H50-G50)</f>
        <v>0</v>
      </c>
      <c r="K50" s="21">
        <f t="shared" ref="K50:K78" si="13">IF(ISBLANK(C50),IF(ISBLANK(D50),J50,J50+SUMIF(C$2:C$79,A50,J$2:J$79)),"")</f>
        <v>0</v>
      </c>
    </row>
    <row r="51" spans="1:11" ht="16.5" customHeight="1">
      <c r="A51" s="5">
        <v>401</v>
      </c>
      <c r="B51" s="14" t="s">
        <v>92</v>
      </c>
      <c r="C51" s="4"/>
      <c r="D51" s="4">
        <v>400</v>
      </c>
      <c r="E51" s="14"/>
      <c r="F51" s="148">
        <f>IF(診断,-1,IF(COUNTIF(A$2:A$79,A51)=1,,-1))</f>
        <v>0</v>
      </c>
      <c r="G51" s="21">
        <f>SUMIF(科目,A51,借方)</f>
        <v>0</v>
      </c>
      <c r="H51" s="21">
        <f>SUMIF(科目,A51,貸方)</f>
        <v>0</v>
      </c>
      <c r="I51" s="24" t="str">
        <f>IF(COUNTIF(負資収,A51),"貸方","借方")</f>
        <v>借方</v>
      </c>
      <c r="J51" s="21">
        <f t="shared" si="12"/>
        <v>0</v>
      </c>
      <c r="K51" s="21">
        <f t="shared" si="13"/>
        <v>0</v>
      </c>
    </row>
    <row r="52" spans="1:11" ht="16.5" customHeight="1">
      <c r="A52" s="5">
        <v>402</v>
      </c>
      <c r="B52" s="149" t="s">
        <v>93</v>
      </c>
      <c r="C52" s="4"/>
      <c r="D52" s="4">
        <v>400</v>
      </c>
      <c r="E52" s="20" t="s">
        <v>94</v>
      </c>
      <c r="F52" s="148">
        <f>IF(診断,-1,IF(COUNTIF(A$2:A$79,A52)=1,,-1))</f>
        <v>0</v>
      </c>
      <c r="G52" s="21">
        <f>SUMIF(科目,A52,借方)</f>
        <v>0</v>
      </c>
      <c r="H52" s="21">
        <f>SUMIF(科目,A52,貸方)</f>
        <v>0</v>
      </c>
      <c r="I52" s="24" t="str">
        <f>IF(COUNTIF(負資収,A52),"貸方","借方")</f>
        <v>借方</v>
      </c>
      <c r="J52" s="21">
        <f t="shared" si="12"/>
        <v>0</v>
      </c>
      <c r="K52" s="21">
        <f t="shared" si="13"/>
        <v>0</v>
      </c>
    </row>
    <row r="53" spans="1:11" ht="16.5" customHeight="1">
      <c r="A53" s="5">
        <v>403</v>
      </c>
      <c r="B53" s="149" t="s">
        <v>95</v>
      </c>
      <c r="C53" s="4"/>
      <c r="D53" s="4">
        <v>400</v>
      </c>
      <c r="E53" s="20" t="s">
        <v>96</v>
      </c>
      <c r="F53" s="148">
        <f>IF(診断,-1,IF(COUNTIF(A$2:A$79,A53)=1,,-1))</f>
        <v>0</v>
      </c>
      <c r="G53" s="21">
        <f>SUMIF(科目,A53,借方)</f>
        <v>0</v>
      </c>
      <c r="H53" s="21">
        <f>SUMIF(科目,A53,貸方)</f>
        <v>0</v>
      </c>
      <c r="I53" s="24" t="str">
        <f>IF(COUNTIF(負資収,A53),"貸方","借方")</f>
        <v>借方</v>
      </c>
      <c r="J53" s="21">
        <f t="shared" si="12"/>
        <v>0</v>
      </c>
      <c r="K53" s="21">
        <f t="shared" si="13"/>
        <v>0</v>
      </c>
    </row>
    <row r="54" spans="1:11" ht="16.5" customHeight="1">
      <c r="A54" s="5">
        <v>410</v>
      </c>
      <c r="B54" s="23" t="s">
        <v>97</v>
      </c>
      <c r="C54" s="18"/>
      <c r="D54" s="19"/>
      <c r="E54" s="14"/>
      <c r="F54" s="148">
        <f>IF(診断,-1,IF(COUNTIF(A$2:A$79,A54)=1,,-1))</f>
        <v>0</v>
      </c>
      <c r="G54" s="21">
        <f>SUMIF(科目,A54,借方)</f>
        <v>0</v>
      </c>
      <c r="H54" s="21">
        <f>SUMIF(科目,A54,貸方)</f>
        <v>0</v>
      </c>
      <c r="I54" s="24" t="str">
        <f>IF(COUNTIF(負資収,A54),"貸方","借方")</f>
        <v>借方</v>
      </c>
      <c r="J54" s="21">
        <f t="shared" si="12"/>
        <v>0</v>
      </c>
      <c r="K54" s="21">
        <f t="shared" si="13"/>
        <v>0</v>
      </c>
    </row>
    <row r="55" spans="1:11" ht="16.5" customHeight="1">
      <c r="A55" s="5">
        <v>411</v>
      </c>
      <c r="B55" s="14" t="s">
        <v>98</v>
      </c>
      <c r="C55" s="4"/>
      <c r="D55" s="4">
        <v>410</v>
      </c>
      <c r="E55" s="14"/>
      <c r="F55" s="148">
        <f>IF(診断,-1,IF(COUNTIF(A$2:A$79,A55)=1,,-1))</f>
        <v>0</v>
      </c>
      <c r="G55" s="21">
        <f>SUMIF(科目,A55,借方)</f>
        <v>0</v>
      </c>
      <c r="H55" s="21">
        <f>SUMIF(科目,A55,貸方)</f>
        <v>0</v>
      </c>
      <c r="I55" s="24" t="str">
        <f>IF(COUNTIF(負資収,A55),"貸方","借方")</f>
        <v>借方</v>
      </c>
      <c r="J55" s="21">
        <f t="shared" si="12"/>
        <v>0</v>
      </c>
      <c r="K55" s="21">
        <f t="shared" si="13"/>
        <v>0</v>
      </c>
    </row>
    <row r="56" spans="1:11" ht="16.5" customHeight="1">
      <c r="A56" s="5">
        <v>413</v>
      </c>
      <c r="B56" s="14" t="s">
        <v>99</v>
      </c>
      <c r="C56" s="4"/>
      <c r="D56" s="4">
        <v>410</v>
      </c>
      <c r="E56" s="14" t="s">
        <v>100</v>
      </c>
      <c r="F56" s="148">
        <f>IF(診断,-1,IF(COUNTIF(A$2:A$79,A56)=1,,-1))</f>
        <v>0</v>
      </c>
      <c r="G56" s="21">
        <f>SUMIF(科目,A56,借方)</f>
        <v>0</v>
      </c>
      <c r="H56" s="21">
        <f>SUMIF(科目,A56,貸方)</f>
        <v>0</v>
      </c>
      <c r="I56" s="24" t="str">
        <f>IF(COUNTIF(負資収,A56),"貸方","借方")</f>
        <v>借方</v>
      </c>
      <c r="J56" s="21">
        <f t="shared" si="12"/>
        <v>0</v>
      </c>
      <c r="K56" s="21">
        <f t="shared" si="13"/>
        <v>0</v>
      </c>
    </row>
    <row r="57" spans="1:11" ht="16.5" customHeight="1">
      <c r="A57" s="5">
        <v>414</v>
      </c>
      <c r="B57" s="149" t="s">
        <v>101</v>
      </c>
      <c r="C57" s="9"/>
      <c r="D57" s="4">
        <v>410</v>
      </c>
      <c r="E57" s="20" t="s">
        <v>102</v>
      </c>
      <c r="F57" s="148">
        <f>IF(診断,-1,IF(COUNTIF(A$2:A$79,A57)=1,,-1))</f>
        <v>0</v>
      </c>
      <c r="G57" s="21">
        <f>SUMIF(科目,A57,借方)</f>
        <v>0</v>
      </c>
      <c r="H57" s="21">
        <f>SUMIF(科目,A57,貸方)</f>
        <v>0</v>
      </c>
      <c r="I57" s="24" t="str">
        <f>IF(COUNTIF(負資収,A57),"貸方","借方")</f>
        <v>借方</v>
      </c>
      <c r="J57" s="21">
        <f t="shared" si="12"/>
        <v>0</v>
      </c>
      <c r="K57" s="21">
        <f t="shared" si="13"/>
        <v>0</v>
      </c>
    </row>
    <row r="58" spans="1:11" ht="16.5" customHeight="1">
      <c r="A58" s="5">
        <v>421</v>
      </c>
      <c r="B58" s="14" t="s">
        <v>103</v>
      </c>
      <c r="C58" s="4"/>
      <c r="D58" s="4">
        <v>410</v>
      </c>
      <c r="E58" s="14" t="s">
        <v>104</v>
      </c>
      <c r="F58" s="148">
        <f>IF(診断,-1,IF(COUNTIF(A$2:A$79,A58)=1,,-1))</f>
        <v>0</v>
      </c>
      <c r="G58" s="21">
        <f>SUMIF(科目,A58,借方)</f>
        <v>0</v>
      </c>
      <c r="H58" s="21">
        <f>SUMIF(科目,A58,貸方)</f>
        <v>0</v>
      </c>
      <c r="I58" s="24" t="str">
        <f>IF(COUNTIF(負資収,A58),"貸方","借方")</f>
        <v>借方</v>
      </c>
      <c r="J58" s="21">
        <f t="shared" si="12"/>
        <v>0</v>
      </c>
      <c r="K58" s="21">
        <f t="shared" si="13"/>
        <v>550800</v>
      </c>
    </row>
    <row r="59" spans="1:11" ht="16.5" customHeight="1">
      <c r="A59" s="5">
        <v>421.1</v>
      </c>
      <c r="B59" s="14" t="s">
        <v>105</v>
      </c>
      <c r="C59" s="4">
        <v>421</v>
      </c>
      <c r="D59" s="9"/>
      <c r="E59" s="14" t="s">
        <v>55</v>
      </c>
      <c r="F59" s="148">
        <f>IF(診断,-1,IF(COUNTIF(A$2:A$79,A59)=1,,-1))</f>
        <v>0</v>
      </c>
      <c r="G59" s="21">
        <f>SUMIF(科目,A59,借方)</f>
        <v>550800</v>
      </c>
      <c r="H59" s="21">
        <f>SUMIF(科目,A59,貸方)</f>
        <v>0</v>
      </c>
      <c r="I59" s="24" t="str">
        <f>IF(COUNTIF(負資収,A59),"貸方","借方")</f>
        <v>借方</v>
      </c>
      <c r="J59" s="21">
        <f t="shared" si="12"/>
        <v>550800</v>
      </c>
      <c r="K59" s="21" t="str">
        <f t="shared" si="13"/>
        <v/>
      </c>
    </row>
    <row r="60" spans="1:11" ht="16.5" customHeight="1">
      <c r="A60" s="5">
        <v>422</v>
      </c>
      <c r="B60" s="14" t="s">
        <v>106</v>
      </c>
      <c r="C60" s="4"/>
      <c r="D60" s="4">
        <v>410</v>
      </c>
      <c r="E60" s="14"/>
      <c r="F60" s="148">
        <f>IF(診断,-1,IF(COUNTIF(A$2:A$79,A60)=1,,-1))</f>
        <v>0</v>
      </c>
      <c r="G60" s="21">
        <f>SUMIF(科目,A60,借方)</f>
        <v>141771</v>
      </c>
      <c r="H60" s="21">
        <f>SUMIF(科目,A60,貸方)</f>
        <v>0</v>
      </c>
      <c r="I60" s="24" t="str">
        <f>IF(COUNTIF(負資収,A60),"貸方","借方")</f>
        <v>借方</v>
      </c>
      <c r="J60" s="21">
        <f t="shared" si="12"/>
        <v>141771</v>
      </c>
      <c r="K60" s="21">
        <f t="shared" si="13"/>
        <v>141771</v>
      </c>
    </row>
    <row r="61" spans="1:11" ht="16.5" customHeight="1">
      <c r="A61" s="5">
        <v>431</v>
      </c>
      <c r="B61" s="14" t="s">
        <v>107</v>
      </c>
      <c r="C61" s="4"/>
      <c r="D61" s="4">
        <v>410</v>
      </c>
      <c r="E61" s="29" t="s">
        <v>108</v>
      </c>
      <c r="F61" s="148">
        <f>IF(診断,-1,IF(COUNTIF(A$2:A$79,A61)=1,,-1))</f>
        <v>0</v>
      </c>
      <c r="G61" s="21">
        <f>SUMIF(科目,A61,借方)</f>
        <v>0</v>
      </c>
      <c r="H61" s="21">
        <f>SUMIF(科目,A61,貸方)</f>
        <v>0</v>
      </c>
      <c r="I61" s="24" t="str">
        <f>IF(COUNTIF(負資収,A61),"貸方","借方")</f>
        <v>借方</v>
      </c>
      <c r="J61" s="21">
        <f t="shared" si="12"/>
        <v>0</v>
      </c>
      <c r="K61" s="21">
        <f t="shared" si="13"/>
        <v>0</v>
      </c>
    </row>
    <row r="62" spans="1:11" ht="16.5" customHeight="1">
      <c r="A62" s="5">
        <v>441</v>
      </c>
      <c r="B62" s="14" t="s">
        <v>109</v>
      </c>
      <c r="C62" s="4"/>
      <c r="D62" s="4">
        <v>410</v>
      </c>
      <c r="E62" s="14" t="s">
        <v>110</v>
      </c>
      <c r="F62" s="148">
        <f>IF(診断,-1,IF(COUNTIF(A$2:A$79,A62)=1,,-1))</f>
        <v>0</v>
      </c>
      <c r="G62" s="21">
        <f>SUMIF(科目,A62,借方)</f>
        <v>0</v>
      </c>
      <c r="H62" s="21">
        <f>SUMIF(科目,A62,貸方)</f>
        <v>0</v>
      </c>
      <c r="I62" s="24" t="str">
        <f>IF(COUNTIF(負資収,A62),"貸方","借方")</f>
        <v>借方</v>
      </c>
      <c r="J62" s="21">
        <f t="shared" si="12"/>
        <v>0</v>
      </c>
      <c r="K62" s="21">
        <f t="shared" si="13"/>
        <v>0</v>
      </c>
    </row>
    <row r="63" spans="1:11" ht="16.5" customHeight="1">
      <c r="A63" s="5">
        <v>441.1</v>
      </c>
      <c r="B63" s="14" t="s">
        <v>109</v>
      </c>
      <c r="C63" s="4">
        <v>441</v>
      </c>
      <c r="D63" s="9"/>
      <c r="E63" s="14" t="s">
        <v>111</v>
      </c>
      <c r="F63" s="148">
        <f>IF(診断,-1,IF(COUNTIF(A$2:A$79,A63)=1,,-1))</f>
        <v>0</v>
      </c>
      <c r="G63" s="21">
        <f>SUMIF(科目,A63,借方)</f>
        <v>0</v>
      </c>
      <c r="H63" s="21">
        <f>SUMIF(科目,A63,貸方)</f>
        <v>0</v>
      </c>
      <c r="I63" s="24" t="str">
        <f>IF(COUNTIF(負資収,A63),"貸方","借方")</f>
        <v>借方</v>
      </c>
      <c r="J63" s="21">
        <f t="shared" si="12"/>
        <v>0</v>
      </c>
      <c r="K63" s="21" t="str">
        <f t="shared" si="13"/>
        <v/>
      </c>
    </row>
    <row r="64" spans="1:11" ht="16.5" customHeight="1">
      <c r="A64" s="5">
        <v>451</v>
      </c>
      <c r="B64" s="14" t="s">
        <v>112</v>
      </c>
      <c r="C64" s="4"/>
      <c r="D64" s="4">
        <v>410</v>
      </c>
      <c r="E64" s="14" t="s">
        <v>113</v>
      </c>
      <c r="F64" s="148">
        <f>IF(診断,-1,IF(COUNTIF(A$2:A$79,A64)=1,,-1))</f>
        <v>0</v>
      </c>
      <c r="G64" s="21">
        <f>SUMIF(科目,A64,借方)</f>
        <v>0</v>
      </c>
      <c r="H64" s="21">
        <f>SUMIF(科目,A64,貸方)</f>
        <v>0</v>
      </c>
      <c r="I64" s="24" t="str">
        <f>IF(COUNTIF(負資収,A64),"貸方","借方")</f>
        <v>借方</v>
      </c>
      <c r="J64" s="21">
        <f t="shared" si="12"/>
        <v>0</v>
      </c>
      <c r="K64" s="21">
        <f t="shared" si="13"/>
        <v>0</v>
      </c>
    </row>
    <row r="65" spans="1:11" ht="16.5" customHeight="1">
      <c r="A65" s="5">
        <v>452</v>
      </c>
      <c r="B65" s="14" t="s">
        <v>114</v>
      </c>
      <c r="C65" s="4"/>
      <c r="D65" s="4">
        <v>410</v>
      </c>
      <c r="E65" s="14"/>
      <c r="F65" s="148">
        <f>IF(診断,-1,IF(COUNTIF(A$2:A$79,A65)=1,,-1))</f>
        <v>0</v>
      </c>
      <c r="G65" s="21">
        <f>SUMIF(科目,A65,借方)</f>
        <v>0</v>
      </c>
      <c r="H65" s="21">
        <f>SUMIF(科目,A65,貸方)</f>
        <v>0</v>
      </c>
      <c r="I65" s="24" t="str">
        <f>IF(COUNTIF(負資収,A65),"貸方","借方")</f>
        <v>借方</v>
      </c>
      <c r="J65" s="21">
        <f t="shared" si="12"/>
        <v>0</v>
      </c>
      <c r="K65" s="21">
        <f t="shared" si="13"/>
        <v>0</v>
      </c>
    </row>
    <row r="66" spans="1:11" ht="16.5" customHeight="1">
      <c r="A66" s="5">
        <v>453</v>
      </c>
      <c r="B66" s="14" t="s">
        <v>115</v>
      </c>
      <c r="C66" s="4"/>
      <c r="D66" s="4">
        <v>410</v>
      </c>
      <c r="E66" s="14"/>
      <c r="F66" s="148">
        <f>IF(診断,-1,IF(COUNTIF(A$2:A$79,A66)=1,,-1))</f>
        <v>0</v>
      </c>
      <c r="G66" s="21">
        <f>SUMIF(科目,A66,借方)</f>
        <v>0</v>
      </c>
      <c r="H66" s="21">
        <f>SUMIF(科目,A66,貸方)</f>
        <v>0</v>
      </c>
      <c r="I66" s="24" t="str">
        <f>IF(COUNTIF(負資収,A66),"貸方","借方")</f>
        <v>借方</v>
      </c>
      <c r="J66" s="21">
        <f t="shared" si="12"/>
        <v>0</v>
      </c>
      <c r="K66" s="21">
        <f t="shared" si="13"/>
        <v>0</v>
      </c>
    </row>
    <row r="67" spans="1:11" ht="16.5" customHeight="1">
      <c r="A67" s="5">
        <v>454</v>
      </c>
      <c r="B67" s="14" t="s">
        <v>116</v>
      </c>
      <c r="C67" s="4"/>
      <c r="D67" s="4">
        <v>410</v>
      </c>
      <c r="E67" s="14"/>
      <c r="F67" s="148">
        <f>IF(診断,-1,IF(COUNTIF(A$2:A$79,A67)=1,,-1))</f>
        <v>0</v>
      </c>
      <c r="G67" s="21">
        <f>SUMIF(科目,A67,借方)</f>
        <v>0</v>
      </c>
      <c r="H67" s="21">
        <f>SUMIF(科目,A67,貸方)</f>
        <v>0</v>
      </c>
      <c r="I67" s="24" t="str">
        <f>IF(COUNTIF(負資収,A67),"貸方","借方")</f>
        <v>借方</v>
      </c>
      <c r="J67" s="21">
        <f t="shared" si="12"/>
        <v>0</v>
      </c>
      <c r="K67" s="21">
        <f t="shared" si="13"/>
        <v>0</v>
      </c>
    </row>
    <row r="68" spans="1:11" ht="16.5" customHeight="1">
      <c r="A68" s="5">
        <v>455</v>
      </c>
      <c r="B68" s="14" t="s">
        <v>117</v>
      </c>
      <c r="C68" s="4"/>
      <c r="D68" s="4">
        <v>410</v>
      </c>
      <c r="E68" s="14" t="s">
        <v>118</v>
      </c>
      <c r="F68" s="148">
        <f>IF(診断,-1,IF(COUNTIF(A$2:A$79,A68)=1,,-1))</f>
        <v>0</v>
      </c>
      <c r="G68" s="21">
        <f>SUMIF(科目,A68,借方)</f>
        <v>0</v>
      </c>
      <c r="H68" s="21">
        <f>SUMIF(科目,A68,貸方)</f>
        <v>0</v>
      </c>
      <c r="I68" s="24" t="str">
        <f>IF(COUNTIF(負資収,A68),"貸方","借方")</f>
        <v>借方</v>
      </c>
      <c r="J68" s="21">
        <f t="shared" si="12"/>
        <v>0</v>
      </c>
      <c r="K68" s="21">
        <f t="shared" si="13"/>
        <v>0</v>
      </c>
    </row>
    <row r="69" spans="1:11" ht="16.5" customHeight="1">
      <c r="A69" s="5">
        <v>460</v>
      </c>
      <c r="B69" s="23" t="s">
        <v>119</v>
      </c>
      <c r="C69" s="18"/>
      <c r="D69" s="19"/>
      <c r="E69" s="14"/>
      <c r="F69" s="148">
        <f>IF(診断,-1,IF(COUNTIF(A$2:A$79,A69)=1,,-1))</f>
        <v>0</v>
      </c>
      <c r="G69" s="21">
        <f>SUMIF(科目,A69,借方)</f>
        <v>0</v>
      </c>
      <c r="H69" s="21">
        <f>SUMIF(科目,A69,貸方)</f>
        <v>0</v>
      </c>
      <c r="I69" s="24" t="str">
        <f>IF(COUNTIF(負資収,A69),"貸方","借方")</f>
        <v>借方</v>
      </c>
      <c r="J69" s="21">
        <f t="shared" si="12"/>
        <v>0</v>
      </c>
      <c r="K69" s="21">
        <f t="shared" si="13"/>
        <v>0</v>
      </c>
    </row>
    <row r="70" spans="1:11" ht="16.5" customHeight="1">
      <c r="A70" s="5">
        <v>470</v>
      </c>
      <c r="B70" s="23" t="s">
        <v>120</v>
      </c>
      <c r="C70" s="18"/>
      <c r="D70" s="19"/>
      <c r="E70" s="14"/>
      <c r="F70" s="148">
        <f>IF(診断,-1,IF(COUNTIF(A$2:A$79,A70)=1,,-1))</f>
        <v>0</v>
      </c>
      <c r="G70" s="21">
        <f>SUMIF(科目,A70,借方)</f>
        <v>0</v>
      </c>
      <c r="H70" s="21">
        <f>SUMIF(科目,A70,貸方)</f>
        <v>0</v>
      </c>
      <c r="I70" s="24" t="str">
        <f>IF(COUNTIF(負資収,A70),"貸方","借方")</f>
        <v>借方</v>
      </c>
      <c r="J70" s="21">
        <f t="shared" si="12"/>
        <v>0</v>
      </c>
      <c r="K70" s="21">
        <f t="shared" si="13"/>
        <v>0</v>
      </c>
    </row>
    <row r="71" spans="1:11" ht="16.5" customHeight="1">
      <c r="A71" s="5">
        <v>480</v>
      </c>
      <c r="B71" s="23" t="s">
        <v>121</v>
      </c>
      <c r="C71" s="18"/>
      <c r="D71" s="19"/>
      <c r="E71" s="14"/>
      <c r="F71" s="148">
        <f>IF(診断,-1,IF(COUNTIF(A$2:A$79,A71)=1,,-1))</f>
        <v>0</v>
      </c>
      <c r="G71" s="21">
        <f>SUMIF(科目,A71,借方)</f>
        <v>0</v>
      </c>
      <c r="H71" s="21">
        <f>SUMIF(科目,A71,貸方)</f>
        <v>0</v>
      </c>
      <c r="I71" s="24" t="str">
        <f>IF(COUNTIF(負資収,A71),"貸方","借方")</f>
        <v>借方</v>
      </c>
      <c r="J71" s="21">
        <f t="shared" si="12"/>
        <v>0</v>
      </c>
      <c r="K71" s="21">
        <f t="shared" si="13"/>
        <v>0</v>
      </c>
    </row>
    <row r="72" spans="1:11" ht="16.5" customHeight="1">
      <c r="A72" s="5">
        <v>481</v>
      </c>
      <c r="B72" s="14" t="s">
        <v>122</v>
      </c>
      <c r="C72" s="4"/>
      <c r="D72" s="4">
        <v>480</v>
      </c>
      <c r="E72" s="20" t="s">
        <v>123</v>
      </c>
      <c r="F72" s="148">
        <f>IF(診断,-1,IF(COUNTIF(A$2:A$79,A72)=1,,-1))</f>
        <v>0</v>
      </c>
      <c r="G72" s="21">
        <f>SUMIF(科目,A72,借方)</f>
        <v>0</v>
      </c>
      <c r="H72" s="21">
        <f>SUMIF(科目,A72,貸方)</f>
        <v>0</v>
      </c>
      <c r="I72" s="24" t="str">
        <f>IF(COUNTIF(負資収,A72),"貸方","借方")</f>
        <v>借方</v>
      </c>
      <c r="J72" s="21">
        <f t="shared" si="12"/>
        <v>0</v>
      </c>
      <c r="K72" s="21">
        <f t="shared" si="13"/>
        <v>0</v>
      </c>
    </row>
    <row r="73" spans="1:11" ht="16.5" customHeight="1">
      <c r="A73" s="5">
        <v>481.1</v>
      </c>
      <c r="B73" s="14" t="s">
        <v>124</v>
      </c>
      <c r="C73" s="4">
        <v>481</v>
      </c>
      <c r="D73" s="4"/>
      <c r="E73" s="20" t="s">
        <v>125</v>
      </c>
      <c r="F73" s="148">
        <f>IF(診断,-1,IF(COUNTIF(A$2:A$79,A73)=1,,-1))</f>
        <v>0</v>
      </c>
      <c r="G73" s="21">
        <f>SUMIF(科目,A73,借方)</f>
        <v>0</v>
      </c>
      <c r="H73" s="21">
        <f>SUMIF(科目,A73,貸方)</f>
        <v>0</v>
      </c>
      <c r="I73" s="24" t="str">
        <f>IF(COUNTIF(負資収,A73),"貸方","借方")</f>
        <v>借方</v>
      </c>
      <c r="J73" s="21">
        <f t="shared" si="12"/>
        <v>0</v>
      </c>
      <c r="K73" s="21" t="str">
        <f t="shared" si="13"/>
        <v/>
      </c>
    </row>
    <row r="74" spans="1:11" ht="16.5" customHeight="1">
      <c r="A74" s="5">
        <v>481.2</v>
      </c>
      <c r="B74" s="149" t="s">
        <v>126</v>
      </c>
      <c r="C74" s="4">
        <v>481</v>
      </c>
      <c r="D74" s="9"/>
      <c r="E74" s="20" t="s">
        <v>127</v>
      </c>
      <c r="F74" s="148">
        <f>IF(診断,-1,IF(COUNTIF(A$2:A$79,A74)=1,,-1))</f>
        <v>0</v>
      </c>
      <c r="G74" s="21">
        <f>SUMIF(科目,A74,借方)</f>
        <v>0</v>
      </c>
      <c r="H74" s="21">
        <f>SUMIF(科目,A74,貸方)</f>
        <v>0</v>
      </c>
      <c r="I74" s="24" t="str">
        <f>IF(COUNTIF(負資収,A74),"貸方","借方")</f>
        <v>借方</v>
      </c>
      <c r="J74" s="21">
        <f t="shared" si="12"/>
        <v>0</v>
      </c>
      <c r="K74" s="21" t="str">
        <f t="shared" si="13"/>
        <v/>
      </c>
    </row>
    <row r="75" spans="1:11" ht="16.5" customHeight="1">
      <c r="A75" s="5">
        <v>482</v>
      </c>
      <c r="B75" s="14" t="s">
        <v>128</v>
      </c>
      <c r="C75" s="4"/>
      <c r="D75" s="4">
        <v>480</v>
      </c>
      <c r="E75" s="20" t="s">
        <v>123</v>
      </c>
      <c r="F75" s="148">
        <f>IF(診断,-1,IF(COUNTIF(A$2:A$79,A75)=1,,-1))</f>
        <v>0</v>
      </c>
      <c r="G75" s="21">
        <f>SUMIF(科目,A75,借方)</f>
        <v>22000</v>
      </c>
      <c r="H75" s="21">
        <f>SUMIF(科目,A75,貸方)</f>
        <v>0</v>
      </c>
      <c r="I75" s="24" t="str">
        <f>IF(COUNTIF(負資収,A75),"貸方","借方")</f>
        <v>借方</v>
      </c>
      <c r="J75" s="21">
        <f t="shared" si="12"/>
        <v>22000</v>
      </c>
      <c r="K75" s="21">
        <f t="shared" si="13"/>
        <v>22000</v>
      </c>
    </row>
    <row r="76" spans="1:11" ht="16.5" customHeight="1">
      <c r="A76" s="5">
        <v>482.1</v>
      </c>
      <c r="B76" s="14" t="s">
        <v>129</v>
      </c>
      <c r="C76" s="4">
        <v>482</v>
      </c>
      <c r="D76" s="4"/>
      <c r="E76" s="20" t="s">
        <v>130</v>
      </c>
      <c r="F76" s="148">
        <f>IF(診断,-1,IF(COUNTIF(A$2:A$79,A76)=1,,-1))</f>
        <v>0</v>
      </c>
      <c r="G76" s="21">
        <f>SUMIF(科目,A76,借方)</f>
        <v>0</v>
      </c>
      <c r="H76" s="21">
        <f>SUMIF(科目,A76,貸方)</f>
        <v>0</v>
      </c>
      <c r="I76" s="24" t="str">
        <f>IF(COUNTIF(負資収,A76),"貸方","借方")</f>
        <v>借方</v>
      </c>
      <c r="J76" s="21">
        <f t="shared" si="12"/>
        <v>0</v>
      </c>
      <c r="K76" s="21" t="str">
        <f t="shared" si="13"/>
        <v/>
      </c>
    </row>
    <row r="77" spans="1:11" ht="16.5" customHeight="1">
      <c r="A77" s="5">
        <v>483</v>
      </c>
      <c r="B77" s="14" t="s">
        <v>131</v>
      </c>
      <c r="C77" s="4"/>
      <c r="D77" s="4">
        <v>480</v>
      </c>
      <c r="E77" s="20" t="s">
        <v>123</v>
      </c>
      <c r="F77" s="148">
        <f>IF(診断,-1,IF(COUNTIF(A$2:A$79,A77)=1,,-1))</f>
        <v>0</v>
      </c>
      <c r="G77" s="21">
        <f>SUMIF(科目,A77,借方)</f>
        <v>60000</v>
      </c>
      <c r="H77" s="21">
        <f>SUMIF(科目,A77,貸方)</f>
        <v>0</v>
      </c>
      <c r="I77" s="24" t="str">
        <f>IF(COUNTIF(負資収,A77),"貸方","借方")</f>
        <v>借方</v>
      </c>
      <c r="J77" s="21">
        <f t="shared" si="12"/>
        <v>60000</v>
      </c>
      <c r="K77" s="21">
        <f t="shared" si="13"/>
        <v>60000</v>
      </c>
    </row>
    <row r="78" spans="1:11" ht="16.5" customHeight="1">
      <c r="A78" s="5">
        <v>490</v>
      </c>
      <c r="B78" s="23" t="s">
        <v>132</v>
      </c>
      <c r="C78" s="18"/>
      <c r="D78" s="19"/>
      <c r="E78" s="14"/>
      <c r="F78" s="148">
        <f>IF(診断,-1,IF(COUNTIF(A$2:A$79,A78)=1,,-1))</f>
        <v>0</v>
      </c>
      <c r="G78" s="21">
        <f>SUMIF(科目,A78,借方)</f>
        <v>-82000</v>
      </c>
      <c r="H78" s="21">
        <f>SUMIF(科目,A78,貸方)</f>
        <v>0</v>
      </c>
      <c r="I78" s="24" t="str">
        <f>IF(COUNTIF(負資収,A78),"貸方","借方")</f>
        <v>借方</v>
      </c>
      <c r="J78" s="21">
        <f t="shared" si="12"/>
        <v>-82000</v>
      </c>
      <c r="K78" s="21">
        <f t="shared" si="13"/>
        <v>-82000</v>
      </c>
    </row>
    <row r="79" spans="1:11" ht="16.5" hidden="1" customHeight="1">
      <c r="A79" s="99"/>
      <c r="B79" s="23"/>
      <c r="C79" s="18"/>
      <c r="D79" s="18"/>
      <c r="E79" s="12"/>
      <c r="F79" s="127"/>
      <c r="G79" s="27"/>
      <c r="H79" s="27"/>
      <c r="I79" s="28"/>
      <c r="J79" s="27"/>
      <c r="K79" s="27"/>
    </row>
    <row r="80" spans="1:11" ht="16.5" customHeight="1">
      <c r="A80" s="116"/>
      <c r="B80" s="71" t="s">
        <v>133</v>
      </c>
      <c r="C80" s="53"/>
      <c r="D80" s="53"/>
      <c r="E80" s="152"/>
      <c r="F80" s="133">
        <f>IF(診断,-1,IF(AND(G80-H80=J80,J80=K80),,-1))</f>
        <v>0</v>
      </c>
      <c r="G80" s="74">
        <f t="shared" ref="G80:H80" si="14">SUM(G49:G79)</f>
        <v>692571</v>
      </c>
      <c r="H80" s="74">
        <f t="shared" si="14"/>
        <v>0</v>
      </c>
      <c r="I80" s="114"/>
      <c r="J80" s="74">
        <f t="shared" ref="J80:K80" si="15">SUM(J49:J79)</f>
        <v>692571</v>
      </c>
      <c r="K80" s="74">
        <f t="shared" si="15"/>
        <v>692571</v>
      </c>
    </row>
    <row r="81" spans="1:11" ht="16.5" customHeight="1">
      <c r="A81" s="116"/>
      <c r="B81" s="71" t="s">
        <v>134</v>
      </c>
      <c r="C81" s="53"/>
      <c r="D81" s="53"/>
      <c r="E81" s="152"/>
      <c r="F81" s="133">
        <f>IF(診断,-1,IF(AND(仕訳!D90=G81,仕訳!E90=H81),,-1))</f>
        <v>0</v>
      </c>
      <c r="G81" s="74">
        <f t="shared" ref="G81:H81" si="16">G15+G31+G48+G80</f>
        <v>3923214</v>
      </c>
      <c r="H81" s="74">
        <f t="shared" si="16"/>
        <v>3923214</v>
      </c>
      <c r="I81" s="114"/>
      <c r="J81" s="74"/>
      <c r="K81" s="74"/>
    </row>
  </sheetData>
  <conditionalFormatting sqref="F1:F81">
    <cfRule type="cellIs" dxfId="3" priority="1" operator="equal">
      <formula>-1</formula>
    </cfRule>
  </conditionalFormatting>
  <printOptions horizontalCentered="1" gridLines="1"/>
  <pageMargins left="0.7" right="0.7" top="0.75" bottom="0.75" header="0" footer="0"/>
  <pageSetup paperSize="9" fitToHeight="0" pageOrder="overThenDown"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67"/>
  <sheetViews>
    <sheetView workbookViewId="0">
      <pane ySplit="1" topLeftCell="A2" activePane="bottomLeft" state="frozen"/>
      <selection pane="bottomLeft"/>
    </sheetView>
  </sheetViews>
  <sheetFormatPr defaultColWidth="14.42578125" defaultRowHeight="16.5" customHeight="1"/>
  <cols>
    <col min="1" max="1" width="3.5703125" style="84" customWidth="1"/>
    <col min="2" max="2" width="69.42578125" style="84" customWidth="1"/>
    <col min="3" max="4" width="7" style="84" customWidth="1"/>
    <col min="5" max="5" width="24.140625" style="84" customWidth="1"/>
    <col min="6" max="8" width="12.140625" style="84" customWidth="1"/>
    <col min="9" max="10" width="20.7109375" style="84" customWidth="1"/>
    <col min="11" max="16384" width="14.42578125" style="84"/>
  </cols>
  <sheetData>
    <row r="1" spans="1:10" ht="16.5" customHeight="1">
      <c r="A1" s="58">
        <f>IF(診断,-1,IF(OR(A14=-1,A25=-1,A44=-1,A47=-1),-1,))</f>
        <v>0</v>
      </c>
      <c r="B1" s="59" t="s">
        <v>135</v>
      </c>
      <c r="C1" s="154"/>
      <c r="D1" s="60"/>
      <c r="E1" s="59"/>
      <c r="F1" s="61"/>
      <c r="G1" s="62"/>
      <c r="H1" s="62"/>
      <c r="I1" s="155" t="str">
        <f>TEXT(MIN(日付),"yyyy年mm月dd日")</f>
        <v>2020年01月01日</v>
      </c>
      <c r="J1" s="155" t="str">
        <f>TEXT(MAX(日付),"yyyy年mm月dd日")</f>
        <v>2020年12月31日</v>
      </c>
    </row>
    <row r="2" spans="1:10" ht="16.5" customHeight="1">
      <c r="A2" s="63"/>
      <c r="B2" s="64"/>
      <c r="C2" s="166"/>
      <c r="D2" s="65"/>
      <c r="E2" s="64"/>
      <c r="F2" s="66"/>
      <c r="G2" s="66"/>
      <c r="H2" s="66"/>
      <c r="I2" s="64"/>
      <c r="J2" s="64"/>
    </row>
    <row r="3" spans="1:10" ht="16.5" customHeight="1">
      <c r="A3" s="63"/>
      <c r="B3" s="64"/>
      <c r="C3" s="166"/>
      <c r="D3" s="65"/>
      <c r="E3" s="64"/>
      <c r="F3" s="66"/>
      <c r="G3" s="66"/>
      <c r="H3" s="66"/>
      <c r="I3" s="64"/>
      <c r="J3" s="64"/>
    </row>
    <row r="4" spans="1:10" ht="16.5" customHeight="1">
      <c r="A4" s="58">
        <f>IF(診断,-1,IF(H14=H25,,-1))</f>
        <v>0</v>
      </c>
      <c r="B4" s="59" t="str">
        <f>"貸借対照表"&amp;IF((A4=-1)," (未確定…繰越利益剰余金の仕訳が必要)",)</f>
        <v>貸借対照表</v>
      </c>
      <c r="C4" s="154"/>
      <c r="D4" s="67"/>
      <c r="E4" s="59"/>
      <c r="F4" s="61"/>
      <c r="G4" s="61"/>
      <c r="H4" s="61"/>
      <c r="I4" s="59" t="str">
        <f>J1&amp;" 現在"</f>
        <v>2020年12月31日 現在</v>
      </c>
      <c r="J4" s="59"/>
    </row>
    <row r="5" spans="1:10" ht="16.5" customHeight="1">
      <c r="A5" s="63"/>
      <c r="B5" s="64"/>
      <c r="C5" s="166"/>
      <c r="D5" s="65"/>
      <c r="E5" s="64"/>
      <c r="F5" s="66"/>
      <c r="G5" s="66"/>
      <c r="H5" s="66"/>
      <c r="I5" s="64"/>
      <c r="J5" s="64"/>
    </row>
    <row r="6" spans="1:10" ht="16.5" customHeight="1">
      <c r="A6" s="68"/>
      <c r="B6" s="69"/>
      <c r="C6" s="87" t="s">
        <v>2</v>
      </c>
      <c r="D6" s="70" t="s">
        <v>136</v>
      </c>
      <c r="E6" s="70" t="s">
        <v>137</v>
      </c>
      <c r="F6" s="88" t="s">
        <v>8</v>
      </c>
      <c r="G6" s="88" t="s">
        <v>9</v>
      </c>
      <c r="H6" s="88" t="s">
        <v>138</v>
      </c>
      <c r="I6" s="69"/>
      <c r="J6" s="69"/>
    </row>
    <row r="7" spans="1:10" ht="16.5" customHeight="1">
      <c r="A7" s="63"/>
      <c r="B7" s="64"/>
      <c r="C7" s="72"/>
      <c r="D7" s="71" t="s">
        <v>139</v>
      </c>
      <c r="E7" s="152"/>
      <c r="F7" s="74"/>
      <c r="G7" s="74"/>
      <c r="H7" s="74"/>
      <c r="I7" s="64"/>
      <c r="J7" s="64"/>
    </row>
    <row r="8" spans="1:10" ht="16.5" customHeight="1">
      <c r="A8" s="63"/>
      <c r="B8" s="64"/>
      <c r="C8" s="72">
        <f>集計!A3</f>
        <v>0</v>
      </c>
      <c r="D8" s="23"/>
      <c r="E8" s="156" t="str">
        <f>VLOOKUP(C8,科目設定,2,0)</f>
        <v>流動資産</v>
      </c>
      <c r="F8" s="21">
        <f>VLOOKUP(C8,科目設定,11,0)+SUMIF(項目,C8,親子残高)</f>
        <v>2038157</v>
      </c>
      <c r="G8" s="27"/>
      <c r="H8" s="21">
        <f>F8</f>
        <v>2038157</v>
      </c>
      <c r="I8" s="64"/>
      <c r="J8" s="64"/>
    </row>
    <row r="9" spans="1:10" ht="16.5" customHeight="1">
      <c r="A9" s="63"/>
      <c r="B9" s="64"/>
      <c r="C9" s="25"/>
      <c r="D9" s="23"/>
      <c r="E9" s="23" t="s">
        <v>140</v>
      </c>
      <c r="F9" s="27"/>
      <c r="G9" s="27"/>
      <c r="H9" s="21">
        <f>SUM(F10:F12)</f>
        <v>0</v>
      </c>
      <c r="I9" s="64"/>
      <c r="J9" s="64"/>
    </row>
    <row r="10" spans="1:10" ht="16.5" customHeight="1">
      <c r="A10" s="63"/>
      <c r="B10" s="64"/>
      <c r="C10" s="72">
        <f>集計!A9</f>
        <v>20</v>
      </c>
      <c r="D10" s="73"/>
      <c r="E10" s="129" t="str">
        <f>VLOOKUP(C10,科目設定,2,0)</f>
        <v>有形固定資産</v>
      </c>
      <c r="F10" s="21">
        <f>VLOOKUP(C10,科目設定,11,0)+SUMIF(項目,C10,親子残高)</f>
        <v>0</v>
      </c>
      <c r="G10" s="6"/>
      <c r="H10" s="6"/>
      <c r="I10" s="64"/>
      <c r="J10" s="64"/>
    </row>
    <row r="11" spans="1:10" ht="16.5" customHeight="1">
      <c r="A11" s="63"/>
      <c r="B11" s="64"/>
      <c r="C11" s="72">
        <f>集計!A10</f>
        <v>30</v>
      </c>
      <c r="D11" s="73"/>
      <c r="E11" s="129" t="str">
        <f>VLOOKUP(C11,科目設定,2,0)</f>
        <v>無形固定資産</v>
      </c>
      <c r="F11" s="21">
        <f>VLOOKUP(C11,科目設定,11,0)+SUMIF(項目,C11,親子残高)</f>
        <v>0</v>
      </c>
      <c r="G11" s="6"/>
      <c r="H11" s="6"/>
      <c r="I11" s="64"/>
      <c r="J11" s="64"/>
    </row>
    <row r="12" spans="1:10" ht="16.5" customHeight="1">
      <c r="A12" s="63"/>
      <c r="B12" s="64"/>
      <c r="C12" s="72">
        <f>集計!A11</f>
        <v>40</v>
      </c>
      <c r="D12" s="73"/>
      <c r="E12" s="129" t="str">
        <f>VLOOKUP(C12,科目設定,2,0)</f>
        <v>投資その他の資産</v>
      </c>
      <c r="F12" s="21">
        <f>VLOOKUP(C12,科目設定,11,0)+SUMIF(項目,C12,親子残高)</f>
        <v>0</v>
      </c>
      <c r="G12" s="6"/>
      <c r="H12" s="6"/>
      <c r="I12" s="64"/>
      <c r="J12" s="64"/>
    </row>
    <row r="13" spans="1:10" ht="16.5" customHeight="1">
      <c r="A13" s="63"/>
      <c r="B13" s="64"/>
      <c r="C13" s="72">
        <f>集計!A13</f>
        <v>50</v>
      </c>
      <c r="D13" s="23"/>
      <c r="E13" s="156" t="str">
        <f>VLOOKUP(C13,科目設定,2,0)</f>
        <v>繰延資産</v>
      </c>
      <c r="F13" s="21">
        <f>VLOOKUP(C13,科目設定,11,0)+SUMIF(項目,C13,親子残高)</f>
        <v>0</v>
      </c>
      <c r="G13" s="23"/>
      <c r="H13" s="21">
        <f>F13</f>
        <v>0</v>
      </c>
      <c r="I13" s="64"/>
      <c r="J13" s="64"/>
    </row>
    <row r="14" spans="1:10" ht="16.5" customHeight="1">
      <c r="A14" s="58">
        <f>IF(診断,-1,IF(AND(H14=集計!K15,H14=F14),,-1))</f>
        <v>0</v>
      </c>
      <c r="B14" s="64"/>
      <c r="C14" s="72"/>
      <c r="D14" s="71"/>
      <c r="E14" s="71" t="s">
        <v>141</v>
      </c>
      <c r="F14" s="74">
        <f>SUM(F8:F13)</f>
        <v>2038157</v>
      </c>
      <c r="G14" s="74"/>
      <c r="H14" s="74">
        <f>H8+H9+H13</f>
        <v>2038157</v>
      </c>
      <c r="I14" s="64"/>
      <c r="J14" s="64"/>
    </row>
    <row r="15" spans="1:10" ht="16.5" customHeight="1">
      <c r="A15" s="63"/>
      <c r="B15" s="64"/>
      <c r="C15" s="72"/>
      <c r="D15" s="71" t="s">
        <v>142</v>
      </c>
      <c r="E15" s="71"/>
      <c r="F15" s="74"/>
      <c r="G15" s="74"/>
      <c r="H15" s="74"/>
      <c r="I15" s="64"/>
      <c r="J15" s="64"/>
    </row>
    <row r="16" spans="1:10" ht="16.5" customHeight="1">
      <c r="A16" s="63"/>
      <c r="B16" s="64"/>
      <c r="C16" s="72">
        <f>集計!A17</f>
        <v>100</v>
      </c>
      <c r="D16" s="23"/>
      <c r="E16" s="156" t="str">
        <f>VLOOKUP(C16,科目設定,2,0)</f>
        <v>流動負債</v>
      </c>
      <c r="F16" s="23"/>
      <c r="G16" s="21">
        <f>VLOOKUP(C16,科目設定,11,0)+SUMIF(項目,C16,親子残高)</f>
        <v>1158757</v>
      </c>
      <c r="H16" s="21">
        <f t="shared" ref="H16:H17" si="0">G16</f>
        <v>1158757</v>
      </c>
      <c r="I16" s="64"/>
      <c r="J16" s="64"/>
    </row>
    <row r="17" spans="1:10" ht="16.5" customHeight="1">
      <c r="A17" s="63"/>
      <c r="B17" s="64"/>
      <c r="C17" s="72">
        <f>集計!A24</f>
        <v>120</v>
      </c>
      <c r="D17" s="23"/>
      <c r="E17" s="156" t="str">
        <f>VLOOKUP(C17,科目設定,2,0)</f>
        <v>固定負債</v>
      </c>
      <c r="F17" s="23"/>
      <c r="G17" s="21">
        <f>VLOOKUP(C17,科目設定,11,0)+SUMIF(項目,C17,親子残高)</f>
        <v>0</v>
      </c>
      <c r="H17" s="21">
        <f t="shared" si="0"/>
        <v>0</v>
      </c>
      <c r="I17" s="64"/>
      <c r="J17" s="64"/>
    </row>
    <row r="18" spans="1:10" ht="16.5" customHeight="1">
      <c r="A18" s="63"/>
      <c r="B18" s="64"/>
      <c r="C18" s="72"/>
      <c r="D18" s="71"/>
      <c r="E18" s="71" t="s">
        <v>143</v>
      </c>
      <c r="F18" s="74"/>
      <c r="G18" s="74"/>
      <c r="H18" s="74">
        <f>G16+G17</f>
        <v>1158757</v>
      </c>
      <c r="I18" s="64"/>
      <c r="J18" s="64"/>
    </row>
    <row r="19" spans="1:10" ht="16.5" customHeight="1">
      <c r="A19" s="63"/>
      <c r="B19" s="64"/>
      <c r="C19" s="72"/>
      <c r="D19" s="71" t="s">
        <v>144</v>
      </c>
      <c r="E19" s="71"/>
      <c r="F19" s="74"/>
      <c r="G19" s="74"/>
      <c r="H19" s="74"/>
      <c r="I19" s="64"/>
      <c r="J19" s="64"/>
    </row>
    <row r="20" spans="1:10" ht="16.5" customHeight="1">
      <c r="A20" s="63"/>
      <c r="B20" s="64"/>
      <c r="C20" s="25"/>
      <c r="D20" s="23"/>
      <c r="E20" s="23" t="s">
        <v>145</v>
      </c>
      <c r="F20" s="27"/>
      <c r="G20" s="27"/>
      <c r="H20" s="21">
        <f>G21+G22</f>
        <v>879400</v>
      </c>
      <c r="I20" s="64"/>
      <c r="J20" s="64"/>
    </row>
    <row r="21" spans="1:10" ht="16.5" customHeight="1">
      <c r="A21" s="63"/>
      <c r="B21" s="64"/>
      <c r="C21" s="72">
        <f>集計!A25</f>
        <v>200</v>
      </c>
      <c r="D21" s="73"/>
      <c r="E21" s="129" t="str">
        <f>VLOOKUP(C21,科目設定,2,0)</f>
        <v>資本金</v>
      </c>
      <c r="F21" s="6"/>
      <c r="G21" s="21">
        <f>VLOOKUP(C21,科目設定,11,0)+SUMIF(項目,C21,親子残高)</f>
        <v>2000000</v>
      </c>
      <c r="H21" s="6"/>
      <c r="I21" s="64"/>
      <c r="J21" s="64"/>
    </row>
    <row r="22" spans="1:10" ht="16.5" customHeight="1">
      <c r="A22" s="63"/>
      <c r="B22" s="64"/>
      <c r="C22" s="72">
        <f>集計!A26</f>
        <v>210</v>
      </c>
      <c r="D22" s="73"/>
      <c r="E22" s="129" t="str">
        <f>VLOOKUP(C22,科目設定,2,0)</f>
        <v>利益剰余金</v>
      </c>
      <c r="F22" s="6"/>
      <c r="G22" s="21">
        <f>VLOOKUP(C22,科目設定,11,0)+SUMIF(項目,C22,親子残高)</f>
        <v>-1120600</v>
      </c>
      <c r="H22" s="6"/>
      <c r="I22" s="64"/>
      <c r="J22" s="64"/>
    </row>
    <row r="23" spans="1:10" ht="16.5" customHeight="1">
      <c r="A23" s="63"/>
      <c r="B23" s="64"/>
      <c r="C23" s="72">
        <f>集計!A28</f>
        <v>220</v>
      </c>
      <c r="D23" s="23"/>
      <c r="E23" s="156" t="str">
        <f>VLOOKUP(C23,科目設定,2,0)</f>
        <v>評価・換算差額等</v>
      </c>
      <c r="F23" s="23"/>
      <c r="G23" s="21">
        <f>VLOOKUP(C23,科目設定,11,0)+SUMIF(項目,C23,親子残高)</f>
        <v>0</v>
      </c>
      <c r="H23" s="21">
        <f>G23</f>
        <v>0</v>
      </c>
      <c r="I23" s="64"/>
      <c r="J23" s="64"/>
    </row>
    <row r="24" spans="1:10" ht="16.5" customHeight="1">
      <c r="A24" s="63"/>
      <c r="B24" s="64"/>
      <c r="C24" s="72"/>
      <c r="D24" s="71"/>
      <c r="E24" s="71" t="s">
        <v>146</v>
      </c>
      <c r="F24" s="74"/>
      <c r="G24" s="74"/>
      <c r="H24" s="74">
        <f>H20+H23</f>
        <v>879400</v>
      </c>
      <c r="I24" s="64"/>
      <c r="J24" s="64"/>
    </row>
    <row r="25" spans="1:10" ht="16.5" customHeight="1">
      <c r="A25" s="58">
        <f>IF(診断,-1,IF(AND(H25=集計!K31,H25=G25),,-1))</f>
        <v>0</v>
      </c>
      <c r="B25" s="64"/>
      <c r="C25" s="116"/>
      <c r="D25" s="71"/>
      <c r="E25" s="71" t="s">
        <v>147</v>
      </c>
      <c r="F25" s="74"/>
      <c r="G25" s="74">
        <f>SUM(G16:G23)</f>
        <v>2038157</v>
      </c>
      <c r="H25" s="74">
        <f>H18+H24</f>
        <v>2038157</v>
      </c>
      <c r="I25" s="64"/>
      <c r="J25" s="64"/>
    </row>
    <row r="26" spans="1:10" ht="16.5" customHeight="1">
      <c r="A26" s="63"/>
      <c r="B26" s="64"/>
      <c r="C26" s="166"/>
      <c r="D26" s="65"/>
      <c r="E26" s="64"/>
      <c r="F26" s="66"/>
      <c r="G26" s="66"/>
      <c r="H26" s="66"/>
      <c r="I26" s="64"/>
      <c r="J26" s="64"/>
    </row>
    <row r="27" spans="1:10" ht="16.5" customHeight="1">
      <c r="A27" s="63"/>
      <c r="B27" s="75"/>
      <c r="C27" s="166"/>
      <c r="D27" s="65"/>
      <c r="E27" s="64"/>
      <c r="F27" s="66"/>
      <c r="G27" s="66"/>
      <c r="H27" s="66"/>
      <c r="I27" s="64"/>
      <c r="J27" s="64"/>
    </row>
    <row r="28" spans="1:10" ht="16.5" customHeight="1">
      <c r="A28" s="76">
        <f>IF(診断,-1,IF(集計!K78=H43,,-1))</f>
        <v>0</v>
      </c>
      <c r="B28" s="59" t="str">
        <f>"損益計算書"&amp;IF((A28=-1)," (未確定…当期純利益の仕訳が必要)",)</f>
        <v>損益計算書</v>
      </c>
      <c r="C28" s="154"/>
      <c r="D28" s="67"/>
      <c r="E28" s="59"/>
      <c r="F28" s="61"/>
      <c r="G28" s="61"/>
      <c r="H28" s="61"/>
      <c r="I28" s="59" t="str">
        <f>"自 "&amp;I1</f>
        <v>自 2020年01月01日</v>
      </c>
      <c r="J28" s="59" t="str">
        <f>"至 "&amp;J1</f>
        <v>至 2020年12月31日</v>
      </c>
    </row>
    <row r="29" spans="1:10" ht="16.5" customHeight="1">
      <c r="A29" s="63"/>
      <c r="B29" s="64"/>
      <c r="C29" s="166"/>
      <c r="D29" s="65"/>
      <c r="E29" s="64"/>
      <c r="F29" s="66"/>
      <c r="G29" s="66"/>
      <c r="H29" s="66"/>
      <c r="I29" s="64"/>
      <c r="J29" s="64"/>
    </row>
    <row r="30" spans="1:10" ht="16.5" customHeight="1">
      <c r="A30" s="68"/>
      <c r="B30" s="69"/>
      <c r="C30" s="87" t="s">
        <v>2</v>
      </c>
      <c r="D30" s="70"/>
      <c r="E30" s="70" t="s">
        <v>137</v>
      </c>
      <c r="F30" s="88" t="s">
        <v>148</v>
      </c>
      <c r="G30" s="88" t="s">
        <v>149</v>
      </c>
      <c r="H30" s="88" t="s">
        <v>150</v>
      </c>
      <c r="I30" s="69"/>
      <c r="J30" s="69"/>
    </row>
    <row r="31" spans="1:10" ht="16.5" customHeight="1">
      <c r="A31" s="63"/>
      <c r="B31" s="64"/>
      <c r="C31" s="72">
        <f>集計!A33</f>
        <v>300</v>
      </c>
      <c r="D31" s="73"/>
      <c r="E31" s="156" t="str">
        <f>VLOOKUP(C31,科目設定,2,0)</f>
        <v>売上高</v>
      </c>
      <c r="F31" s="6"/>
      <c r="G31" s="21">
        <f>VLOOKUP(C31,科目設定,11,0)+SUMIF(項目,C31,親子残高)</f>
        <v>0</v>
      </c>
      <c r="H31" s="6"/>
      <c r="I31" s="64"/>
      <c r="J31" s="64"/>
    </row>
    <row r="32" spans="1:10" ht="16.5" customHeight="1">
      <c r="A32" s="63"/>
      <c r="B32" s="64"/>
      <c r="C32" s="72">
        <f>集計!A50</f>
        <v>400</v>
      </c>
      <c r="D32" s="73"/>
      <c r="E32" s="156" t="str">
        <f>VLOOKUP(C32,科目設定,2,0)</f>
        <v>売上原価</v>
      </c>
      <c r="F32" s="21">
        <f>VLOOKUP(C32,科目設定,11,0)+SUMIF(項目,C32,親子残高)</f>
        <v>0</v>
      </c>
      <c r="G32" s="6"/>
      <c r="H32" s="6"/>
      <c r="I32" s="64"/>
      <c r="J32" s="64"/>
    </row>
    <row r="33" spans="1:10" ht="16.5" customHeight="1">
      <c r="A33" s="63"/>
      <c r="B33" s="64"/>
      <c r="C33" s="25"/>
      <c r="D33" s="23"/>
      <c r="E33" s="12" t="s">
        <v>151</v>
      </c>
      <c r="F33" s="27"/>
      <c r="G33" s="157"/>
      <c r="H33" s="21">
        <f>G31-F32</f>
        <v>0</v>
      </c>
      <c r="I33" s="64"/>
      <c r="J33" s="64"/>
    </row>
    <row r="34" spans="1:10" ht="16.5" customHeight="1">
      <c r="A34" s="63"/>
      <c r="B34" s="64"/>
      <c r="C34" s="72">
        <f>集計!A54</f>
        <v>410</v>
      </c>
      <c r="D34" s="73"/>
      <c r="E34" s="156" t="str">
        <f>VLOOKUP(C34,科目設定,2,0)</f>
        <v>販売費及び一般管理費</v>
      </c>
      <c r="F34" s="21">
        <f>VLOOKUP(C34,科目設定,11,0)+SUMIF(項目,C34,親子残高)</f>
        <v>692571</v>
      </c>
      <c r="G34" s="6"/>
      <c r="H34" s="6"/>
      <c r="I34" s="64"/>
      <c r="J34" s="64"/>
    </row>
    <row r="35" spans="1:10" ht="16.5" customHeight="1">
      <c r="A35" s="63"/>
      <c r="B35" s="64"/>
      <c r="C35" s="25"/>
      <c r="D35" s="23"/>
      <c r="E35" s="12" t="s">
        <v>152</v>
      </c>
      <c r="F35" s="27"/>
      <c r="G35" s="157"/>
      <c r="H35" s="21">
        <f>H33-F34</f>
        <v>-692571</v>
      </c>
      <c r="I35" s="64"/>
      <c r="J35" s="64"/>
    </row>
    <row r="36" spans="1:10" ht="16.5" customHeight="1">
      <c r="A36" s="63"/>
      <c r="B36" s="64"/>
      <c r="C36" s="72">
        <f>集計!A38</f>
        <v>360</v>
      </c>
      <c r="D36" s="73"/>
      <c r="E36" s="156" t="str">
        <f>VLOOKUP(C36,科目設定,2,0)</f>
        <v>営業外収益</v>
      </c>
      <c r="F36" s="6"/>
      <c r="G36" s="21">
        <f>VLOOKUP(C36,科目設定,11,0)+SUMIF(項目,C36,親子残高)</f>
        <v>0</v>
      </c>
      <c r="H36" s="6"/>
      <c r="I36" s="64"/>
      <c r="J36" s="64"/>
    </row>
    <row r="37" spans="1:10" ht="16.5" customHeight="1">
      <c r="A37" s="63"/>
      <c r="B37" s="64"/>
      <c r="C37" s="72">
        <f>集計!A69</f>
        <v>460</v>
      </c>
      <c r="D37" s="73"/>
      <c r="E37" s="156" t="str">
        <f>VLOOKUP(C37,科目設定,2,0)</f>
        <v>営業外費用</v>
      </c>
      <c r="F37" s="21">
        <f>VLOOKUP(C37,科目設定,11,0)+SUMIF(項目,C37,親子残高)</f>
        <v>0</v>
      </c>
      <c r="G37" s="6"/>
      <c r="H37" s="6"/>
      <c r="I37" s="64"/>
      <c r="J37" s="64"/>
    </row>
    <row r="38" spans="1:10" ht="16.5" customHeight="1">
      <c r="A38" s="63"/>
      <c r="B38" s="64"/>
      <c r="C38" s="25"/>
      <c r="D38" s="23"/>
      <c r="E38" s="12" t="s">
        <v>153</v>
      </c>
      <c r="F38" s="27"/>
      <c r="G38" s="157"/>
      <c r="H38" s="21">
        <f>H35+G36-F37</f>
        <v>-692571</v>
      </c>
      <c r="I38" s="64"/>
      <c r="J38" s="64"/>
    </row>
    <row r="39" spans="1:10" ht="16.5" customHeight="1">
      <c r="A39" s="63"/>
      <c r="B39" s="64"/>
      <c r="C39" s="72">
        <f>集計!A42</f>
        <v>370</v>
      </c>
      <c r="D39" s="73"/>
      <c r="E39" s="156" t="str">
        <f>VLOOKUP(C39,科目設定,2,0)</f>
        <v>特別利益</v>
      </c>
      <c r="F39" s="6" t="s">
        <v>154</v>
      </c>
      <c r="G39" s="21">
        <f>VLOOKUP(C39,科目設定,11,0)+SUMIF(項目,C39,親子残高)</f>
        <v>692571</v>
      </c>
      <c r="H39" s="6"/>
      <c r="I39" s="64"/>
      <c r="J39" s="64"/>
    </row>
    <row r="40" spans="1:10" ht="16.5" customHeight="1">
      <c r="A40" s="63"/>
      <c r="B40" s="64"/>
      <c r="C40" s="72">
        <f>集計!A70</f>
        <v>470</v>
      </c>
      <c r="D40" s="73"/>
      <c r="E40" s="156" t="str">
        <f>VLOOKUP(C40,科目設定,2,0)</f>
        <v>特別損失</v>
      </c>
      <c r="F40" s="21">
        <f>VLOOKUP(C40,科目設定,11,0)+SUMIF(項目,C40,親子残高)</f>
        <v>0</v>
      </c>
      <c r="G40" s="6"/>
      <c r="H40" s="6"/>
      <c r="I40" s="64"/>
      <c r="J40" s="64"/>
    </row>
    <row r="41" spans="1:10" ht="16.5" customHeight="1">
      <c r="A41" s="63"/>
      <c r="B41" s="64"/>
      <c r="C41" s="25"/>
      <c r="D41" s="23"/>
      <c r="E41" s="12" t="s">
        <v>155</v>
      </c>
      <c r="F41" s="27"/>
      <c r="G41" s="157"/>
      <c r="H41" s="21">
        <f>H38+G39-F40</f>
        <v>0</v>
      </c>
      <c r="I41" s="64"/>
      <c r="J41" s="64"/>
    </row>
    <row r="42" spans="1:10" ht="16.5" customHeight="1">
      <c r="A42" s="63"/>
      <c r="B42" s="64"/>
      <c r="C42" s="72">
        <f>集計!A71</f>
        <v>480</v>
      </c>
      <c r="D42" s="73"/>
      <c r="E42" s="156" t="str">
        <f>VLOOKUP(C42,科目設定,2,0)</f>
        <v>法人税、住民税及び事業税</v>
      </c>
      <c r="F42" s="21">
        <f>VLOOKUP(C42,科目設定,11,0)+SUMIF(項目,C42,親子残高)</f>
        <v>82000</v>
      </c>
      <c r="G42" s="6"/>
      <c r="H42" s="6"/>
      <c r="I42" s="64"/>
      <c r="J42" s="64"/>
    </row>
    <row r="43" spans="1:10" ht="16.5" customHeight="1">
      <c r="A43" s="63"/>
      <c r="B43" s="64"/>
      <c r="C43" s="72">
        <f>集計!A78</f>
        <v>490</v>
      </c>
      <c r="D43" s="23"/>
      <c r="E43" s="156" t="str">
        <f>VLOOKUP(C43,科目設定,2,0)</f>
        <v>当期純利益又は損失(-)</v>
      </c>
      <c r="F43" s="27"/>
      <c r="G43" s="157"/>
      <c r="H43" s="21">
        <f>H41-F42</f>
        <v>-82000</v>
      </c>
      <c r="I43" s="64"/>
      <c r="J43" s="64"/>
    </row>
    <row r="44" spans="1:10" ht="16.5" customHeight="1">
      <c r="A44" s="58">
        <f>IF(診断,-1,IF(AND(F44+集計!K78=集計!K80,G44=集計!K48),,-1))</f>
        <v>0</v>
      </c>
      <c r="B44" s="64"/>
      <c r="C44" s="72"/>
      <c r="D44" s="71"/>
      <c r="E44" s="71" t="s">
        <v>156</v>
      </c>
      <c r="F44" s="74">
        <f t="shared" ref="F44:G44" si="1">SUM(F31:F43)</f>
        <v>774571</v>
      </c>
      <c r="G44" s="158">
        <f t="shared" si="1"/>
        <v>692571</v>
      </c>
      <c r="H44" s="74"/>
      <c r="I44" s="64"/>
      <c r="J44" s="64"/>
    </row>
    <row r="45" spans="1:10" ht="16.5" customHeight="1">
      <c r="A45" s="63"/>
      <c r="B45" s="64"/>
      <c r="C45" s="166"/>
      <c r="D45" s="65"/>
      <c r="E45" s="64"/>
      <c r="F45" s="66"/>
      <c r="G45" s="66"/>
      <c r="H45" s="66"/>
      <c r="I45" s="64"/>
      <c r="J45" s="64"/>
    </row>
    <row r="46" spans="1:10" ht="16.5" customHeight="1">
      <c r="A46" s="63"/>
      <c r="B46" s="64"/>
      <c r="C46" s="166"/>
      <c r="D46" s="65"/>
      <c r="E46" s="64"/>
      <c r="F46" s="66"/>
      <c r="G46" s="66"/>
      <c r="H46" s="66"/>
      <c r="I46" s="64"/>
      <c r="J46" s="64"/>
    </row>
    <row r="47" spans="1:10" ht="16.5" customHeight="1">
      <c r="A47" s="58">
        <f>IF(診断,-1,IF(H24=G63,,-1))</f>
        <v>0</v>
      </c>
      <c r="B47" s="77" t="s">
        <v>157</v>
      </c>
      <c r="C47" s="154"/>
      <c r="D47" s="67"/>
      <c r="E47" s="59"/>
      <c r="F47" s="61"/>
      <c r="G47" s="61"/>
      <c r="H47" s="61"/>
      <c r="I47" s="59" t="str">
        <f t="shared" ref="I47:J47" si="2">I28</f>
        <v>自 2020年01月01日</v>
      </c>
      <c r="J47" s="59" t="str">
        <f t="shared" si="2"/>
        <v>至 2020年12月31日</v>
      </c>
    </row>
    <row r="48" spans="1:10" ht="16.5" customHeight="1">
      <c r="A48" s="63"/>
      <c r="B48" s="64"/>
      <c r="C48" s="166"/>
      <c r="D48" s="65"/>
      <c r="E48" s="64"/>
      <c r="F48" s="66"/>
      <c r="G48" s="66"/>
      <c r="H48" s="66"/>
      <c r="I48" s="64"/>
      <c r="J48" s="64"/>
    </row>
    <row r="49" spans="1:10" ht="16.5" customHeight="1">
      <c r="A49" s="68"/>
      <c r="B49" s="69"/>
      <c r="C49" s="87" t="s">
        <v>2</v>
      </c>
      <c r="D49" s="70"/>
      <c r="E49" s="70" t="s">
        <v>137</v>
      </c>
      <c r="F49" s="88" t="s">
        <v>158</v>
      </c>
      <c r="G49" s="88" t="s">
        <v>159</v>
      </c>
      <c r="H49" s="88" t="s">
        <v>160</v>
      </c>
      <c r="I49" s="69"/>
      <c r="J49" s="69"/>
    </row>
    <row r="50" spans="1:10" ht="16.5" customHeight="1">
      <c r="A50" s="63"/>
      <c r="B50" s="64"/>
      <c r="C50" s="72">
        <f>集計!A25</f>
        <v>200</v>
      </c>
      <c r="D50" s="73" t="s">
        <v>161</v>
      </c>
      <c r="E50" s="156" t="str">
        <f>VLOOKUP(C50,科目設定,2,0)</f>
        <v>資本金</v>
      </c>
      <c r="F50" s="21">
        <f>IF(ISERROR(MATCH(C50,期首残高,0)),0,INDEX(貸方,MATCH(C50,期首残高,0)))</f>
        <v>2000000</v>
      </c>
      <c r="G50" s="6"/>
      <c r="H50" s="6"/>
      <c r="I50" s="64"/>
      <c r="J50" s="64"/>
    </row>
    <row r="51" spans="1:10" ht="16.5" customHeight="1">
      <c r="A51" s="63"/>
      <c r="B51" s="64"/>
      <c r="C51" s="99"/>
      <c r="D51" s="23" t="s">
        <v>162</v>
      </c>
      <c r="E51" s="12" t="s">
        <v>163</v>
      </c>
      <c r="F51" s="27"/>
      <c r="G51" s="27"/>
      <c r="H51" s="21">
        <f>G52-F50</f>
        <v>0</v>
      </c>
      <c r="I51" s="64"/>
      <c r="J51" s="64"/>
    </row>
    <row r="52" spans="1:10" ht="16.5" customHeight="1">
      <c r="A52" s="63"/>
      <c r="B52" s="64"/>
      <c r="C52" s="72">
        <f>集計!A25</f>
        <v>200</v>
      </c>
      <c r="D52" s="73" t="s">
        <v>164</v>
      </c>
      <c r="E52" s="156" t="str">
        <f>VLOOKUP(C52,科目設定,2,0)</f>
        <v>資本金</v>
      </c>
      <c r="F52" s="6"/>
      <c r="G52" s="21">
        <f>VLOOKUP(C52,科目設定,10,0)</f>
        <v>2000000</v>
      </c>
      <c r="H52" s="6"/>
      <c r="I52" s="64"/>
      <c r="J52" s="64"/>
    </row>
    <row r="53" spans="1:10" ht="16.5" customHeight="1">
      <c r="A53" s="63"/>
      <c r="B53" s="64"/>
      <c r="C53" s="72">
        <f>集計!A26</f>
        <v>210</v>
      </c>
      <c r="D53" s="73"/>
      <c r="E53" s="156" t="str">
        <f>VLOOKUP(C53,科目設定,2,0)</f>
        <v>利益剰余金</v>
      </c>
      <c r="F53" s="21">
        <f>F54</f>
        <v>-1038600</v>
      </c>
      <c r="G53" s="21">
        <f>G56</f>
        <v>-1120600</v>
      </c>
      <c r="H53" s="21">
        <f>H55</f>
        <v>-82000</v>
      </c>
      <c r="I53" s="64"/>
      <c r="J53" s="64"/>
    </row>
    <row r="54" spans="1:10" ht="16.5" customHeight="1">
      <c r="A54" s="63"/>
      <c r="B54" s="64"/>
      <c r="C54" s="72">
        <f>集計!A27</f>
        <v>212</v>
      </c>
      <c r="D54" s="73" t="s">
        <v>161</v>
      </c>
      <c r="E54" s="129" t="str">
        <f>VLOOKUP(C54,科目設定,2,0)</f>
        <v>繰越利益剰余金</v>
      </c>
      <c r="F54" s="21">
        <f>IF(ISERROR(MATCH(C54,期首残高,0)),0,INDEX(貸方,MATCH(C54,期首残高,0)))</f>
        <v>-1038600</v>
      </c>
      <c r="G54" s="6"/>
      <c r="H54" s="6"/>
      <c r="I54" s="64"/>
      <c r="J54" s="64"/>
    </row>
    <row r="55" spans="1:10" ht="16.5" customHeight="1">
      <c r="A55" s="63"/>
      <c r="B55" s="64"/>
      <c r="C55" s="99"/>
      <c r="D55" s="23" t="s">
        <v>162</v>
      </c>
      <c r="E55" s="12" t="s">
        <v>165</v>
      </c>
      <c r="F55" s="27"/>
      <c r="G55" s="27"/>
      <c r="H55" s="21">
        <f>G56-F54</f>
        <v>-82000</v>
      </c>
      <c r="I55" s="64"/>
      <c r="J55" s="64"/>
    </row>
    <row r="56" spans="1:10" ht="16.5" customHeight="1">
      <c r="A56" s="63"/>
      <c r="B56" s="64"/>
      <c r="C56" s="72">
        <f>集計!A27</f>
        <v>212</v>
      </c>
      <c r="D56" s="73" t="s">
        <v>164</v>
      </c>
      <c r="E56" s="129" t="str">
        <f>VLOOKUP(C56,科目設定,2,0)</f>
        <v>繰越利益剰余金</v>
      </c>
      <c r="F56" s="6"/>
      <c r="G56" s="21">
        <f>VLOOKUP(C56,科目設定,10,0)</f>
        <v>-1120600</v>
      </c>
      <c r="H56" s="6"/>
      <c r="I56" s="64"/>
      <c r="J56" s="64"/>
    </row>
    <row r="57" spans="1:10" ht="16.5" customHeight="1">
      <c r="A57" s="63"/>
      <c r="B57" s="64"/>
      <c r="C57" s="72"/>
      <c r="D57" s="71"/>
      <c r="E57" s="71" t="s">
        <v>166</v>
      </c>
      <c r="F57" s="74">
        <f>F50+F54</f>
        <v>961400</v>
      </c>
      <c r="G57" s="74">
        <f>G52+G53</f>
        <v>879400</v>
      </c>
      <c r="H57" s="74">
        <f>G57-F57</f>
        <v>-82000</v>
      </c>
      <c r="I57" s="64"/>
      <c r="J57" s="64"/>
    </row>
    <row r="58" spans="1:10" ht="16.5" customHeight="1">
      <c r="A58" s="63"/>
      <c r="B58" s="64"/>
      <c r="C58" s="72">
        <f>集計!A28</f>
        <v>220</v>
      </c>
      <c r="D58" s="73"/>
      <c r="E58" s="156" t="str">
        <f>VLOOKUP(C58,科目設定,2,0)</f>
        <v>評価・換算差額等</v>
      </c>
      <c r="F58" s="21">
        <f>F59</f>
        <v>0</v>
      </c>
      <c r="G58" s="21">
        <f>G61</f>
        <v>0</v>
      </c>
      <c r="H58" s="21">
        <f>H60</f>
        <v>0</v>
      </c>
      <c r="I58" s="64"/>
      <c r="J58" s="64"/>
    </row>
    <row r="59" spans="1:10" ht="16.5" customHeight="1">
      <c r="A59" s="63"/>
      <c r="B59" s="64"/>
      <c r="C59" s="72">
        <f>集計!A29</f>
        <v>221</v>
      </c>
      <c r="D59" s="73" t="s">
        <v>161</v>
      </c>
      <c r="E59" s="129" t="str">
        <f>VLOOKUP(C59,科目設定,2,0)</f>
        <v>その他有価証券評価差額金</v>
      </c>
      <c r="F59" s="21">
        <f>IF(ISERROR(MATCH(C59,期首残高,0)),0,INDEX(貸方,MATCH(C59,期首残高,0)))</f>
        <v>0</v>
      </c>
      <c r="G59" s="6"/>
      <c r="H59" s="6"/>
      <c r="I59" s="64"/>
      <c r="J59" s="64"/>
    </row>
    <row r="60" spans="1:10" ht="16.5" customHeight="1">
      <c r="A60" s="63"/>
      <c r="B60" s="64"/>
      <c r="C60" s="99"/>
      <c r="D60" s="23" t="s">
        <v>162</v>
      </c>
      <c r="E60" s="12" t="s">
        <v>167</v>
      </c>
      <c r="F60" s="27"/>
      <c r="G60" s="27"/>
      <c r="H60" s="21">
        <f>G61-F59</f>
        <v>0</v>
      </c>
      <c r="I60" s="64"/>
      <c r="J60" s="64"/>
    </row>
    <row r="61" spans="1:10" ht="16.5" customHeight="1">
      <c r="A61" s="63"/>
      <c r="B61" s="64"/>
      <c r="C61" s="72">
        <f>集計!A29</f>
        <v>221</v>
      </c>
      <c r="D61" s="73" t="s">
        <v>164</v>
      </c>
      <c r="E61" s="129" t="str">
        <f>VLOOKUP(C61,科目設定,2,0)</f>
        <v>その他有価証券評価差額金</v>
      </c>
      <c r="F61" s="6"/>
      <c r="G61" s="21">
        <f>VLOOKUP(C61,科目設定,10,0)</f>
        <v>0</v>
      </c>
      <c r="H61" s="6"/>
      <c r="I61" s="64"/>
      <c r="J61" s="64"/>
    </row>
    <row r="62" spans="1:10" ht="16.5" customHeight="1">
      <c r="A62" s="63"/>
      <c r="B62" s="64"/>
      <c r="C62" s="72"/>
      <c r="D62" s="71"/>
      <c r="E62" s="71" t="s">
        <v>168</v>
      </c>
      <c r="F62" s="74">
        <f t="shared" ref="F62:H62" si="3">F58</f>
        <v>0</v>
      </c>
      <c r="G62" s="74">
        <f t="shared" si="3"/>
        <v>0</v>
      </c>
      <c r="H62" s="74">
        <f t="shared" si="3"/>
        <v>0</v>
      </c>
      <c r="I62" s="64"/>
      <c r="J62" s="64"/>
    </row>
    <row r="63" spans="1:10" ht="16.5" customHeight="1">
      <c r="A63" s="63"/>
      <c r="B63" s="64"/>
      <c r="C63" s="72"/>
      <c r="D63" s="71"/>
      <c r="E63" s="71" t="s">
        <v>146</v>
      </c>
      <c r="F63" s="74">
        <f t="shared" ref="F63:H63" si="4">F57+F62</f>
        <v>961400</v>
      </c>
      <c r="G63" s="74">
        <f t="shared" si="4"/>
        <v>879400</v>
      </c>
      <c r="H63" s="74">
        <f t="shared" si="4"/>
        <v>-82000</v>
      </c>
      <c r="I63" s="64"/>
      <c r="J63" s="64"/>
    </row>
    <row r="64" spans="1:10" ht="16.5" customHeight="1">
      <c r="A64" s="63"/>
      <c r="B64" s="64"/>
      <c r="C64" s="166"/>
      <c r="D64" s="65"/>
      <c r="E64" s="64"/>
      <c r="F64" s="66"/>
      <c r="G64" s="66"/>
      <c r="H64" s="66"/>
      <c r="I64" s="64"/>
      <c r="J64" s="64"/>
    </row>
    <row r="65" spans="1:10" ht="16.5" customHeight="1">
      <c r="A65" s="63"/>
      <c r="B65" s="64"/>
      <c r="C65" s="166"/>
      <c r="D65" s="65"/>
      <c r="E65" s="64"/>
      <c r="F65" s="66"/>
      <c r="G65" s="66"/>
      <c r="H65" s="66"/>
      <c r="I65" s="64"/>
      <c r="J65" s="64"/>
    </row>
    <row r="66" spans="1:10" ht="16.5" customHeight="1">
      <c r="A66" s="78"/>
      <c r="B66" s="79"/>
      <c r="C66" s="159"/>
      <c r="D66" s="80"/>
      <c r="E66" s="81"/>
      <c r="F66" s="82"/>
      <c r="G66" s="82"/>
      <c r="H66" s="82"/>
      <c r="I66" s="81"/>
      <c r="J66" s="81"/>
    </row>
    <row r="67" spans="1:10" ht="16.5" customHeight="1">
      <c r="A67" s="166"/>
      <c r="B67" s="166"/>
      <c r="C67" s="166"/>
      <c r="D67" s="166"/>
      <c r="E67" s="166"/>
      <c r="F67" s="166"/>
      <c r="G67" s="166"/>
      <c r="H67" s="166"/>
      <c r="I67" s="166"/>
      <c r="J67" s="166"/>
    </row>
  </sheetData>
  <conditionalFormatting sqref="A28">
    <cfRule type="cellIs" dxfId="2" priority="1" operator="equal">
      <formula>-1</formula>
    </cfRule>
  </conditionalFormatting>
  <conditionalFormatting sqref="A1 A4 A14 A25 A44 A47">
    <cfRule type="cellIs" dxfId="1" priority="2" operator="equal">
      <formula>-1</formula>
    </cfRule>
  </conditionalFormatting>
  <printOptions horizontalCentered="1" gridLines="1"/>
  <pageMargins left="0.7" right="0.7" top="0.75" bottom="0.75" header="0" footer="0"/>
  <pageSetup paperSize="9" fitToHeight="0" pageOrder="overThenDown"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4"/>
  <sheetViews>
    <sheetView workbookViewId="0">
      <pane ySplit="9" topLeftCell="A10" activePane="bottomLeft" state="frozen"/>
      <selection pane="bottomLeft"/>
    </sheetView>
  </sheetViews>
  <sheetFormatPr defaultColWidth="14.42578125" defaultRowHeight="16.5" customHeight="1"/>
  <cols>
    <col min="1" max="1" width="7" style="84" customWidth="1"/>
    <col min="2" max="2" width="24.140625" style="84" customWidth="1"/>
    <col min="3" max="15" width="12.140625" style="84" customWidth="1"/>
    <col min="16" max="16384" width="14.42578125" style="84"/>
  </cols>
  <sheetData>
    <row r="1" spans="1:15" ht="16.5" customHeight="1">
      <c r="A1" s="45" t="s">
        <v>169</v>
      </c>
      <c r="B1" s="46" t="s">
        <v>170</v>
      </c>
      <c r="C1" s="197"/>
      <c r="D1" s="198"/>
      <c r="E1" s="198"/>
      <c r="F1" s="198"/>
      <c r="G1" s="198"/>
      <c r="H1" s="198"/>
      <c r="I1" s="198"/>
      <c r="J1" s="198"/>
      <c r="K1" s="198"/>
      <c r="L1" s="198"/>
      <c r="M1" s="198"/>
      <c r="N1" s="198"/>
      <c r="O1" s="47" t="s">
        <v>171</v>
      </c>
    </row>
    <row r="2" spans="1:15" ht="16.5" customHeight="1">
      <c r="A2" s="4">
        <v>3</v>
      </c>
      <c r="B2" s="48" t="str">
        <f>IF(ISBLANK(A2),"解析方法",CHOOSE(A2,"借方合計","貸方合計","借方合計−貸方合計","借方合計+貸方合計"))</f>
        <v>借方合計−貸方合計</v>
      </c>
      <c r="C2" s="197" t="s">
        <v>172</v>
      </c>
      <c r="D2" s="198"/>
      <c r="E2" s="198"/>
      <c r="F2" s="198"/>
      <c r="G2" s="198"/>
      <c r="H2" s="198"/>
      <c r="I2" s="198"/>
      <c r="J2" s="198"/>
      <c r="K2" s="198"/>
      <c r="L2" s="198"/>
      <c r="M2" s="198"/>
      <c r="N2" s="198"/>
      <c r="O2" s="49"/>
    </row>
    <row r="3" spans="1:15" ht="16.5" customHeight="1">
      <c r="A3" s="4"/>
      <c r="B3" s="48" t="s">
        <v>173</v>
      </c>
      <c r="C3" s="199" t="s">
        <v>174</v>
      </c>
      <c r="D3" s="198"/>
      <c r="E3" s="198"/>
      <c r="F3" s="198"/>
      <c r="G3" s="198"/>
      <c r="H3" s="198"/>
      <c r="I3" s="198"/>
      <c r="J3" s="198"/>
      <c r="K3" s="198"/>
      <c r="L3" s="198"/>
      <c r="M3" s="198"/>
      <c r="N3" s="198"/>
      <c r="O3" s="50"/>
    </row>
    <row r="4" spans="1:15" ht="16.5" customHeight="1">
      <c r="A4" s="4"/>
      <c r="B4" s="48" t="s">
        <v>175</v>
      </c>
      <c r="C4" s="199" t="s">
        <v>176</v>
      </c>
      <c r="D4" s="198"/>
      <c r="E4" s="198"/>
      <c r="F4" s="198"/>
      <c r="G4" s="198"/>
      <c r="H4" s="198"/>
      <c r="I4" s="198"/>
      <c r="J4" s="198"/>
      <c r="K4" s="198"/>
      <c r="L4" s="198"/>
      <c r="M4" s="198"/>
      <c r="N4" s="198"/>
      <c r="O4" s="50"/>
    </row>
    <row r="5" spans="1:15" ht="16.5" customHeight="1">
      <c r="A5" s="4"/>
      <c r="B5" s="48" t="s">
        <v>177</v>
      </c>
      <c r="C5" s="199" t="s">
        <v>178</v>
      </c>
      <c r="D5" s="198"/>
      <c r="E5" s="198"/>
      <c r="F5" s="198"/>
      <c r="G5" s="198"/>
      <c r="H5" s="198"/>
      <c r="I5" s="198"/>
      <c r="J5" s="198"/>
      <c r="K5" s="198"/>
      <c r="L5" s="198"/>
      <c r="M5" s="198"/>
      <c r="N5" s="198"/>
      <c r="O5" s="50"/>
    </row>
    <row r="6" spans="1:15" ht="16.5" customHeight="1">
      <c r="A6" s="160"/>
      <c r="B6" s="48" t="s">
        <v>179</v>
      </c>
      <c r="C6" s="51">
        <f>MIN(日付)+A3</f>
        <v>43831</v>
      </c>
      <c r="D6" s="51">
        <f>EDATE(C6,1)</f>
        <v>43862</v>
      </c>
      <c r="E6" s="51">
        <f>EDATE(C6,2)</f>
        <v>43891</v>
      </c>
      <c r="F6" s="51">
        <f>EDATE(C6,3)</f>
        <v>43922</v>
      </c>
      <c r="G6" s="51">
        <f>EDATE(C6,4)</f>
        <v>43952</v>
      </c>
      <c r="H6" s="51">
        <f>EDATE(C6,5)</f>
        <v>43983</v>
      </c>
      <c r="I6" s="51">
        <f>EDATE(C6,6)</f>
        <v>44013</v>
      </c>
      <c r="J6" s="51">
        <f>EDATE(C6,7)</f>
        <v>44044</v>
      </c>
      <c r="K6" s="51">
        <f>EDATE(C6,8)</f>
        <v>44075</v>
      </c>
      <c r="L6" s="51">
        <f>EDATE(C6,9)</f>
        <v>44105</v>
      </c>
      <c r="M6" s="51">
        <f>EDATE(C6,10)</f>
        <v>44136</v>
      </c>
      <c r="N6" s="51">
        <f>EDATE(C6,11)</f>
        <v>44166</v>
      </c>
      <c r="O6" s="52">
        <f>EDATE(C6,12)</f>
        <v>44197</v>
      </c>
    </row>
    <row r="7" spans="1:15" ht="16.5" customHeight="1">
      <c r="A7" s="160"/>
      <c r="B7" s="48" t="s">
        <v>180</v>
      </c>
      <c r="C7" s="51">
        <f t="shared" ref="C7:N7" si="0">D6-1</f>
        <v>43861</v>
      </c>
      <c r="D7" s="51">
        <f t="shared" si="0"/>
        <v>43890</v>
      </c>
      <c r="E7" s="51">
        <f t="shared" si="0"/>
        <v>43921</v>
      </c>
      <c r="F7" s="51">
        <f t="shared" si="0"/>
        <v>43951</v>
      </c>
      <c r="G7" s="51">
        <f t="shared" si="0"/>
        <v>43982</v>
      </c>
      <c r="H7" s="51">
        <f t="shared" si="0"/>
        <v>44012</v>
      </c>
      <c r="I7" s="51">
        <f t="shared" si="0"/>
        <v>44043</v>
      </c>
      <c r="J7" s="51">
        <f t="shared" si="0"/>
        <v>44074</v>
      </c>
      <c r="K7" s="51">
        <f t="shared" si="0"/>
        <v>44104</v>
      </c>
      <c r="L7" s="51">
        <f t="shared" si="0"/>
        <v>44135</v>
      </c>
      <c r="M7" s="51">
        <f t="shared" si="0"/>
        <v>44165</v>
      </c>
      <c r="N7" s="51">
        <f t="shared" si="0"/>
        <v>44196</v>
      </c>
      <c r="O7" s="53"/>
    </row>
    <row r="8" spans="1:15" ht="16.5" customHeight="1">
      <c r="A8" s="160" t="s">
        <v>181</v>
      </c>
      <c r="B8" s="161" t="s">
        <v>182</v>
      </c>
      <c r="C8" s="16" t="str">
        <f>IF(OR(ISBLANK($A$2),$A$4&gt;=1,$A$5&gt;=12),"","第1月")</f>
        <v>第1月</v>
      </c>
      <c r="D8" s="16" t="str">
        <f>IF(OR(ISBLANK($A$2),$A$4&gt;=2,$A$5&gt;=11),"","第2月")</f>
        <v>第2月</v>
      </c>
      <c r="E8" s="16" t="str">
        <f>IF(OR(ISBLANK($A$2),$A$4&gt;=3,$A$5&gt;=10),"","第3月")</f>
        <v>第3月</v>
      </c>
      <c r="F8" s="16" t="str">
        <f>IF(OR(ISBLANK($A$2),$A$4&gt;=4,$A$5&gt;=9),"","第4月")</f>
        <v>第4月</v>
      </c>
      <c r="G8" s="16" t="str">
        <f>IF(OR(ISBLANK($A$2),$A$4&gt;=5,$A$5&gt;=8),"","第5月")</f>
        <v>第5月</v>
      </c>
      <c r="H8" s="16" t="str">
        <f>IF(OR(ISBLANK($A$2),$A$4&gt;=6,$A$5&gt;=7),"","第6月")</f>
        <v>第6月</v>
      </c>
      <c r="I8" s="16" t="str">
        <f>IF(OR(ISBLANK($A$2),$A$4&gt;=7,$A$5&gt;=6),"","第7月")</f>
        <v>第7月</v>
      </c>
      <c r="J8" s="16" t="str">
        <f>IF(OR(ISBLANK($A$2),$A$4&gt;=8,$A$5&gt;=5),"","第8月")</f>
        <v>第8月</v>
      </c>
      <c r="K8" s="16" t="str">
        <f>IF(OR(ISBLANK($A$2),$A$4&gt;=9,$A$5&gt;=4),"","第9月")</f>
        <v>第9月</v>
      </c>
      <c r="L8" s="16" t="str">
        <f>IF(OR(ISBLANK($A$2),$A$4&gt;=10,$A$5&gt;=3),"","第10月")</f>
        <v>第10月</v>
      </c>
      <c r="M8" s="16" t="str">
        <f>IF(OR(ISBLANK($A$2),$A$4&gt;=11,$A$5&gt;=2),"","第11月")</f>
        <v>第11月</v>
      </c>
      <c r="N8" s="16" t="str">
        <f>IF(OR(ISBLANK($A$2),$A$4&gt;=12,$A$5&gt;=1),"","第12月")</f>
        <v>第12月</v>
      </c>
      <c r="O8" s="71" t="s">
        <v>18</v>
      </c>
    </row>
    <row r="9" spans="1:15" ht="16.5" hidden="1" customHeight="1">
      <c r="A9" s="2"/>
      <c r="B9" s="54"/>
      <c r="C9" s="2"/>
      <c r="D9" s="2"/>
      <c r="E9" s="2"/>
      <c r="F9" s="2"/>
      <c r="G9" s="2"/>
      <c r="H9" s="2"/>
      <c r="I9" s="2"/>
      <c r="J9" s="2"/>
      <c r="K9" s="2"/>
      <c r="L9" s="2"/>
      <c r="M9" s="2"/>
      <c r="N9" s="2"/>
      <c r="O9" s="2"/>
    </row>
    <row r="10" spans="1:15" ht="16.5" customHeight="1">
      <c r="A10" s="5">
        <v>421.1</v>
      </c>
      <c r="B10" s="55" t="str">
        <f>IF(ISBLANK(A10),"",VLOOKUP(A10,科目設定,2,0))</f>
        <v>役員報酬 1</v>
      </c>
      <c r="C10" s="56">
        <f>IF(OR(ISBLANK($A$2),C$8="",ISBLANK($A10)),"",CHOOSE($A$2,SUMIFS(借方,日付,"&gt;="&amp;C$6,日付,"&lt;="&amp;C$7,科目,$A10),SUMIFS(貸方,日付,"&gt;="&amp;C$6,日付,"&lt;="&amp;C$7,科目,$A10),SUMIFS(借方,日付,"&gt;="&amp;C$6,日付,"&lt;="&amp;C$7,科目,$A10)-SUMIFS(貸方,日付,"&gt;="&amp;C$6,日付,"&lt;="&amp;C$7,科目,$A10),SUMIFS(借方,日付,"&gt;="&amp;C$6,日付,"&lt;="&amp;C$7,科目,$A10)+SUMIFS(貸方,日付,"&gt;="&amp;C$6,日付,"&lt;="&amp;C$7,科目,$A10)))</f>
        <v>45900</v>
      </c>
      <c r="D10" s="56">
        <f>IF(OR(ISBLANK($A$2),D$8="",ISBLANK($A10)),"",CHOOSE($A$2,SUMIFS(借方,日付,"&gt;="&amp;D$6,日付,"&lt;="&amp;D$7,科目,$A10),SUMIFS(貸方,日付,"&gt;="&amp;D$6,日付,"&lt;="&amp;D$7,科目,$A10),SUMIFS(借方,日付,"&gt;="&amp;D$6,日付,"&lt;="&amp;D$7,科目,$A10)-SUMIFS(貸方,日付,"&gt;="&amp;D$6,日付,"&lt;="&amp;D$7,科目,$A10),SUMIFS(借方,日付,"&gt;="&amp;D$6,日付,"&lt;="&amp;D$7,科目,$A10)+SUMIFS(貸方,日付,"&gt;="&amp;D$6,日付,"&lt;="&amp;D$7,科目,$A10)))</f>
        <v>45900</v>
      </c>
      <c r="E10" s="56">
        <f>IF(OR(ISBLANK($A$2),E$8="",ISBLANK($A10)),"",CHOOSE($A$2,SUMIFS(借方,日付,"&gt;="&amp;E$6,日付,"&lt;="&amp;E$7,科目,$A10),SUMIFS(貸方,日付,"&gt;="&amp;E$6,日付,"&lt;="&amp;E$7,科目,$A10),SUMIFS(借方,日付,"&gt;="&amp;E$6,日付,"&lt;="&amp;E$7,科目,$A10)-SUMIFS(貸方,日付,"&gt;="&amp;E$6,日付,"&lt;="&amp;E$7,科目,$A10),SUMIFS(借方,日付,"&gt;="&amp;E$6,日付,"&lt;="&amp;E$7,科目,$A10)+SUMIFS(貸方,日付,"&gt;="&amp;E$6,日付,"&lt;="&amp;E$7,科目,$A10)))</f>
        <v>45900</v>
      </c>
      <c r="F10" s="56">
        <f>IF(OR(ISBLANK($A$2),F$8="",ISBLANK($A10)),"",CHOOSE($A$2,SUMIFS(借方,日付,"&gt;="&amp;F$6,日付,"&lt;="&amp;F$7,科目,$A10),SUMIFS(貸方,日付,"&gt;="&amp;F$6,日付,"&lt;="&amp;F$7,科目,$A10),SUMIFS(借方,日付,"&gt;="&amp;F$6,日付,"&lt;="&amp;F$7,科目,$A10)-SUMIFS(貸方,日付,"&gt;="&amp;F$6,日付,"&lt;="&amp;F$7,科目,$A10),SUMIFS(借方,日付,"&gt;="&amp;F$6,日付,"&lt;="&amp;F$7,科目,$A10)+SUMIFS(貸方,日付,"&gt;="&amp;F$6,日付,"&lt;="&amp;F$7,科目,$A10)))</f>
        <v>45900</v>
      </c>
      <c r="G10" s="56">
        <f>IF(OR(ISBLANK($A$2),G$8="",ISBLANK($A10)),"",CHOOSE($A$2,SUMIFS(借方,日付,"&gt;="&amp;G$6,日付,"&lt;="&amp;G$7,科目,$A10),SUMIFS(貸方,日付,"&gt;="&amp;G$6,日付,"&lt;="&amp;G$7,科目,$A10),SUMIFS(借方,日付,"&gt;="&amp;G$6,日付,"&lt;="&amp;G$7,科目,$A10)-SUMIFS(貸方,日付,"&gt;="&amp;G$6,日付,"&lt;="&amp;G$7,科目,$A10),SUMIFS(借方,日付,"&gt;="&amp;G$6,日付,"&lt;="&amp;G$7,科目,$A10)+SUMIFS(貸方,日付,"&gt;="&amp;G$6,日付,"&lt;="&amp;G$7,科目,$A10)))</f>
        <v>45900</v>
      </c>
      <c r="H10" s="56">
        <f>IF(OR(ISBLANK($A$2),H$8="",ISBLANK($A10)),"",CHOOSE($A$2,SUMIFS(借方,日付,"&gt;="&amp;H$6,日付,"&lt;="&amp;H$7,科目,$A10),SUMIFS(貸方,日付,"&gt;="&amp;H$6,日付,"&lt;="&amp;H$7,科目,$A10),SUMIFS(借方,日付,"&gt;="&amp;H$6,日付,"&lt;="&amp;H$7,科目,$A10)-SUMIFS(貸方,日付,"&gt;="&amp;H$6,日付,"&lt;="&amp;H$7,科目,$A10),SUMIFS(借方,日付,"&gt;="&amp;H$6,日付,"&lt;="&amp;H$7,科目,$A10)+SUMIFS(貸方,日付,"&gt;="&amp;H$6,日付,"&lt;="&amp;H$7,科目,$A10)))</f>
        <v>45900</v>
      </c>
      <c r="I10" s="56">
        <f>IF(OR(ISBLANK($A$2),I$8="",ISBLANK($A10)),"",CHOOSE($A$2,SUMIFS(借方,日付,"&gt;="&amp;I$6,日付,"&lt;="&amp;I$7,科目,$A10),SUMIFS(貸方,日付,"&gt;="&amp;I$6,日付,"&lt;="&amp;I$7,科目,$A10),SUMIFS(借方,日付,"&gt;="&amp;I$6,日付,"&lt;="&amp;I$7,科目,$A10)-SUMIFS(貸方,日付,"&gt;="&amp;I$6,日付,"&lt;="&amp;I$7,科目,$A10),SUMIFS(借方,日付,"&gt;="&amp;I$6,日付,"&lt;="&amp;I$7,科目,$A10)+SUMIFS(貸方,日付,"&gt;="&amp;I$6,日付,"&lt;="&amp;I$7,科目,$A10)))</f>
        <v>45900</v>
      </c>
      <c r="J10" s="56">
        <f>IF(OR(ISBLANK($A$2),J$8="",ISBLANK($A10)),"",CHOOSE($A$2,SUMIFS(借方,日付,"&gt;="&amp;J$6,日付,"&lt;="&amp;J$7,科目,$A10),SUMIFS(貸方,日付,"&gt;="&amp;J$6,日付,"&lt;="&amp;J$7,科目,$A10),SUMIFS(借方,日付,"&gt;="&amp;J$6,日付,"&lt;="&amp;J$7,科目,$A10)-SUMIFS(貸方,日付,"&gt;="&amp;J$6,日付,"&lt;="&amp;J$7,科目,$A10),SUMIFS(借方,日付,"&gt;="&amp;J$6,日付,"&lt;="&amp;J$7,科目,$A10)+SUMIFS(貸方,日付,"&gt;="&amp;J$6,日付,"&lt;="&amp;J$7,科目,$A10)))</f>
        <v>45900</v>
      </c>
      <c r="K10" s="56">
        <f>IF(OR(ISBLANK($A$2),K$8="",ISBLANK($A10)),"",CHOOSE($A$2,SUMIFS(借方,日付,"&gt;="&amp;K$6,日付,"&lt;="&amp;K$7,科目,$A10),SUMIFS(貸方,日付,"&gt;="&amp;K$6,日付,"&lt;="&amp;K$7,科目,$A10),SUMIFS(借方,日付,"&gt;="&amp;K$6,日付,"&lt;="&amp;K$7,科目,$A10)-SUMIFS(貸方,日付,"&gt;="&amp;K$6,日付,"&lt;="&amp;K$7,科目,$A10),SUMIFS(借方,日付,"&gt;="&amp;K$6,日付,"&lt;="&amp;K$7,科目,$A10)+SUMIFS(貸方,日付,"&gt;="&amp;K$6,日付,"&lt;="&amp;K$7,科目,$A10)))</f>
        <v>45900</v>
      </c>
      <c r="L10" s="56">
        <f>IF(OR(ISBLANK($A$2),L$8="",ISBLANK($A10)),"",CHOOSE($A$2,SUMIFS(借方,日付,"&gt;="&amp;L$6,日付,"&lt;="&amp;L$7,科目,$A10),SUMIFS(貸方,日付,"&gt;="&amp;L$6,日付,"&lt;="&amp;L$7,科目,$A10),SUMIFS(借方,日付,"&gt;="&amp;L$6,日付,"&lt;="&amp;L$7,科目,$A10)-SUMIFS(貸方,日付,"&gt;="&amp;L$6,日付,"&lt;="&amp;L$7,科目,$A10),SUMIFS(借方,日付,"&gt;="&amp;L$6,日付,"&lt;="&amp;L$7,科目,$A10)+SUMIFS(貸方,日付,"&gt;="&amp;L$6,日付,"&lt;="&amp;L$7,科目,$A10)))</f>
        <v>45900</v>
      </c>
      <c r="M10" s="56">
        <f>IF(OR(ISBLANK($A$2),M$8="",ISBLANK($A10)),"",CHOOSE($A$2,SUMIFS(借方,日付,"&gt;="&amp;M$6,日付,"&lt;="&amp;M$7,科目,$A10),SUMIFS(貸方,日付,"&gt;="&amp;M$6,日付,"&lt;="&amp;M$7,科目,$A10),SUMIFS(借方,日付,"&gt;="&amp;M$6,日付,"&lt;="&amp;M$7,科目,$A10)-SUMIFS(貸方,日付,"&gt;="&amp;M$6,日付,"&lt;="&amp;M$7,科目,$A10),SUMIFS(借方,日付,"&gt;="&amp;M$6,日付,"&lt;="&amp;M$7,科目,$A10)+SUMIFS(貸方,日付,"&gt;="&amp;M$6,日付,"&lt;="&amp;M$7,科目,$A10)))</f>
        <v>45900</v>
      </c>
      <c r="N10" s="56">
        <f>IF(OR(ISBLANK($A$2),N$8="",ISBLANK($A10)),"",CHOOSE($A$2,SUMIFS(借方,日付,"&gt;="&amp;N$6,日付,"&lt;="&amp;N$7,科目,$A10),SUMIFS(貸方,日付,"&gt;="&amp;N$6,日付,"&lt;="&amp;N$7,科目,$A10),SUMIFS(借方,日付,"&gt;="&amp;N$6,日付,"&lt;="&amp;N$7,科目,$A10)-SUMIFS(貸方,日付,"&gt;="&amp;N$6,日付,"&lt;="&amp;N$7,科目,$A10),SUMIFS(借方,日付,"&gt;="&amp;N$6,日付,"&lt;="&amp;N$7,科目,$A10)+SUMIFS(貸方,日付,"&gt;="&amp;N$6,日付,"&lt;="&amp;N$7,科目,$A10)))</f>
        <v>45900</v>
      </c>
      <c r="O10" s="56">
        <f t="shared" ref="O10:O12" si="1">IF(OR(ISBLANK(A$2),ISBLANK(A10)),"",SUM(C10:N10))</f>
        <v>550800</v>
      </c>
    </row>
    <row r="11" spans="1:15" ht="16.5" customHeight="1">
      <c r="A11" s="5">
        <v>105.1</v>
      </c>
      <c r="B11" s="55" t="str">
        <f>IF(ISBLANK(A11),"",VLOOKUP(A11,科目設定,2,0))</f>
        <v>社保預り金 1</v>
      </c>
      <c r="C11" s="56">
        <f>IF(OR(ISBLANK($A$2),C$8="",ISBLANK($A11)),"",CHOOSE($A$2,SUMIFS(借方,日付,"&gt;="&amp;C$6,日付,"&lt;="&amp;C$7,科目,$A11),SUMIFS(貸方,日付,"&gt;="&amp;C$6,日付,"&lt;="&amp;C$7,科目,$A11),SUMIFS(借方,日付,"&gt;="&amp;C$6,日付,"&lt;="&amp;C$7,科目,$A11)-SUMIFS(貸方,日付,"&gt;="&amp;C$6,日付,"&lt;="&amp;C$7,科目,$A11),SUMIFS(借方,日付,"&gt;="&amp;C$6,日付,"&lt;="&amp;C$7,科目,$A11)+SUMIFS(貸方,日付,"&gt;="&amp;C$6,日付,"&lt;="&amp;C$7,科目,$A11)))</f>
        <v>-11494</v>
      </c>
      <c r="D11" s="56">
        <f>IF(OR(ISBLANK($A$2),D$8="",ISBLANK($A11)),"",CHOOSE($A$2,SUMIFS(借方,日付,"&gt;="&amp;D$6,日付,"&lt;="&amp;D$7,科目,$A11),SUMIFS(貸方,日付,"&gt;="&amp;D$6,日付,"&lt;="&amp;D$7,科目,$A11),SUMIFS(借方,日付,"&gt;="&amp;D$6,日付,"&lt;="&amp;D$7,科目,$A11)-SUMIFS(貸方,日付,"&gt;="&amp;D$6,日付,"&lt;="&amp;D$7,科目,$A11),SUMIFS(借方,日付,"&gt;="&amp;D$6,日付,"&lt;="&amp;D$7,科目,$A11)+SUMIFS(貸方,日付,"&gt;="&amp;D$6,日付,"&lt;="&amp;D$7,科目,$A11)))</f>
        <v>-11494</v>
      </c>
      <c r="E11" s="56">
        <f>IF(OR(ISBLANK($A$2),E$8="",ISBLANK($A11)),"",CHOOSE($A$2,SUMIFS(借方,日付,"&gt;="&amp;E$6,日付,"&lt;="&amp;E$7,科目,$A11),SUMIFS(貸方,日付,"&gt;="&amp;E$6,日付,"&lt;="&amp;E$7,科目,$A11),SUMIFS(借方,日付,"&gt;="&amp;E$6,日付,"&lt;="&amp;E$7,科目,$A11)-SUMIFS(貸方,日付,"&gt;="&amp;E$6,日付,"&lt;="&amp;E$7,科目,$A11),SUMIFS(借方,日付,"&gt;="&amp;E$6,日付,"&lt;="&amp;E$7,科目,$A11)+SUMIFS(貸方,日付,"&gt;="&amp;E$6,日付,"&lt;="&amp;E$7,科目,$A11)))</f>
        <v>-11494</v>
      </c>
      <c r="F11" s="56">
        <f>IF(OR(ISBLANK($A$2),F$8="",ISBLANK($A11)),"",CHOOSE($A$2,SUMIFS(借方,日付,"&gt;="&amp;F$6,日付,"&lt;="&amp;F$7,科目,$A11),SUMIFS(貸方,日付,"&gt;="&amp;F$6,日付,"&lt;="&amp;F$7,科目,$A11),SUMIFS(借方,日付,"&gt;="&amp;F$6,日付,"&lt;="&amp;F$7,科目,$A11)-SUMIFS(貸方,日付,"&gt;="&amp;F$6,日付,"&lt;="&amp;F$7,科目,$A11),SUMIFS(借方,日付,"&gt;="&amp;F$6,日付,"&lt;="&amp;F$7,科目,$A11)+SUMIFS(貸方,日付,"&gt;="&amp;F$6,日付,"&lt;="&amp;F$7,科目,$A11)))</f>
        <v>-11512</v>
      </c>
      <c r="G11" s="56">
        <f>IF(OR(ISBLANK($A$2),G$8="",ISBLANK($A11)),"",CHOOSE($A$2,SUMIFS(借方,日付,"&gt;="&amp;G$6,日付,"&lt;="&amp;G$7,科目,$A11),SUMIFS(貸方,日付,"&gt;="&amp;G$6,日付,"&lt;="&amp;G$7,科目,$A11),SUMIFS(借方,日付,"&gt;="&amp;G$6,日付,"&lt;="&amp;G$7,科目,$A11)-SUMIFS(貸方,日付,"&gt;="&amp;G$6,日付,"&lt;="&amp;G$7,科目,$A11),SUMIFS(借方,日付,"&gt;="&amp;G$6,日付,"&lt;="&amp;G$7,科目,$A11)+SUMIFS(貸方,日付,"&gt;="&amp;G$6,日付,"&lt;="&amp;G$7,科目,$A11)))</f>
        <v>-11512</v>
      </c>
      <c r="H11" s="56">
        <f>IF(OR(ISBLANK($A$2),H$8="",ISBLANK($A11)),"",CHOOSE($A$2,SUMIFS(借方,日付,"&gt;="&amp;H$6,日付,"&lt;="&amp;H$7,科目,$A11),SUMIFS(貸方,日付,"&gt;="&amp;H$6,日付,"&lt;="&amp;H$7,科目,$A11),SUMIFS(借方,日付,"&gt;="&amp;H$6,日付,"&lt;="&amp;H$7,科目,$A11)-SUMIFS(貸方,日付,"&gt;="&amp;H$6,日付,"&lt;="&amp;H$7,科目,$A11),SUMIFS(借方,日付,"&gt;="&amp;H$6,日付,"&lt;="&amp;H$7,科目,$A11)+SUMIFS(貸方,日付,"&gt;="&amp;H$6,日付,"&lt;="&amp;H$7,科目,$A11)))</f>
        <v>-11512</v>
      </c>
      <c r="I11" s="56">
        <f>IF(OR(ISBLANK($A$2),I$8="",ISBLANK($A11)),"",CHOOSE($A$2,SUMIFS(借方,日付,"&gt;="&amp;I$6,日付,"&lt;="&amp;I$7,科目,$A11),SUMIFS(貸方,日付,"&gt;="&amp;I$6,日付,"&lt;="&amp;I$7,科目,$A11),SUMIFS(借方,日付,"&gt;="&amp;I$6,日付,"&lt;="&amp;I$7,科目,$A11)-SUMIFS(貸方,日付,"&gt;="&amp;I$6,日付,"&lt;="&amp;I$7,科目,$A11),SUMIFS(借方,日付,"&gt;="&amp;I$6,日付,"&lt;="&amp;I$7,科目,$A11)+SUMIFS(貸方,日付,"&gt;="&amp;I$6,日付,"&lt;="&amp;I$7,科目,$A11)))</f>
        <v>-11512</v>
      </c>
      <c r="J11" s="56">
        <f>IF(OR(ISBLANK($A$2),J$8="",ISBLANK($A11)),"",CHOOSE($A$2,SUMIFS(借方,日付,"&gt;="&amp;J$6,日付,"&lt;="&amp;J$7,科目,$A11),SUMIFS(貸方,日付,"&gt;="&amp;J$6,日付,"&lt;="&amp;J$7,科目,$A11),SUMIFS(借方,日付,"&gt;="&amp;J$6,日付,"&lt;="&amp;J$7,科目,$A11)-SUMIFS(貸方,日付,"&gt;="&amp;J$6,日付,"&lt;="&amp;J$7,科目,$A11),SUMIFS(借方,日付,"&gt;="&amp;J$6,日付,"&lt;="&amp;J$7,科目,$A11)+SUMIFS(貸方,日付,"&gt;="&amp;J$6,日付,"&lt;="&amp;J$7,科目,$A11)))</f>
        <v>-11512</v>
      </c>
      <c r="K11" s="56">
        <f>IF(OR(ISBLANK($A$2),K$8="",ISBLANK($A11)),"",CHOOSE($A$2,SUMIFS(借方,日付,"&gt;="&amp;K$6,日付,"&lt;="&amp;K$7,科目,$A11),SUMIFS(貸方,日付,"&gt;="&amp;K$6,日付,"&lt;="&amp;K$7,科目,$A11),SUMIFS(借方,日付,"&gt;="&amp;K$6,日付,"&lt;="&amp;K$7,科目,$A11)-SUMIFS(貸方,日付,"&gt;="&amp;K$6,日付,"&lt;="&amp;K$7,科目,$A11),SUMIFS(借方,日付,"&gt;="&amp;K$6,日付,"&lt;="&amp;K$7,科目,$A11)+SUMIFS(貸方,日付,"&gt;="&amp;K$6,日付,"&lt;="&amp;K$7,科目,$A11)))</f>
        <v>-11512</v>
      </c>
      <c r="L11" s="56">
        <f>IF(OR(ISBLANK($A$2),L$8="",ISBLANK($A11)),"",CHOOSE($A$2,SUMIFS(借方,日付,"&gt;="&amp;L$6,日付,"&lt;="&amp;L$7,科目,$A11),SUMIFS(貸方,日付,"&gt;="&amp;L$6,日付,"&lt;="&amp;L$7,科目,$A11),SUMIFS(借方,日付,"&gt;="&amp;L$6,日付,"&lt;="&amp;L$7,科目,$A11)-SUMIFS(貸方,日付,"&gt;="&amp;L$6,日付,"&lt;="&amp;L$7,科目,$A11),SUMIFS(借方,日付,"&gt;="&amp;L$6,日付,"&lt;="&amp;L$7,科目,$A11)+SUMIFS(貸方,日付,"&gt;="&amp;L$6,日付,"&lt;="&amp;L$7,科目,$A11)))</f>
        <v>-11512</v>
      </c>
      <c r="M11" s="56">
        <f>IF(OR(ISBLANK($A$2),M$8="",ISBLANK($A11)),"",CHOOSE($A$2,SUMIFS(借方,日付,"&gt;="&amp;M$6,日付,"&lt;="&amp;M$7,科目,$A11),SUMIFS(貸方,日付,"&gt;="&amp;M$6,日付,"&lt;="&amp;M$7,科目,$A11),SUMIFS(借方,日付,"&gt;="&amp;M$6,日付,"&lt;="&amp;M$7,科目,$A11)-SUMIFS(貸方,日付,"&gt;="&amp;M$6,日付,"&lt;="&amp;M$7,科目,$A11),SUMIFS(借方,日付,"&gt;="&amp;M$6,日付,"&lt;="&amp;M$7,科目,$A11)+SUMIFS(貸方,日付,"&gt;="&amp;M$6,日付,"&lt;="&amp;M$7,科目,$A11)))</f>
        <v>-11512</v>
      </c>
      <c r="N11" s="56">
        <f>IF(OR(ISBLANK($A$2),N$8="",ISBLANK($A11)),"",CHOOSE($A$2,SUMIFS(借方,日付,"&gt;="&amp;N$6,日付,"&lt;="&amp;N$7,科目,$A11),SUMIFS(貸方,日付,"&gt;="&amp;N$6,日付,"&lt;="&amp;N$7,科目,$A11),SUMIFS(借方,日付,"&gt;="&amp;N$6,日付,"&lt;="&amp;N$7,科目,$A11)-SUMIFS(貸方,日付,"&gt;="&amp;N$6,日付,"&lt;="&amp;N$7,科目,$A11),SUMIFS(借方,日付,"&gt;="&amp;N$6,日付,"&lt;="&amp;N$7,科目,$A11)+SUMIFS(貸方,日付,"&gt;="&amp;N$6,日付,"&lt;="&amp;N$7,科目,$A11)))</f>
        <v>-11512</v>
      </c>
      <c r="O11" s="56">
        <f t="shared" si="1"/>
        <v>-138090</v>
      </c>
    </row>
    <row r="12" spans="1:15" ht="16.5" customHeight="1">
      <c r="A12" s="5"/>
      <c r="B12" s="55" t="str">
        <f>IF(ISBLANK(A12),"",VLOOKUP(A12,科目設定,2,0))</f>
        <v/>
      </c>
      <c r="C12" s="56" t="str">
        <f>IF(OR(ISBLANK($A$2),C$8="",ISBLANK($A12)),"",CHOOSE($A$2,SUMIFS(借方,日付,"&gt;="&amp;C$6,日付,"&lt;="&amp;C$7,科目,$A12),SUMIFS(貸方,日付,"&gt;="&amp;C$6,日付,"&lt;="&amp;C$7,科目,$A12),SUMIFS(借方,日付,"&gt;="&amp;C$6,日付,"&lt;="&amp;C$7,科目,$A12)-SUMIFS(貸方,日付,"&gt;="&amp;C$6,日付,"&lt;="&amp;C$7,科目,$A12),SUMIFS(借方,日付,"&gt;="&amp;C$6,日付,"&lt;="&amp;C$7,科目,$A12)+SUMIFS(貸方,日付,"&gt;="&amp;C$6,日付,"&lt;="&amp;C$7,科目,$A12)))</f>
        <v/>
      </c>
      <c r="D12" s="56" t="str">
        <f>IF(OR(ISBLANK($A$2),D$8="",ISBLANK($A12)),"",CHOOSE($A$2,SUMIFS(借方,日付,"&gt;="&amp;D$6,日付,"&lt;="&amp;D$7,科目,$A12),SUMIFS(貸方,日付,"&gt;="&amp;D$6,日付,"&lt;="&amp;D$7,科目,$A12),SUMIFS(借方,日付,"&gt;="&amp;D$6,日付,"&lt;="&amp;D$7,科目,$A12)-SUMIFS(貸方,日付,"&gt;="&amp;D$6,日付,"&lt;="&amp;D$7,科目,$A12),SUMIFS(借方,日付,"&gt;="&amp;D$6,日付,"&lt;="&amp;D$7,科目,$A12)+SUMIFS(貸方,日付,"&gt;="&amp;D$6,日付,"&lt;="&amp;D$7,科目,$A12)))</f>
        <v/>
      </c>
      <c r="E12" s="56" t="str">
        <f>IF(OR(ISBLANK($A$2),E$8="",ISBLANK($A12)),"",CHOOSE($A$2,SUMIFS(借方,日付,"&gt;="&amp;E$6,日付,"&lt;="&amp;E$7,科目,$A12),SUMIFS(貸方,日付,"&gt;="&amp;E$6,日付,"&lt;="&amp;E$7,科目,$A12),SUMIFS(借方,日付,"&gt;="&amp;E$6,日付,"&lt;="&amp;E$7,科目,$A12)-SUMIFS(貸方,日付,"&gt;="&amp;E$6,日付,"&lt;="&amp;E$7,科目,$A12),SUMIFS(借方,日付,"&gt;="&amp;E$6,日付,"&lt;="&amp;E$7,科目,$A12)+SUMIFS(貸方,日付,"&gt;="&amp;E$6,日付,"&lt;="&amp;E$7,科目,$A12)))</f>
        <v/>
      </c>
      <c r="F12" s="56" t="str">
        <f>IF(OR(ISBLANK($A$2),F$8="",ISBLANK($A12)),"",CHOOSE($A$2,SUMIFS(借方,日付,"&gt;="&amp;F$6,日付,"&lt;="&amp;F$7,科目,$A12),SUMIFS(貸方,日付,"&gt;="&amp;F$6,日付,"&lt;="&amp;F$7,科目,$A12),SUMIFS(借方,日付,"&gt;="&amp;F$6,日付,"&lt;="&amp;F$7,科目,$A12)-SUMIFS(貸方,日付,"&gt;="&amp;F$6,日付,"&lt;="&amp;F$7,科目,$A12),SUMIFS(借方,日付,"&gt;="&amp;F$6,日付,"&lt;="&amp;F$7,科目,$A12)+SUMIFS(貸方,日付,"&gt;="&amp;F$6,日付,"&lt;="&amp;F$7,科目,$A12)))</f>
        <v/>
      </c>
      <c r="G12" s="56" t="str">
        <f>IF(OR(ISBLANK($A$2),G$8="",ISBLANK($A12)),"",CHOOSE($A$2,SUMIFS(借方,日付,"&gt;="&amp;G$6,日付,"&lt;="&amp;G$7,科目,$A12),SUMIFS(貸方,日付,"&gt;="&amp;G$6,日付,"&lt;="&amp;G$7,科目,$A12),SUMIFS(借方,日付,"&gt;="&amp;G$6,日付,"&lt;="&amp;G$7,科目,$A12)-SUMIFS(貸方,日付,"&gt;="&amp;G$6,日付,"&lt;="&amp;G$7,科目,$A12),SUMIFS(借方,日付,"&gt;="&amp;G$6,日付,"&lt;="&amp;G$7,科目,$A12)+SUMIFS(貸方,日付,"&gt;="&amp;G$6,日付,"&lt;="&amp;G$7,科目,$A12)))</f>
        <v/>
      </c>
      <c r="H12" s="56" t="str">
        <f>IF(OR(ISBLANK($A$2),H$8="",ISBLANK($A12)),"",CHOOSE($A$2,SUMIFS(借方,日付,"&gt;="&amp;H$6,日付,"&lt;="&amp;H$7,科目,$A12),SUMIFS(貸方,日付,"&gt;="&amp;H$6,日付,"&lt;="&amp;H$7,科目,$A12),SUMIFS(借方,日付,"&gt;="&amp;H$6,日付,"&lt;="&amp;H$7,科目,$A12)-SUMIFS(貸方,日付,"&gt;="&amp;H$6,日付,"&lt;="&amp;H$7,科目,$A12),SUMIFS(借方,日付,"&gt;="&amp;H$6,日付,"&lt;="&amp;H$7,科目,$A12)+SUMIFS(貸方,日付,"&gt;="&amp;H$6,日付,"&lt;="&amp;H$7,科目,$A12)))</f>
        <v/>
      </c>
      <c r="I12" s="56" t="str">
        <f>IF(OR(ISBLANK($A$2),I$8="",ISBLANK($A12)),"",CHOOSE($A$2,SUMIFS(借方,日付,"&gt;="&amp;I$6,日付,"&lt;="&amp;I$7,科目,$A12),SUMIFS(貸方,日付,"&gt;="&amp;I$6,日付,"&lt;="&amp;I$7,科目,$A12),SUMIFS(借方,日付,"&gt;="&amp;I$6,日付,"&lt;="&amp;I$7,科目,$A12)-SUMIFS(貸方,日付,"&gt;="&amp;I$6,日付,"&lt;="&amp;I$7,科目,$A12),SUMIFS(借方,日付,"&gt;="&amp;I$6,日付,"&lt;="&amp;I$7,科目,$A12)+SUMIFS(貸方,日付,"&gt;="&amp;I$6,日付,"&lt;="&amp;I$7,科目,$A12)))</f>
        <v/>
      </c>
      <c r="J12" s="56" t="str">
        <f>IF(OR(ISBLANK($A$2),J$8="",ISBLANK($A12)),"",CHOOSE($A$2,SUMIFS(借方,日付,"&gt;="&amp;J$6,日付,"&lt;="&amp;J$7,科目,$A12),SUMIFS(貸方,日付,"&gt;="&amp;J$6,日付,"&lt;="&amp;J$7,科目,$A12),SUMIFS(借方,日付,"&gt;="&amp;J$6,日付,"&lt;="&amp;J$7,科目,$A12)-SUMIFS(貸方,日付,"&gt;="&amp;J$6,日付,"&lt;="&amp;J$7,科目,$A12),SUMIFS(借方,日付,"&gt;="&amp;J$6,日付,"&lt;="&amp;J$7,科目,$A12)+SUMIFS(貸方,日付,"&gt;="&amp;J$6,日付,"&lt;="&amp;J$7,科目,$A12)))</f>
        <v/>
      </c>
      <c r="K12" s="56" t="str">
        <f>IF(OR(ISBLANK($A$2),K$8="",ISBLANK($A12)),"",CHOOSE($A$2,SUMIFS(借方,日付,"&gt;="&amp;K$6,日付,"&lt;="&amp;K$7,科目,$A12),SUMIFS(貸方,日付,"&gt;="&amp;K$6,日付,"&lt;="&amp;K$7,科目,$A12),SUMIFS(借方,日付,"&gt;="&amp;K$6,日付,"&lt;="&amp;K$7,科目,$A12)-SUMIFS(貸方,日付,"&gt;="&amp;K$6,日付,"&lt;="&amp;K$7,科目,$A12),SUMIFS(借方,日付,"&gt;="&amp;K$6,日付,"&lt;="&amp;K$7,科目,$A12)+SUMIFS(貸方,日付,"&gt;="&amp;K$6,日付,"&lt;="&amp;K$7,科目,$A12)))</f>
        <v/>
      </c>
      <c r="L12" s="56" t="str">
        <f>IF(OR(ISBLANK($A$2),L$8="",ISBLANK($A12)),"",CHOOSE($A$2,SUMIFS(借方,日付,"&gt;="&amp;L$6,日付,"&lt;="&amp;L$7,科目,$A12),SUMIFS(貸方,日付,"&gt;="&amp;L$6,日付,"&lt;="&amp;L$7,科目,$A12),SUMIFS(借方,日付,"&gt;="&amp;L$6,日付,"&lt;="&amp;L$7,科目,$A12)-SUMIFS(貸方,日付,"&gt;="&amp;L$6,日付,"&lt;="&amp;L$7,科目,$A12),SUMIFS(借方,日付,"&gt;="&amp;L$6,日付,"&lt;="&amp;L$7,科目,$A12)+SUMIFS(貸方,日付,"&gt;="&amp;L$6,日付,"&lt;="&amp;L$7,科目,$A12)))</f>
        <v/>
      </c>
      <c r="M12" s="56" t="str">
        <f>IF(OR(ISBLANK($A$2),M$8="",ISBLANK($A12)),"",CHOOSE($A$2,SUMIFS(借方,日付,"&gt;="&amp;M$6,日付,"&lt;="&amp;M$7,科目,$A12),SUMIFS(貸方,日付,"&gt;="&amp;M$6,日付,"&lt;="&amp;M$7,科目,$A12),SUMIFS(借方,日付,"&gt;="&amp;M$6,日付,"&lt;="&amp;M$7,科目,$A12)-SUMIFS(貸方,日付,"&gt;="&amp;M$6,日付,"&lt;="&amp;M$7,科目,$A12),SUMIFS(借方,日付,"&gt;="&amp;M$6,日付,"&lt;="&amp;M$7,科目,$A12)+SUMIFS(貸方,日付,"&gt;="&amp;M$6,日付,"&lt;="&amp;M$7,科目,$A12)))</f>
        <v/>
      </c>
      <c r="N12" s="56" t="str">
        <f>IF(OR(ISBLANK($A$2),N$8="",ISBLANK($A12)),"",CHOOSE($A$2,SUMIFS(借方,日付,"&gt;="&amp;N$6,日付,"&lt;="&amp;N$7,科目,$A12),SUMIFS(貸方,日付,"&gt;="&amp;N$6,日付,"&lt;="&amp;N$7,科目,$A12),SUMIFS(借方,日付,"&gt;="&amp;N$6,日付,"&lt;="&amp;N$7,科目,$A12)-SUMIFS(貸方,日付,"&gt;="&amp;N$6,日付,"&lt;="&amp;N$7,科目,$A12),SUMIFS(借方,日付,"&gt;="&amp;N$6,日付,"&lt;="&amp;N$7,科目,$A12)+SUMIFS(貸方,日付,"&gt;="&amp;N$6,日付,"&lt;="&amp;N$7,科目,$A12)))</f>
        <v/>
      </c>
      <c r="O12" s="56" t="str">
        <f t="shared" si="1"/>
        <v/>
      </c>
    </row>
    <row r="13" spans="1:15" ht="16.5" hidden="1" customHeight="1">
      <c r="A13" s="2"/>
      <c r="B13" s="54"/>
      <c r="C13" s="2"/>
      <c r="D13" s="2"/>
      <c r="E13" s="2"/>
      <c r="F13" s="2"/>
      <c r="G13" s="2"/>
      <c r="H13" s="2"/>
      <c r="I13" s="2"/>
      <c r="J13" s="2"/>
      <c r="K13" s="2"/>
      <c r="L13" s="2"/>
      <c r="M13" s="2"/>
      <c r="N13" s="2"/>
      <c r="O13" s="2"/>
    </row>
    <row r="14" spans="1:15" ht="16.5" customHeight="1">
      <c r="A14" s="160"/>
      <c r="B14" s="48" t="s">
        <v>18</v>
      </c>
      <c r="C14" s="57">
        <f t="shared" ref="C14:N14" si="2">IF(ISBLANK(C$8),"",SUM(C9:C13))</f>
        <v>34406</v>
      </c>
      <c r="D14" s="57">
        <f t="shared" si="2"/>
        <v>34406</v>
      </c>
      <c r="E14" s="57">
        <f t="shared" si="2"/>
        <v>34406</v>
      </c>
      <c r="F14" s="57">
        <f t="shared" si="2"/>
        <v>34388</v>
      </c>
      <c r="G14" s="57">
        <f t="shared" si="2"/>
        <v>34388</v>
      </c>
      <c r="H14" s="57">
        <f t="shared" si="2"/>
        <v>34388</v>
      </c>
      <c r="I14" s="57">
        <f t="shared" si="2"/>
        <v>34388</v>
      </c>
      <c r="J14" s="57">
        <f t="shared" si="2"/>
        <v>34388</v>
      </c>
      <c r="K14" s="57">
        <f t="shared" si="2"/>
        <v>34388</v>
      </c>
      <c r="L14" s="57">
        <f t="shared" si="2"/>
        <v>34388</v>
      </c>
      <c r="M14" s="57">
        <f t="shared" si="2"/>
        <v>34388</v>
      </c>
      <c r="N14" s="57">
        <f t="shared" si="2"/>
        <v>34388</v>
      </c>
      <c r="O14" s="57">
        <f>SUM(O9:O13)</f>
        <v>412710</v>
      </c>
    </row>
  </sheetData>
  <mergeCells count="5">
    <mergeCell ref="C1:N1"/>
    <mergeCell ref="C2:N2"/>
    <mergeCell ref="C3:N3"/>
    <mergeCell ref="C4:N4"/>
    <mergeCell ref="C5:N5"/>
  </mergeCell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45"/>
  <sheetViews>
    <sheetView workbookViewId="0">
      <pane ySplit="1" topLeftCell="A2" activePane="bottomLeft" state="frozen"/>
      <selection pane="bottomLeft"/>
    </sheetView>
  </sheetViews>
  <sheetFormatPr defaultColWidth="14.42578125" defaultRowHeight="16.5" customHeight="1"/>
  <cols>
    <col min="1" max="1" width="5" style="165" customWidth="1"/>
    <col min="2" max="2" width="52.42578125" style="165" customWidth="1"/>
    <col min="3" max="3" width="103.85546875" style="165" customWidth="1"/>
    <col min="4" max="5" width="5.28515625" style="165" customWidth="1"/>
    <col min="6" max="6" width="17" style="165" customWidth="1"/>
    <col min="7" max="16384" width="14.42578125" style="165"/>
  </cols>
  <sheetData>
    <row r="1" spans="1:6" ht="16.5" customHeight="1">
      <c r="A1" s="45" t="s">
        <v>183</v>
      </c>
      <c r="B1" s="168" t="s">
        <v>184</v>
      </c>
      <c r="C1" s="169" t="s">
        <v>185</v>
      </c>
      <c r="D1" s="45" t="s">
        <v>186</v>
      </c>
      <c r="E1" s="45" t="s">
        <v>187</v>
      </c>
      <c r="F1" s="168" t="s">
        <v>188</v>
      </c>
    </row>
    <row r="2" spans="1:6" ht="16.5" customHeight="1">
      <c r="A2" s="4" t="s">
        <v>183</v>
      </c>
      <c r="B2" s="192" t="s">
        <v>189</v>
      </c>
      <c r="C2" s="194" t="s">
        <v>190</v>
      </c>
      <c r="D2" s="4"/>
      <c r="E2" s="4"/>
      <c r="F2" s="192"/>
    </row>
    <row r="3" spans="1:6" ht="16.5" customHeight="1">
      <c r="A3" s="4" t="s">
        <v>183</v>
      </c>
      <c r="B3" s="192" t="s">
        <v>191</v>
      </c>
      <c r="C3" s="170" t="s">
        <v>192</v>
      </c>
      <c r="D3" s="4"/>
      <c r="E3" s="4"/>
      <c r="F3" s="192"/>
    </row>
    <row r="4" spans="1:6" ht="16.5" customHeight="1">
      <c r="A4" s="4" t="s">
        <v>183</v>
      </c>
      <c r="B4" s="192" t="s">
        <v>193</v>
      </c>
      <c r="C4" s="170" t="s">
        <v>194</v>
      </c>
      <c r="D4" s="4"/>
      <c r="E4" s="4"/>
      <c r="F4" s="192"/>
    </row>
    <row r="5" spans="1:6" ht="16.5" customHeight="1">
      <c r="A5" s="4" t="s">
        <v>183</v>
      </c>
      <c r="B5" s="192" t="s">
        <v>195</v>
      </c>
      <c r="C5" s="170" t="s">
        <v>196</v>
      </c>
      <c r="D5" s="4"/>
      <c r="E5" s="4"/>
      <c r="F5" s="192"/>
    </row>
    <row r="6" spans="1:6" ht="16.5" customHeight="1">
      <c r="A6" s="4" t="s">
        <v>183</v>
      </c>
      <c r="B6" s="171"/>
      <c r="C6" s="170"/>
      <c r="D6" s="4"/>
      <c r="E6" s="4"/>
      <c r="F6" s="192"/>
    </row>
    <row r="7" spans="1:6" ht="16.5" customHeight="1">
      <c r="A7" s="53"/>
      <c r="B7" s="49" t="s">
        <v>197</v>
      </c>
      <c r="C7" s="172" t="s">
        <v>198</v>
      </c>
      <c r="D7" s="53"/>
      <c r="E7" s="53"/>
      <c r="F7" s="49"/>
    </row>
    <row r="8" spans="1:6" ht="16.5" customHeight="1">
      <c r="A8" s="53"/>
      <c r="B8" s="49" t="s">
        <v>199</v>
      </c>
      <c r="C8" s="173" t="s">
        <v>200</v>
      </c>
      <c r="D8" s="53"/>
      <c r="E8" s="53"/>
      <c r="F8" s="49"/>
    </row>
    <row r="9" spans="1:6" ht="16.5" customHeight="1">
      <c r="A9" s="53"/>
      <c r="B9" s="49" t="s">
        <v>201</v>
      </c>
      <c r="C9" s="174" t="str">
        <f>TEXT(諸表!$I$1,"yyyy-mm-dd")</f>
        <v>2020-01-01</v>
      </c>
      <c r="D9" s="53"/>
      <c r="E9" s="53"/>
      <c r="F9" s="49"/>
    </row>
    <row r="10" spans="1:6" ht="16.5" customHeight="1">
      <c r="A10" s="53"/>
      <c r="B10" s="49" t="s">
        <v>202</v>
      </c>
      <c r="C10" s="174" t="str">
        <f>TEXT(諸表!$J$1,"yyyy-mm-dd")</f>
        <v>2020-12-31</v>
      </c>
      <c r="D10" s="53"/>
      <c r="E10" s="53"/>
      <c r="F10" s="49"/>
    </row>
    <row r="11" spans="1:6" ht="16.5" customHeight="1">
      <c r="A11" s="53"/>
      <c r="B11" s="49" t="s">
        <v>203</v>
      </c>
      <c r="C11" s="172"/>
      <c r="D11" s="53"/>
      <c r="E11" s="53"/>
      <c r="F11" s="49"/>
    </row>
    <row r="12" spans="1:6" ht="16.5" customHeight="1">
      <c r="A12" s="18"/>
      <c r="B12" s="175" t="s">
        <v>204</v>
      </c>
      <c r="C12" s="176"/>
      <c r="D12" s="18">
        <v>2</v>
      </c>
      <c r="E12" s="18">
        <v>2</v>
      </c>
      <c r="F12" s="19" t="s">
        <v>205</v>
      </c>
    </row>
    <row r="13" spans="1:6" ht="16.5" customHeight="1">
      <c r="A13" s="4"/>
      <c r="B13" s="9" t="s">
        <v>206</v>
      </c>
      <c r="C13" s="173"/>
      <c r="D13" s="4">
        <v>2</v>
      </c>
      <c r="E13" s="4">
        <v>3</v>
      </c>
      <c r="F13" s="9" t="s">
        <v>207</v>
      </c>
    </row>
    <row r="14" spans="1:6" ht="16.5" customHeight="1">
      <c r="A14" s="4"/>
      <c r="B14" s="9" t="s">
        <v>208</v>
      </c>
      <c r="C14" s="173" t="s">
        <v>209</v>
      </c>
      <c r="D14" s="4">
        <v>2</v>
      </c>
      <c r="E14" s="4">
        <v>4</v>
      </c>
      <c r="F14" s="9" t="s">
        <v>210</v>
      </c>
    </row>
    <row r="15" spans="1:6" ht="16.5" customHeight="1">
      <c r="A15" s="4"/>
      <c r="B15" s="9" t="s">
        <v>211</v>
      </c>
      <c r="C15" s="173" t="s">
        <v>212</v>
      </c>
      <c r="D15" s="4">
        <v>2</v>
      </c>
      <c r="E15" s="4">
        <v>5</v>
      </c>
      <c r="F15" s="9" t="s">
        <v>213</v>
      </c>
    </row>
    <row r="16" spans="1:6" ht="16.5" customHeight="1">
      <c r="A16" s="4"/>
      <c r="B16" s="9" t="s">
        <v>214</v>
      </c>
      <c r="C16" s="173" t="s">
        <v>215</v>
      </c>
      <c r="D16" s="4">
        <v>2</v>
      </c>
      <c r="E16" s="4">
        <v>4</v>
      </c>
      <c r="F16" s="9" t="s">
        <v>216</v>
      </c>
    </row>
    <row r="17" spans="1:6" ht="16.5" customHeight="1">
      <c r="A17" s="4"/>
      <c r="B17" s="9" t="s">
        <v>217</v>
      </c>
      <c r="C17" s="177" t="s">
        <v>218</v>
      </c>
      <c r="D17" s="4">
        <v>2</v>
      </c>
      <c r="E17" s="4">
        <v>3</v>
      </c>
      <c r="F17" s="9" t="s">
        <v>219</v>
      </c>
    </row>
    <row r="18" spans="1:6" ht="16.5" customHeight="1">
      <c r="A18" s="4"/>
      <c r="B18" s="9" t="s">
        <v>211</v>
      </c>
      <c r="C18" s="177" t="s">
        <v>220</v>
      </c>
      <c r="D18" s="4">
        <v>2</v>
      </c>
      <c r="E18" s="4">
        <v>4</v>
      </c>
      <c r="F18" s="9" t="s">
        <v>221</v>
      </c>
    </row>
    <row r="19" spans="1:6" ht="16.5" customHeight="1">
      <c r="A19" s="4"/>
      <c r="B19" s="9" t="s">
        <v>211</v>
      </c>
      <c r="C19" s="177" t="s">
        <v>222</v>
      </c>
      <c r="D19" s="4">
        <v>2</v>
      </c>
      <c r="E19" s="4">
        <v>4</v>
      </c>
      <c r="F19" s="9" t="s">
        <v>223</v>
      </c>
    </row>
    <row r="20" spans="1:6" ht="16.5" customHeight="1">
      <c r="A20" s="4"/>
      <c r="B20" s="9" t="s">
        <v>211</v>
      </c>
      <c r="C20" s="177" t="s">
        <v>224</v>
      </c>
      <c r="D20" s="4">
        <v>2</v>
      </c>
      <c r="E20" s="4">
        <v>4</v>
      </c>
      <c r="F20" s="9" t="s">
        <v>225</v>
      </c>
    </row>
    <row r="21" spans="1:6" ht="16.5" customHeight="1">
      <c r="A21" s="18"/>
      <c r="B21" s="19" t="s">
        <v>226</v>
      </c>
      <c r="C21" s="178" t="s">
        <v>227</v>
      </c>
      <c r="D21" s="18">
        <v>2</v>
      </c>
      <c r="E21" s="18">
        <v>3</v>
      </c>
      <c r="F21" s="19" t="s">
        <v>228</v>
      </c>
    </row>
    <row r="22" spans="1:6" ht="16.5" customHeight="1">
      <c r="A22" s="4" t="s">
        <v>183</v>
      </c>
      <c r="B22" s="9"/>
      <c r="C22" s="178"/>
      <c r="D22" s="4"/>
      <c r="E22" s="4"/>
      <c r="F22" s="9"/>
    </row>
    <row r="23" spans="1:6" ht="16.5" customHeight="1">
      <c r="A23" s="53"/>
      <c r="B23" s="49" t="s">
        <v>197</v>
      </c>
      <c r="C23" s="172" t="s">
        <v>229</v>
      </c>
      <c r="D23" s="53"/>
      <c r="E23" s="53"/>
      <c r="F23" s="49"/>
    </row>
    <row r="24" spans="1:6" ht="16.5" customHeight="1">
      <c r="A24" s="53"/>
      <c r="B24" s="49" t="s">
        <v>230</v>
      </c>
      <c r="C24" s="172"/>
      <c r="D24" s="53"/>
      <c r="E24" s="53"/>
      <c r="F24" s="49"/>
    </row>
    <row r="25" spans="1:6" ht="16.5" customHeight="1">
      <c r="A25" s="18"/>
      <c r="B25" s="175" t="s">
        <v>231</v>
      </c>
      <c r="C25" s="176"/>
      <c r="D25" s="18" t="s">
        <v>232</v>
      </c>
      <c r="E25" s="18">
        <v>2</v>
      </c>
      <c r="F25" s="175" t="s">
        <v>233</v>
      </c>
    </row>
    <row r="26" spans="1:6" ht="16.5" customHeight="1">
      <c r="A26" s="18"/>
      <c r="B26" s="175" t="s">
        <v>234</v>
      </c>
      <c r="C26" s="176"/>
      <c r="D26" s="18" t="s">
        <v>232</v>
      </c>
      <c r="E26" s="18">
        <v>3</v>
      </c>
      <c r="F26" s="175" t="s">
        <v>235</v>
      </c>
    </row>
    <row r="27" spans="1:6" ht="16.5" customHeight="1">
      <c r="A27" s="179" t="str">
        <f>IF(C27=0,"rem","")</f>
        <v/>
      </c>
      <c r="B27" s="192" t="s">
        <v>41</v>
      </c>
      <c r="C27" s="172">
        <f>集計!K4</f>
        <v>2038157</v>
      </c>
      <c r="D27" s="4">
        <v>1</v>
      </c>
      <c r="E27" s="4">
        <v>4</v>
      </c>
      <c r="F27" s="9" t="s">
        <v>236</v>
      </c>
    </row>
    <row r="28" spans="1:6" ht="16.5" customHeight="1">
      <c r="A28" s="179" t="str">
        <f t="shared" ref="A28:A30" si="0">IF(C28=0,"rem","")</f>
        <v>rem</v>
      </c>
      <c r="B28" s="192" t="s">
        <v>43</v>
      </c>
      <c r="C28" s="172">
        <f>集計!K6</f>
        <v>0</v>
      </c>
      <c r="D28" s="4">
        <v>1</v>
      </c>
      <c r="E28" s="4">
        <v>4</v>
      </c>
      <c r="F28" s="192" t="s">
        <v>237</v>
      </c>
    </row>
    <row r="29" spans="1:6" ht="16.5" customHeight="1">
      <c r="A29" s="179" t="str">
        <f t="shared" si="0"/>
        <v>rem</v>
      </c>
      <c r="B29" s="192" t="s">
        <v>44</v>
      </c>
      <c r="C29" s="172">
        <f>集計!K7</f>
        <v>0</v>
      </c>
      <c r="D29" s="4">
        <v>1</v>
      </c>
      <c r="E29" s="4">
        <v>4</v>
      </c>
      <c r="F29" s="9" t="s">
        <v>238</v>
      </c>
    </row>
    <row r="30" spans="1:6" ht="16.5" customHeight="1">
      <c r="A30" s="179" t="str">
        <f t="shared" si="0"/>
        <v>rem</v>
      </c>
      <c r="B30" s="192" t="s">
        <v>45</v>
      </c>
      <c r="C30" s="172">
        <f>集計!K8</f>
        <v>0</v>
      </c>
      <c r="D30" s="4">
        <v>1</v>
      </c>
      <c r="E30" s="4">
        <v>4</v>
      </c>
      <c r="F30" s="192" t="s">
        <v>239</v>
      </c>
    </row>
    <row r="31" spans="1:6" ht="16.5" customHeight="1">
      <c r="A31" s="18"/>
      <c r="B31" s="175" t="s">
        <v>240</v>
      </c>
      <c r="C31" s="172">
        <f>諸表!H8</f>
        <v>2038157</v>
      </c>
      <c r="D31" s="18">
        <v>1</v>
      </c>
      <c r="E31" s="18">
        <v>4</v>
      </c>
      <c r="F31" s="175" t="s">
        <v>241</v>
      </c>
    </row>
    <row r="32" spans="1:6" ht="16.5" customHeight="1">
      <c r="A32" s="18"/>
      <c r="B32" s="175" t="s">
        <v>242</v>
      </c>
      <c r="C32" s="176"/>
      <c r="D32" s="18" t="s">
        <v>232</v>
      </c>
      <c r="E32" s="18">
        <v>3</v>
      </c>
      <c r="F32" s="175" t="s">
        <v>243</v>
      </c>
    </row>
    <row r="33" spans="1:6" ht="16.5" customHeight="1">
      <c r="A33" s="18"/>
      <c r="B33" s="175" t="s">
        <v>244</v>
      </c>
      <c r="C33" s="176"/>
      <c r="D33" s="18" t="s">
        <v>232</v>
      </c>
      <c r="E33" s="18">
        <v>4</v>
      </c>
      <c r="F33" s="180" t="s">
        <v>245</v>
      </c>
    </row>
    <row r="34" spans="1:6" ht="16.5" customHeight="1">
      <c r="A34" s="18"/>
      <c r="B34" s="175" t="s">
        <v>246</v>
      </c>
      <c r="C34" s="172">
        <f>諸表!F10</f>
        <v>0</v>
      </c>
      <c r="D34" s="18">
        <v>1</v>
      </c>
      <c r="E34" s="18">
        <v>5</v>
      </c>
      <c r="F34" s="180" t="s">
        <v>247</v>
      </c>
    </row>
    <row r="35" spans="1:6" ht="16.5" customHeight="1">
      <c r="A35" s="18"/>
      <c r="B35" s="175" t="s">
        <v>248</v>
      </c>
      <c r="C35" s="176"/>
      <c r="D35" s="18" t="s">
        <v>232</v>
      </c>
      <c r="E35" s="18">
        <v>4</v>
      </c>
      <c r="F35" s="180" t="s">
        <v>249</v>
      </c>
    </row>
    <row r="36" spans="1:6" ht="16.5" customHeight="1">
      <c r="A36" s="18"/>
      <c r="B36" s="175" t="s">
        <v>250</v>
      </c>
      <c r="C36" s="172">
        <f>諸表!F11</f>
        <v>0</v>
      </c>
      <c r="D36" s="18">
        <v>1</v>
      </c>
      <c r="E36" s="18">
        <v>5</v>
      </c>
      <c r="F36" s="180" t="s">
        <v>251</v>
      </c>
    </row>
    <row r="37" spans="1:6" ht="16.5" customHeight="1">
      <c r="A37" s="18"/>
      <c r="B37" s="19" t="s">
        <v>252</v>
      </c>
      <c r="C37" s="176"/>
      <c r="D37" s="18" t="s">
        <v>232</v>
      </c>
      <c r="E37" s="18">
        <v>4</v>
      </c>
      <c r="F37" s="180" t="s">
        <v>253</v>
      </c>
    </row>
    <row r="38" spans="1:6" ht="16.5" customHeight="1">
      <c r="A38" s="179" t="str">
        <f>IF(C38=0,"rem","")</f>
        <v>rem</v>
      </c>
      <c r="B38" s="192" t="s">
        <v>49</v>
      </c>
      <c r="C38" s="172">
        <f>集計!K12</f>
        <v>0</v>
      </c>
      <c r="D38" s="4">
        <v>1</v>
      </c>
      <c r="E38" s="4">
        <v>5</v>
      </c>
      <c r="F38" s="181" t="s">
        <v>254</v>
      </c>
    </row>
    <row r="39" spans="1:6" ht="16.5" customHeight="1">
      <c r="A39" s="18"/>
      <c r="B39" s="19" t="s">
        <v>255</v>
      </c>
      <c r="C39" s="172">
        <f>諸表!F12</f>
        <v>0</v>
      </c>
      <c r="D39" s="18">
        <v>1</v>
      </c>
      <c r="E39" s="18">
        <v>5</v>
      </c>
      <c r="F39" s="180" t="s">
        <v>256</v>
      </c>
    </row>
    <row r="40" spans="1:6" ht="16.5" customHeight="1">
      <c r="A40" s="18"/>
      <c r="B40" s="175" t="s">
        <v>257</v>
      </c>
      <c r="C40" s="172">
        <f>諸表!H9</f>
        <v>0</v>
      </c>
      <c r="D40" s="18">
        <v>1</v>
      </c>
      <c r="E40" s="18">
        <v>4</v>
      </c>
      <c r="F40" s="175" t="s">
        <v>258</v>
      </c>
    </row>
    <row r="41" spans="1:6" ht="16.5" customHeight="1">
      <c r="A41" s="18"/>
      <c r="B41" s="19" t="s">
        <v>259</v>
      </c>
      <c r="C41" s="176"/>
      <c r="D41" s="18" t="s">
        <v>232</v>
      </c>
      <c r="E41" s="18">
        <v>3</v>
      </c>
      <c r="F41" s="180" t="s">
        <v>260</v>
      </c>
    </row>
    <row r="42" spans="1:6" ht="16.5" customHeight="1">
      <c r="A42" s="18"/>
      <c r="B42" s="19" t="s">
        <v>261</v>
      </c>
      <c r="C42" s="172">
        <f>諸表!H13</f>
        <v>0</v>
      </c>
      <c r="D42" s="18">
        <v>1</v>
      </c>
      <c r="E42" s="18">
        <v>4</v>
      </c>
      <c r="F42" s="180" t="s">
        <v>262</v>
      </c>
    </row>
    <row r="43" spans="1:6" ht="16.5" customHeight="1">
      <c r="A43" s="18"/>
      <c r="B43" s="175" t="s">
        <v>263</v>
      </c>
      <c r="C43" s="172">
        <f>諸表!H14</f>
        <v>2038157</v>
      </c>
      <c r="D43" s="18">
        <v>1</v>
      </c>
      <c r="E43" s="18">
        <v>3</v>
      </c>
      <c r="F43" s="175" t="s">
        <v>264</v>
      </c>
    </row>
    <row r="44" spans="1:6" ht="16.5" customHeight="1">
      <c r="A44" s="18"/>
      <c r="B44" s="182" t="s">
        <v>265</v>
      </c>
      <c r="C44" s="176"/>
      <c r="D44" s="18" t="s">
        <v>232</v>
      </c>
      <c r="E44" s="18">
        <v>2</v>
      </c>
      <c r="F44" s="180" t="s">
        <v>266</v>
      </c>
    </row>
    <row r="45" spans="1:6" ht="16.5" customHeight="1">
      <c r="A45" s="18"/>
      <c r="B45" s="19" t="s">
        <v>267</v>
      </c>
      <c r="C45" s="176"/>
      <c r="D45" s="18" t="s">
        <v>232</v>
      </c>
      <c r="E45" s="18">
        <v>3</v>
      </c>
      <c r="F45" s="175" t="s">
        <v>268</v>
      </c>
    </row>
    <row r="46" spans="1:6" ht="16.5" customHeight="1">
      <c r="A46" s="179" t="str">
        <f t="shared" ref="A46:A49" si="1">IF(C46=0,"rem","")</f>
        <v/>
      </c>
      <c r="B46" s="192" t="s">
        <v>53</v>
      </c>
      <c r="C46" s="172">
        <f>集計!K18</f>
        <v>1147245</v>
      </c>
      <c r="D46" s="4">
        <v>1</v>
      </c>
      <c r="E46" s="4">
        <v>4</v>
      </c>
      <c r="F46" s="192" t="s">
        <v>269</v>
      </c>
    </row>
    <row r="47" spans="1:6" ht="16.5" customHeight="1">
      <c r="A47" s="179" t="str">
        <f t="shared" si="1"/>
        <v>rem</v>
      </c>
      <c r="B47" s="192" t="s">
        <v>56</v>
      </c>
      <c r="C47" s="172">
        <f>集計!K20</f>
        <v>0</v>
      </c>
      <c r="D47" s="4">
        <v>1</v>
      </c>
      <c r="E47" s="4">
        <v>4</v>
      </c>
      <c r="F47" s="192" t="s">
        <v>270</v>
      </c>
    </row>
    <row r="48" spans="1:6" ht="16.5" customHeight="1">
      <c r="A48" s="179" t="str">
        <f t="shared" si="1"/>
        <v/>
      </c>
      <c r="B48" s="192" t="s">
        <v>57</v>
      </c>
      <c r="C48" s="172">
        <f>集計!K21</f>
        <v>11512</v>
      </c>
      <c r="D48" s="4">
        <v>1</v>
      </c>
      <c r="E48" s="4">
        <v>4</v>
      </c>
      <c r="F48" s="192" t="s">
        <v>271</v>
      </c>
    </row>
    <row r="49" spans="1:6" ht="16.5" customHeight="1">
      <c r="A49" s="179" t="str">
        <f t="shared" si="1"/>
        <v>rem</v>
      </c>
      <c r="B49" s="192" t="s">
        <v>60</v>
      </c>
      <c r="C49" s="172">
        <f>集計!K23</f>
        <v>0</v>
      </c>
      <c r="D49" s="4">
        <v>1</v>
      </c>
      <c r="E49" s="4">
        <v>4</v>
      </c>
      <c r="F49" s="192" t="s">
        <v>272</v>
      </c>
    </row>
    <row r="50" spans="1:6" ht="16.5" customHeight="1">
      <c r="A50" s="18"/>
      <c r="B50" s="19" t="s">
        <v>273</v>
      </c>
      <c r="C50" s="172">
        <f>諸表!H16</f>
        <v>1158757</v>
      </c>
      <c r="D50" s="18">
        <v>1</v>
      </c>
      <c r="E50" s="18">
        <v>4</v>
      </c>
      <c r="F50" s="175" t="s">
        <v>274</v>
      </c>
    </row>
    <row r="51" spans="1:6" ht="16.5" customHeight="1">
      <c r="A51" s="18"/>
      <c r="B51" s="175" t="s">
        <v>275</v>
      </c>
      <c r="C51" s="176"/>
      <c r="D51" s="18" t="s">
        <v>232</v>
      </c>
      <c r="E51" s="18">
        <v>3</v>
      </c>
      <c r="F51" s="175" t="s">
        <v>276</v>
      </c>
    </row>
    <row r="52" spans="1:6" ht="16.5" customHeight="1">
      <c r="A52" s="18"/>
      <c r="B52" s="175" t="s">
        <v>277</v>
      </c>
      <c r="C52" s="172">
        <f>諸表!H17</f>
        <v>0</v>
      </c>
      <c r="D52" s="18">
        <v>1</v>
      </c>
      <c r="E52" s="18">
        <v>4</v>
      </c>
      <c r="F52" s="175" t="s">
        <v>278</v>
      </c>
    </row>
    <row r="53" spans="1:6" ht="16.5" customHeight="1">
      <c r="A53" s="18"/>
      <c r="B53" s="182" t="s">
        <v>279</v>
      </c>
      <c r="C53" s="172">
        <f>諸表!H18</f>
        <v>1158757</v>
      </c>
      <c r="D53" s="18">
        <v>1</v>
      </c>
      <c r="E53" s="18">
        <v>3</v>
      </c>
      <c r="F53" s="180" t="s">
        <v>280</v>
      </c>
    </row>
    <row r="54" spans="1:6" ht="16.5" customHeight="1">
      <c r="A54" s="18"/>
      <c r="B54" s="182" t="s">
        <v>281</v>
      </c>
      <c r="C54" s="176"/>
      <c r="D54" s="18" t="s">
        <v>232</v>
      </c>
      <c r="E54" s="18">
        <v>2</v>
      </c>
      <c r="F54" s="175" t="s">
        <v>282</v>
      </c>
    </row>
    <row r="55" spans="1:6" ht="16.5" customHeight="1">
      <c r="A55" s="18"/>
      <c r="B55" s="175" t="s">
        <v>283</v>
      </c>
      <c r="C55" s="176"/>
      <c r="D55" s="18" t="s">
        <v>232</v>
      </c>
      <c r="E55" s="18">
        <v>3</v>
      </c>
      <c r="F55" s="175" t="s">
        <v>284</v>
      </c>
    </row>
    <row r="56" spans="1:6" ht="16.5" customHeight="1">
      <c r="A56" s="18"/>
      <c r="B56" s="19" t="s">
        <v>62</v>
      </c>
      <c r="C56" s="172">
        <f>諸表!G21</f>
        <v>2000000</v>
      </c>
      <c r="D56" s="18">
        <v>1</v>
      </c>
      <c r="E56" s="18">
        <v>4</v>
      </c>
      <c r="F56" s="175" t="s">
        <v>285</v>
      </c>
    </row>
    <row r="57" spans="1:6" ht="16.5" customHeight="1">
      <c r="A57" s="18"/>
      <c r="B57" s="19" t="s">
        <v>286</v>
      </c>
      <c r="C57" s="176"/>
      <c r="D57" s="18" t="s">
        <v>232</v>
      </c>
      <c r="E57" s="18">
        <v>4</v>
      </c>
      <c r="F57" s="175" t="s">
        <v>287</v>
      </c>
    </row>
    <row r="58" spans="1:6" ht="16.5" customHeight="1">
      <c r="A58" s="179" t="str">
        <f>IF(C58=0,"rem","")</f>
        <v/>
      </c>
      <c r="B58" s="192" t="s">
        <v>64</v>
      </c>
      <c r="C58" s="172">
        <f>集計!K27</f>
        <v>-1120600</v>
      </c>
      <c r="D58" s="4">
        <v>1</v>
      </c>
      <c r="E58" s="4">
        <v>5</v>
      </c>
      <c r="F58" s="192" t="s">
        <v>288</v>
      </c>
    </row>
    <row r="59" spans="1:6" ht="16.5" customHeight="1">
      <c r="A59" s="18"/>
      <c r="B59" s="19" t="s">
        <v>289</v>
      </c>
      <c r="C59" s="172">
        <f>諸表!G22</f>
        <v>-1120600</v>
      </c>
      <c r="D59" s="18">
        <v>1</v>
      </c>
      <c r="E59" s="18">
        <v>5</v>
      </c>
      <c r="F59" s="175" t="s">
        <v>290</v>
      </c>
    </row>
    <row r="60" spans="1:6" ht="16.5" customHeight="1">
      <c r="A60" s="18"/>
      <c r="B60" s="175" t="s">
        <v>291</v>
      </c>
      <c r="C60" s="172">
        <f>諸表!H20</f>
        <v>879400</v>
      </c>
      <c r="D60" s="18">
        <v>1</v>
      </c>
      <c r="E60" s="18">
        <v>4</v>
      </c>
      <c r="F60" s="175" t="s">
        <v>292</v>
      </c>
    </row>
    <row r="61" spans="1:6" ht="16.5" customHeight="1">
      <c r="A61" s="18"/>
      <c r="B61" s="175" t="s">
        <v>293</v>
      </c>
      <c r="C61" s="176"/>
      <c r="D61" s="18" t="s">
        <v>232</v>
      </c>
      <c r="E61" s="18">
        <v>3</v>
      </c>
      <c r="F61" s="175" t="s">
        <v>294</v>
      </c>
    </row>
    <row r="62" spans="1:6" ht="16.5" customHeight="1">
      <c r="A62" s="179" t="str">
        <f>IF(C62=0,"rem","")</f>
        <v>rem</v>
      </c>
      <c r="B62" s="183" t="s">
        <v>66</v>
      </c>
      <c r="C62" s="172">
        <f>集計!K29</f>
        <v>0</v>
      </c>
      <c r="D62" s="4">
        <v>1</v>
      </c>
      <c r="E62" s="4">
        <v>4</v>
      </c>
      <c r="F62" s="192" t="s">
        <v>295</v>
      </c>
    </row>
    <row r="63" spans="1:6" ht="16.5" customHeight="1">
      <c r="A63" s="18"/>
      <c r="B63" s="175" t="s">
        <v>296</v>
      </c>
      <c r="C63" s="172">
        <f>諸表!H23</f>
        <v>0</v>
      </c>
      <c r="D63" s="18">
        <v>1</v>
      </c>
      <c r="E63" s="18">
        <v>4</v>
      </c>
      <c r="F63" s="175" t="s">
        <v>297</v>
      </c>
    </row>
    <row r="64" spans="1:6" ht="16.5" customHeight="1">
      <c r="A64" s="18"/>
      <c r="B64" s="175" t="s">
        <v>298</v>
      </c>
      <c r="C64" s="172">
        <f>諸表!H24</f>
        <v>879400</v>
      </c>
      <c r="D64" s="18">
        <v>1</v>
      </c>
      <c r="E64" s="18">
        <v>3</v>
      </c>
      <c r="F64" s="175" t="s">
        <v>299</v>
      </c>
    </row>
    <row r="65" spans="1:6" ht="16.5" customHeight="1">
      <c r="A65" s="18"/>
      <c r="B65" s="175" t="s">
        <v>300</v>
      </c>
      <c r="C65" s="172">
        <f>諸表!H25</f>
        <v>2038157</v>
      </c>
      <c r="D65" s="18">
        <v>1</v>
      </c>
      <c r="E65" s="18">
        <v>2</v>
      </c>
      <c r="F65" s="175" t="s">
        <v>301</v>
      </c>
    </row>
    <row r="66" spans="1:6" ht="16.5" customHeight="1">
      <c r="A66" s="4" t="s">
        <v>183</v>
      </c>
      <c r="B66" s="192"/>
      <c r="C66" s="173"/>
      <c r="D66" s="4"/>
      <c r="E66" s="4"/>
      <c r="F66" s="192"/>
    </row>
    <row r="67" spans="1:6" ht="16.5" customHeight="1">
      <c r="A67" s="53"/>
      <c r="B67" s="49" t="s">
        <v>197</v>
      </c>
      <c r="C67" s="172" t="s">
        <v>302</v>
      </c>
      <c r="D67" s="53"/>
      <c r="E67" s="53"/>
      <c r="F67" s="49"/>
    </row>
    <row r="68" spans="1:6" ht="16.5" customHeight="1">
      <c r="A68" s="53"/>
      <c r="B68" s="49" t="s">
        <v>303</v>
      </c>
      <c r="C68" s="172"/>
      <c r="D68" s="53"/>
      <c r="E68" s="53"/>
      <c r="F68" s="49"/>
    </row>
    <row r="69" spans="1:6" ht="16.5" customHeight="1">
      <c r="A69" s="18"/>
      <c r="B69" s="175" t="s">
        <v>304</v>
      </c>
      <c r="C69" s="176"/>
      <c r="D69" s="18" t="s">
        <v>232</v>
      </c>
      <c r="E69" s="18">
        <v>2</v>
      </c>
      <c r="F69" s="175" t="s">
        <v>305</v>
      </c>
    </row>
    <row r="70" spans="1:6" ht="16.5" customHeight="1">
      <c r="A70" s="179" t="str">
        <f t="shared" ref="A70:A71" si="2">IF(C70=0,"rem","")</f>
        <v>rem</v>
      </c>
      <c r="B70" s="192" t="s">
        <v>69</v>
      </c>
      <c r="C70" s="172">
        <f>集計!K34</f>
        <v>0</v>
      </c>
      <c r="D70" s="4">
        <v>1</v>
      </c>
      <c r="E70" s="4">
        <v>3</v>
      </c>
      <c r="F70" s="192" t="s">
        <v>306</v>
      </c>
    </row>
    <row r="71" spans="1:6" ht="16.5" customHeight="1">
      <c r="A71" s="179" t="str">
        <f t="shared" si="2"/>
        <v>rem</v>
      </c>
      <c r="B71" s="192" t="s">
        <v>75</v>
      </c>
      <c r="C71" s="172">
        <f>集計!K37</f>
        <v>0</v>
      </c>
      <c r="D71" s="4">
        <v>1</v>
      </c>
      <c r="E71" s="4">
        <v>3</v>
      </c>
      <c r="F71" s="192" t="s">
        <v>307</v>
      </c>
    </row>
    <row r="72" spans="1:6" ht="16.5" customHeight="1">
      <c r="A72" s="18"/>
      <c r="B72" s="175" t="s">
        <v>308</v>
      </c>
      <c r="C72" s="172">
        <f>諸表!G31</f>
        <v>0</v>
      </c>
      <c r="D72" s="18">
        <v>1</v>
      </c>
      <c r="E72" s="18">
        <v>3</v>
      </c>
      <c r="F72" s="175" t="s">
        <v>309</v>
      </c>
    </row>
    <row r="73" spans="1:6" ht="16.5" customHeight="1">
      <c r="A73" s="18"/>
      <c r="B73" s="19" t="s">
        <v>310</v>
      </c>
      <c r="C73" s="176"/>
      <c r="D73" s="18" t="s">
        <v>232</v>
      </c>
      <c r="E73" s="18">
        <v>2</v>
      </c>
      <c r="F73" s="175" t="s">
        <v>311</v>
      </c>
    </row>
    <row r="74" spans="1:6" ht="16.5" customHeight="1">
      <c r="A74" s="179" t="str">
        <f t="shared" ref="A74:A76" si="3">IF(C74=0,"rem","")</f>
        <v>rem</v>
      </c>
      <c r="B74" s="192" t="s">
        <v>92</v>
      </c>
      <c r="C74" s="172">
        <f>集計!K51</f>
        <v>0</v>
      </c>
      <c r="D74" s="4">
        <v>1</v>
      </c>
      <c r="E74" s="4">
        <v>3</v>
      </c>
      <c r="F74" s="192" t="s">
        <v>312</v>
      </c>
    </row>
    <row r="75" spans="1:6" ht="16.5" customHeight="1">
      <c r="A75" s="179" t="str">
        <f t="shared" si="3"/>
        <v>rem</v>
      </c>
      <c r="B75" s="192" t="s">
        <v>93</v>
      </c>
      <c r="C75" s="172">
        <f>集計!K52</f>
        <v>0</v>
      </c>
      <c r="D75" s="4">
        <v>1</v>
      </c>
      <c r="E75" s="4">
        <v>3</v>
      </c>
      <c r="F75" s="192" t="s">
        <v>313</v>
      </c>
    </row>
    <row r="76" spans="1:6" ht="16.5" customHeight="1">
      <c r="A76" s="179" t="str">
        <f t="shared" si="3"/>
        <v>rem</v>
      </c>
      <c r="B76" s="192" t="s">
        <v>95</v>
      </c>
      <c r="C76" s="172">
        <f>集計!K53</f>
        <v>0</v>
      </c>
      <c r="D76" s="4">
        <v>1</v>
      </c>
      <c r="E76" s="4">
        <v>3</v>
      </c>
      <c r="F76" s="192" t="s">
        <v>314</v>
      </c>
    </row>
    <row r="77" spans="1:6" ht="16.5" customHeight="1">
      <c r="A77" s="18"/>
      <c r="B77" s="19" t="s">
        <v>315</v>
      </c>
      <c r="C77" s="172">
        <f>諸表!F32</f>
        <v>0</v>
      </c>
      <c r="D77" s="18">
        <v>1</v>
      </c>
      <c r="E77" s="18">
        <v>3</v>
      </c>
      <c r="F77" s="175" t="s">
        <v>316</v>
      </c>
    </row>
    <row r="78" spans="1:6" ht="16.5" customHeight="1">
      <c r="A78" s="18"/>
      <c r="B78" s="175" t="s">
        <v>317</v>
      </c>
      <c r="C78" s="172">
        <f>諸表!H33</f>
        <v>0</v>
      </c>
      <c r="D78" s="18">
        <v>1</v>
      </c>
      <c r="E78" s="18">
        <v>2</v>
      </c>
      <c r="F78" s="175" t="s">
        <v>318</v>
      </c>
    </row>
    <row r="79" spans="1:6" ht="16.5" customHeight="1">
      <c r="A79" s="18"/>
      <c r="B79" s="175" t="s">
        <v>319</v>
      </c>
      <c r="C79" s="176"/>
      <c r="D79" s="18" t="s">
        <v>232</v>
      </c>
      <c r="E79" s="18">
        <v>2</v>
      </c>
      <c r="F79" s="175" t="s">
        <v>320</v>
      </c>
    </row>
    <row r="80" spans="1:6" ht="16.5" customHeight="1">
      <c r="A80" s="179" t="str">
        <f t="shared" ref="A80:A91" si="4">IF(C80=0,"rem","")</f>
        <v>rem</v>
      </c>
      <c r="B80" s="192" t="s">
        <v>98</v>
      </c>
      <c r="C80" s="172">
        <f>集計!K55</f>
        <v>0</v>
      </c>
      <c r="D80" s="4">
        <v>1</v>
      </c>
      <c r="E80" s="4">
        <v>3</v>
      </c>
      <c r="F80" s="192" t="s">
        <v>321</v>
      </c>
    </row>
    <row r="81" spans="1:6" ht="16.5" customHeight="1">
      <c r="A81" s="179" t="str">
        <f t="shared" si="4"/>
        <v>rem</v>
      </c>
      <c r="B81" s="192" t="s">
        <v>99</v>
      </c>
      <c r="C81" s="172">
        <f>集計!K56</f>
        <v>0</v>
      </c>
      <c r="D81" s="4">
        <v>1</v>
      </c>
      <c r="E81" s="4">
        <v>3</v>
      </c>
      <c r="F81" s="192" t="s">
        <v>322</v>
      </c>
    </row>
    <row r="82" spans="1:6" ht="16.5" customHeight="1">
      <c r="A82" s="179" t="str">
        <f t="shared" si="4"/>
        <v>rem</v>
      </c>
      <c r="B82" s="192" t="s">
        <v>101</v>
      </c>
      <c r="C82" s="172">
        <f>集計!K57</f>
        <v>0</v>
      </c>
      <c r="D82" s="4">
        <v>1</v>
      </c>
      <c r="E82" s="4">
        <v>3</v>
      </c>
      <c r="F82" s="192" t="s">
        <v>323</v>
      </c>
    </row>
    <row r="83" spans="1:6" ht="16.5" customHeight="1">
      <c r="A83" s="179" t="str">
        <f t="shared" si="4"/>
        <v/>
      </c>
      <c r="B83" s="192" t="s">
        <v>103</v>
      </c>
      <c r="C83" s="172">
        <f>集計!K58</f>
        <v>550800</v>
      </c>
      <c r="D83" s="4">
        <v>1</v>
      </c>
      <c r="E83" s="4">
        <v>3</v>
      </c>
      <c r="F83" s="192" t="s">
        <v>324</v>
      </c>
    </row>
    <row r="84" spans="1:6" ht="16.5" customHeight="1">
      <c r="A84" s="179" t="str">
        <f t="shared" si="4"/>
        <v/>
      </c>
      <c r="B84" s="192" t="s">
        <v>106</v>
      </c>
      <c r="C84" s="172">
        <f>集計!K60</f>
        <v>141771</v>
      </c>
      <c r="D84" s="4">
        <v>1</v>
      </c>
      <c r="E84" s="4">
        <v>3</v>
      </c>
      <c r="F84" s="192" t="s">
        <v>325</v>
      </c>
    </row>
    <row r="85" spans="1:6" ht="16.5" customHeight="1">
      <c r="A85" s="179" t="str">
        <f t="shared" si="4"/>
        <v>rem</v>
      </c>
      <c r="B85" s="192" t="s">
        <v>107</v>
      </c>
      <c r="C85" s="172">
        <f>集計!K61</f>
        <v>0</v>
      </c>
      <c r="D85" s="4">
        <v>1</v>
      </c>
      <c r="E85" s="4">
        <v>3</v>
      </c>
      <c r="F85" s="192" t="s">
        <v>326</v>
      </c>
    </row>
    <row r="86" spans="1:6" ht="16.5" customHeight="1">
      <c r="A86" s="179" t="str">
        <f t="shared" si="4"/>
        <v>rem</v>
      </c>
      <c r="B86" s="192" t="s">
        <v>109</v>
      </c>
      <c r="C86" s="172">
        <f>集計!K62</f>
        <v>0</v>
      </c>
      <c r="D86" s="4">
        <v>1</v>
      </c>
      <c r="E86" s="4">
        <v>3</v>
      </c>
      <c r="F86" s="192" t="s">
        <v>327</v>
      </c>
    </row>
    <row r="87" spans="1:6" ht="16.5" customHeight="1">
      <c r="A87" s="179" t="str">
        <f t="shared" si="4"/>
        <v>rem</v>
      </c>
      <c r="B87" s="192" t="s">
        <v>112</v>
      </c>
      <c r="C87" s="172">
        <f>集計!K64</f>
        <v>0</v>
      </c>
      <c r="D87" s="4">
        <v>1</v>
      </c>
      <c r="E87" s="4">
        <v>3</v>
      </c>
      <c r="F87" s="192" t="s">
        <v>328</v>
      </c>
    </row>
    <row r="88" spans="1:6" ht="16.5" customHeight="1">
      <c r="A88" s="179" t="str">
        <f t="shared" si="4"/>
        <v>rem</v>
      </c>
      <c r="B88" s="192" t="s">
        <v>114</v>
      </c>
      <c r="C88" s="172">
        <f>集計!K65</f>
        <v>0</v>
      </c>
      <c r="D88" s="4">
        <v>1</v>
      </c>
      <c r="E88" s="4">
        <v>3</v>
      </c>
      <c r="F88" s="192" t="s">
        <v>329</v>
      </c>
    </row>
    <row r="89" spans="1:6" ht="16.5" customHeight="1">
      <c r="A89" s="179" t="str">
        <f t="shared" si="4"/>
        <v>rem</v>
      </c>
      <c r="B89" s="192" t="s">
        <v>115</v>
      </c>
      <c r="C89" s="172">
        <f>集計!K66</f>
        <v>0</v>
      </c>
      <c r="D89" s="4">
        <v>1</v>
      </c>
      <c r="E89" s="4">
        <v>3</v>
      </c>
      <c r="F89" s="192" t="s">
        <v>330</v>
      </c>
    </row>
    <row r="90" spans="1:6" ht="16.5" customHeight="1">
      <c r="A90" s="179" t="str">
        <f t="shared" si="4"/>
        <v>rem</v>
      </c>
      <c r="B90" s="192" t="s">
        <v>116</v>
      </c>
      <c r="C90" s="172">
        <f>集計!K67</f>
        <v>0</v>
      </c>
      <c r="D90" s="4">
        <v>1</v>
      </c>
      <c r="E90" s="4">
        <v>3</v>
      </c>
      <c r="F90" s="192" t="s">
        <v>331</v>
      </c>
    </row>
    <row r="91" spans="1:6" ht="16.5" customHeight="1">
      <c r="A91" s="179" t="str">
        <f t="shared" si="4"/>
        <v>rem</v>
      </c>
      <c r="B91" s="192" t="s">
        <v>117</v>
      </c>
      <c r="C91" s="172">
        <f>集計!K68</f>
        <v>0</v>
      </c>
      <c r="D91" s="4">
        <v>1</v>
      </c>
      <c r="E91" s="4">
        <v>3</v>
      </c>
      <c r="F91" s="192" t="s">
        <v>332</v>
      </c>
    </row>
    <row r="92" spans="1:6" ht="16.5" customHeight="1">
      <c r="A92" s="18"/>
      <c r="B92" s="175" t="s">
        <v>333</v>
      </c>
      <c r="C92" s="172">
        <f>諸表!F34</f>
        <v>692571</v>
      </c>
      <c r="D92" s="18">
        <v>1</v>
      </c>
      <c r="E92" s="18">
        <v>3</v>
      </c>
      <c r="F92" s="175" t="s">
        <v>334</v>
      </c>
    </row>
    <row r="93" spans="1:6" ht="16.5" customHeight="1">
      <c r="A93" s="18"/>
      <c r="B93" s="182" t="s">
        <v>335</v>
      </c>
      <c r="C93" s="172">
        <f>諸表!H35</f>
        <v>-692571</v>
      </c>
      <c r="D93" s="18">
        <v>1</v>
      </c>
      <c r="E93" s="18">
        <v>2</v>
      </c>
      <c r="F93" s="175" t="s">
        <v>336</v>
      </c>
    </row>
    <row r="94" spans="1:6" ht="16.5" customHeight="1">
      <c r="A94" s="18"/>
      <c r="B94" s="175" t="s">
        <v>337</v>
      </c>
      <c r="C94" s="176"/>
      <c r="D94" s="18" t="s">
        <v>232</v>
      </c>
      <c r="E94" s="18">
        <v>2</v>
      </c>
      <c r="F94" s="175" t="s">
        <v>338</v>
      </c>
    </row>
    <row r="95" spans="1:6" ht="16.5" customHeight="1">
      <c r="A95" s="179" t="str">
        <f t="shared" ref="A95:A97" si="5">IF(C95=0,"rem","")</f>
        <v>rem</v>
      </c>
      <c r="B95" s="192" t="s">
        <v>78</v>
      </c>
      <c r="C95" s="172">
        <f>集計!K39</f>
        <v>0</v>
      </c>
      <c r="D95" s="4">
        <v>1</v>
      </c>
      <c r="E95" s="4">
        <v>3</v>
      </c>
      <c r="F95" s="192" t="s">
        <v>339</v>
      </c>
    </row>
    <row r="96" spans="1:6" ht="16.5" customHeight="1">
      <c r="A96" s="179" t="str">
        <f t="shared" si="5"/>
        <v>rem</v>
      </c>
      <c r="B96" s="192" t="s">
        <v>80</v>
      </c>
      <c r="C96" s="172">
        <f>集計!K40</f>
        <v>0</v>
      </c>
      <c r="D96" s="4">
        <v>1</v>
      </c>
      <c r="E96" s="4">
        <v>3</v>
      </c>
      <c r="F96" s="192" t="s">
        <v>340</v>
      </c>
    </row>
    <row r="97" spans="1:6" ht="16.5" customHeight="1">
      <c r="A97" s="179" t="str">
        <f t="shared" si="5"/>
        <v>rem</v>
      </c>
      <c r="B97" s="192" t="s">
        <v>82</v>
      </c>
      <c r="C97" s="172">
        <f>集計!K41</f>
        <v>0</v>
      </c>
      <c r="D97" s="4">
        <v>1</v>
      </c>
      <c r="E97" s="4">
        <v>3</v>
      </c>
      <c r="F97" s="192" t="s">
        <v>341</v>
      </c>
    </row>
    <row r="98" spans="1:6" ht="16.5" customHeight="1">
      <c r="A98" s="18"/>
      <c r="B98" s="175" t="s">
        <v>342</v>
      </c>
      <c r="C98" s="172">
        <f>諸表!G36</f>
        <v>0</v>
      </c>
      <c r="D98" s="18">
        <v>1</v>
      </c>
      <c r="E98" s="18">
        <v>3</v>
      </c>
      <c r="F98" s="175" t="s">
        <v>343</v>
      </c>
    </row>
    <row r="99" spans="1:6" ht="16.5" customHeight="1">
      <c r="A99" s="18"/>
      <c r="B99" s="175" t="s">
        <v>344</v>
      </c>
      <c r="C99" s="176"/>
      <c r="D99" s="18" t="s">
        <v>232</v>
      </c>
      <c r="E99" s="18">
        <v>2</v>
      </c>
      <c r="F99" s="175" t="s">
        <v>345</v>
      </c>
    </row>
    <row r="100" spans="1:6" ht="16.5" customHeight="1">
      <c r="A100" s="18"/>
      <c r="B100" s="175" t="s">
        <v>346</v>
      </c>
      <c r="C100" s="172">
        <f>諸表!F37</f>
        <v>0</v>
      </c>
      <c r="D100" s="18">
        <v>1</v>
      </c>
      <c r="E100" s="18">
        <v>3</v>
      </c>
      <c r="F100" s="175" t="s">
        <v>347</v>
      </c>
    </row>
    <row r="101" spans="1:6" ht="16.5" customHeight="1">
      <c r="A101" s="18"/>
      <c r="B101" s="175" t="s">
        <v>348</v>
      </c>
      <c r="C101" s="172">
        <f>諸表!H38</f>
        <v>-692571</v>
      </c>
      <c r="D101" s="18">
        <v>1</v>
      </c>
      <c r="E101" s="18">
        <v>2</v>
      </c>
      <c r="F101" s="175" t="s">
        <v>349</v>
      </c>
    </row>
    <row r="102" spans="1:6" ht="16.5" customHeight="1">
      <c r="A102" s="18"/>
      <c r="B102" s="175" t="s">
        <v>350</v>
      </c>
      <c r="C102" s="176"/>
      <c r="D102" s="18" t="s">
        <v>232</v>
      </c>
      <c r="E102" s="18">
        <v>2</v>
      </c>
      <c r="F102" s="175" t="s">
        <v>351</v>
      </c>
    </row>
    <row r="103" spans="1:6" ht="16.5" customHeight="1">
      <c r="A103" s="179" t="str">
        <f t="shared" ref="A103:A104" si="6">IF(C103=0,"rem","")</f>
        <v>rem</v>
      </c>
      <c r="B103" s="192" t="s">
        <v>85</v>
      </c>
      <c r="C103" s="172">
        <f>集計!K43</f>
        <v>0</v>
      </c>
      <c r="D103" s="4">
        <v>1</v>
      </c>
      <c r="E103" s="4">
        <v>3</v>
      </c>
      <c r="F103" s="192" t="s">
        <v>352</v>
      </c>
    </row>
    <row r="104" spans="1:6" ht="16.5" customHeight="1">
      <c r="A104" s="179" t="str">
        <f t="shared" si="6"/>
        <v/>
      </c>
      <c r="B104" s="192" t="s">
        <v>89</v>
      </c>
      <c r="C104" s="172">
        <f>集計!K46</f>
        <v>692571</v>
      </c>
      <c r="D104" s="4">
        <v>1</v>
      </c>
      <c r="E104" s="4">
        <v>3</v>
      </c>
      <c r="F104" s="192" t="s">
        <v>353</v>
      </c>
    </row>
    <row r="105" spans="1:6" ht="16.5" customHeight="1">
      <c r="A105" s="18"/>
      <c r="B105" s="175" t="s">
        <v>354</v>
      </c>
      <c r="C105" s="172">
        <f>諸表!G39</f>
        <v>692571</v>
      </c>
      <c r="D105" s="18">
        <v>1</v>
      </c>
      <c r="E105" s="18">
        <v>3</v>
      </c>
      <c r="F105" s="175" t="s">
        <v>355</v>
      </c>
    </row>
    <row r="106" spans="1:6" ht="16.5" customHeight="1">
      <c r="A106" s="18"/>
      <c r="B106" s="175" t="s">
        <v>356</v>
      </c>
      <c r="C106" s="176"/>
      <c r="D106" s="18" t="s">
        <v>232</v>
      </c>
      <c r="E106" s="18">
        <v>2</v>
      </c>
      <c r="F106" s="175" t="s">
        <v>357</v>
      </c>
    </row>
    <row r="107" spans="1:6" ht="16.5" customHeight="1">
      <c r="A107" s="18"/>
      <c r="B107" s="175" t="s">
        <v>358</v>
      </c>
      <c r="C107" s="172">
        <f>諸表!F40</f>
        <v>0</v>
      </c>
      <c r="D107" s="18">
        <v>1</v>
      </c>
      <c r="E107" s="18">
        <v>3</v>
      </c>
      <c r="F107" s="175" t="s">
        <v>359</v>
      </c>
    </row>
    <row r="108" spans="1:6" ht="16.5" customHeight="1">
      <c r="A108" s="18"/>
      <c r="B108" s="175" t="s">
        <v>360</v>
      </c>
      <c r="C108" s="172">
        <f>諸表!H41</f>
        <v>0</v>
      </c>
      <c r="D108" s="18">
        <v>1</v>
      </c>
      <c r="E108" s="18">
        <v>2</v>
      </c>
      <c r="F108" s="175" t="s">
        <v>361</v>
      </c>
    </row>
    <row r="109" spans="1:6" ht="16.5" customHeight="1">
      <c r="A109" s="18"/>
      <c r="B109" s="175" t="s">
        <v>362</v>
      </c>
      <c r="C109" s="176"/>
      <c r="D109" s="18" t="s">
        <v>232</v>
      </c>
      <c r="E109" s="18">
        <v>2</v>
      </c>
      <c r="F109" s="175" t="s">
        <v>363</v>
      </c>
    </row>
    <row r="110" spans="1:6" ht="16.5" customHeight="1">
      <c r="A110" s="179" t="str">
        <f t="shared" ref="A110:A112" si="7">IF(C110=0,"rem","")</f>
        <v>rem</v>
      </c>
      <c r="B110" s="192" t="s">
        <v>122</v>
      </c>
      <c r="C110" s="172">
        <f>集計!K72</f>
        <v>0</v>
      </c>
      <c r="D110" s="4">
        <v>1</v>
      </c>
      <c r="E110" s="4">
        <v>3</v>
      </c>
      <c r="F110" s="192" t="s">
        <v>364</v>
      </c>
    </row>
    <row r="111" spans="1:6" ht="16.5" customHeight="1">
      <c r="A111" s="179" t="str">
        <f t="shared" si="7"/>
        <v/>
      </c>
      <c r="B111" s="192" t="s">
        <v>128</v>
      </c>
      <c r="C111" s="172">
        <f>集計!K75</f>
        <v>22000</v>
      </c>
      <c r="D111" s="4">
        <v>1</v>
      </c>
      <c r="E111" s="4">
        <v>3</v>
      </c>
      <c r="F111" s="192" t="s">
        <v>365</v>
      </c>
    </row>
    <row r="112" spans="1:6" ht="16.5" customHeight="1">
      <c r="A112" s="179" t="str">
        <f t="shared" si="7"/>
        <v/>
      </c>
      <c r="B112" s="192" t="s">
        <v>131</v>
      </c>
      <c r="C112" s="172">
        <f>集計!K77</f>
        <v>60000</v>
      </c>
      <c r="D112" s="4">
        <v>1</v>
      </c>
      <c r="E112" s="4">
        <v>3</v>
      </c>
      <c r="F112" s="192" t="s">
        <v>366</v>
      </c>
    </row>
    <row r="113" spans="1:6" ht="16.5" customHeight="1">
      <c r="A113" s="18"/>
      <c r="B113" s="175" t="s">
        <v>367</v>
      </c>
      <c r="C113" s="172">
        <f>諸表!F42</f>
        <v>82000</v>
      </c>
      <c r="D113" s="18">
        <v>1</v>
      </c>
      <c r="E113" s="18">
        <v>3</v>
      </c>
      <c r="F113" s="175" t="s">
        <v>368</v>
      </c>
    </row>
    <row r="114" spans="1:6" ht="16.5" customHeight="1">
      <c r="A114" s="18"/>
      <c r="B114" s="19" t="s">
        <v>369</v>
      </c>
      <c r="C114" s="172">
        <f>諸表!H43</f>
        <v>-82000</v>
      </c>
      <c r="D114" s="18">
        <v>1</v>
      </c>
      <c r="E114" s="18">
        <v>2</v>
      </c>
      <c r="F114" s="175" t="s">
        <v>370</v>
      </c>
    </row>
    <row r="115" spans="1:6" ht="16.5" customHeight="1">
      <c r="A115" s="4" t="s">
        <v>183</v>
      </c>
      <c r="B115" s="192"/>
      <c r="C115" s="173"/>
      <c r="D115" s="4"/>
      <c r="E115" s="4"/>
      <c r="F115" s="192"/>
    </row>
    <row r="116" spans="1:6" ht="16.5" customHeight="1">
      <c r="A116" s="53"/>
      <c r="B116" s="49" t="s">
        <v>197</v>
      </c>
      <c r="C116" s="172" t="s">
        <v>371</v>
      </c>
      <c r="D116" s="53"/>
      <c r="E116" s="53"/>
      <c r="F116" s="49"/>
    </row>
    <row r="117" spans="1:6" ht="16.5" customHeight="1">
      <c r="A117" s="53"/>
      <c r="B117" s="49" t="s">
        <v>157</v>
      </c>
      <c r="C117" s="172"/>
      <c r="D117" s="53"/>
      <c r="E117" s="53"/>
      <c r="F117" s="49"/>
    </row>
    <row r="118" spans="1:6" ht="16.5" customHeight="1">
      <c r="A118" s="25"/>
      <c r="B118" s="99" t="s">
        <v>283</v>
      </c>
      <c r="C118" s="176"/>
      <c r="D118" s="18" t="s">
        <v>232</v>
      </c>
      <c r="E118" s="18">
        <v>2</v>
      </c>
      <c r="F118" s="175" t="s">
        <v>372</v>
      </c>
    </row>
    <row r="119" spans="1:6" ht="16.5" customHeight="1">
      <c r="A119" s="18"/>
      <c r="B119" s="175" t="s">
        <v>373</v>
      </c>
      <c r="C119" s="176"/>
      <c r="D119" s="18" t="s">
        <v>232</v>
      </c>
      <c r="E119" s="18">
        <v>3</v>
      </c>
      <c r="F119" s="175" t="s">
        <v>374</v>
      </c>
    </row>
    <row r="120" spans="1:6" ht="16.5" customHeight="1">
      <c r="A120" s="18"/>
      <c r="B120" s="175" t="s">
        <v>158</v>
      </c>
      <c r="C120" s="172">
        <f>諸表!F50</f>
        <v>2000000</v>
      </c>
      <c r="D120" s="18">
        <v>1</v>
      </c>
      <c r="E120" s="18">
        <v>4</v>
      </c>
      <c r="F120" s="175" t="s">
        <v>375</v>
      </c>
    </row>
    <row r="121" spans="1:6" ht="16.5" customHeight="1">
      <c r="A121" s="18"/>
      <c r="B121" s="19" t="s">
        <v>376</v>
      </c>
      <c r="C121" s="172">
        <f>諸表!H51</f>
        <v>0</v>
      </c>
      <c r="D121" s="18">
        <v>1</v>
      </c>
      <c r="E121" s="18">
        <v>4</v>
      </c>
      <c r="F121" s="175" t="s">
        <v>377</v>
      </c>
    </row>
    <row r="122" spans="1:6" ht="16.5" customHeight="1">
      <c r="A122" s="179" t="str">
        <f>IF(C122=0,"rem","")</f>
        <v>rem</v>
      </c>
      <c r="B122" s="175" t="s">
        <v>163</v>
      </c>
      <c r="C122" s="172">
        <f>諸表!H51</f>
        <v>0</v>
      </c>
      <c r="D122" s="18">
        <v>1</v>
      </c>
      <c r="E122" s="18">
        <v>5</v>
      </c>
      <c r="F122" s="175" t="s">
        <v>378</v>
      </c>
    </row>
    <row r="123" spans="1:6" ht="16.5" customHeight="1">
      <c r="A123" s="18"/>
      <c r="B123" s="175" t="s">
        <v>159</v>
      </c>
      <c r="C123" s="172">
        <f>諸表!G52</f>
        <v>2000000</v>
      </c>
      <c r="D123" s="18">
        <v>1</v>
      </c>
      <c r="E123" s="18">
        <v>4</v>
      </c>
      <c r="F123" s="175" t="s">
        <v>379</v>
      </c>
    </row>
    <row r="124" spans="1:6" ht="16.5" customHeight="1">
      <c r="A124" s="18"/>
      <c r="B124" s="175" t="s">
        <v>286</v>
      </c>
      <c r="C124" s="176"/>
      <c r="D124" s="18" t="s">
        <v>232</v>
      </c>
      <c r="E124" s="18">
        <v>3</v>
      </c>
      <c r="F124" s="175" t="s">
        <v>380</v>
      </c>
    </row>
    <row r="125" spans="1:6" ht="16.5" customHeight="1">
      <c r="A125" s="18"/>
      <c r="B125" s="175" t="s">
        <v>158</v>
      </c>
      <c r="C125" s="172">
        <f>諸表!F53</f>
        <v>-1038600</v>
      </c>
      <c r="D125" s="18">
        <v>1</v>
      </c>
      <c r="E125" s="18">
        <v>4</v>
      </c>
      <c r="F125" s="175" t="s">
        <v>381</v>
      </c>
    </row>
    <row r="126" spans="1:6" ht="16.5" customHeight="1">
      <c r="A126" s="18"/>
      <c r="B126" s="175" t="s">
        <v>376</v>
      </c>
      <c r="C126" s="172">
        <f>諸表!H53</f>
        <v>-82000</v>
      </c>
      <c r="D126" s="18">
        <v>1</v>
      </c>
      <c r="E126" s="18">
        <v>4</v>
      </c>
      <c r="F126" s="175" t="s">
        <v>382</v>
      </c>
    </row>
    <row r="127" spans="1:6" ht="16.5" customHeight="1">
      <c r="A127" s="18"/>
      <c r="B127" s="175" t="s">
        <v>383</v>
      </c>
      <c r="C127" s="176"/>
      <c r="D127" s="18" t="s">
        <v>232</v>
      </c>
      <c r="E127" s="18">
        <v>5</v>
      </c>
      <c r="F127" s="175" t="s">
        <v>384</v>
      </c>
    </row>
    <row r="128" spans="1:6" ht="16.5" customHeight="1">
      <c r="A128" s="179" t="str">
        <f>IF(C128=0,"rem","")</f>
        <v/>
      </c>
      <c r="B128" s="175" t="s">
        <v>165</v>
      </c>
      <c r="C128" s="172">
        <f>諸表!H55</f>
        <v>-82000</v>
      </c>
      <c r="D128" s="18">
        <v>1</v>
      </c>
      <c r="E128" s="18">
        <v>6</v>
      </c>
      <c r="F128" s="175" t="s">
        <v>385</v>
      </c>
    </row>
    <row r="129" spans="1:6" ht="16.5" customHeight="1">
      <c r="A129" s="18"/>
      <c r="B129" s="175" t="s">
        <v>159</v>
      </c>
      <c r="C129" s="172">
        <f>諸表!G53</f>
        <v>-1120600</v>
      </c>
      <c r="D129" s="18">
        <v>1</v>
      </c>
      <c r="E129" s="18">
        <v>4</v>
      </c>
      <c r="F129" s="175" t="s">
        <v>386</v>
      </c>
    </row>
    <row r="130" spans="1:6" ht="16.5" customHeight="1">
      <c r="A130" s="18"/>
      <c r="B130" s="175" t="s">
        <v>387</v>
      </c>
      <c r="C130" s="176"/>
      <c r="D130" s="18" t="s">
        <v>232</v>
      </c>
      <c r="E130" s="18">
        <v>2</v>
      </c>
      <c r="F130" s="175" t="s">
        <v>388</v>
      </c>
    </row>
    <row r="131" spans="1:6" ht="16.5" customHeight="1">
      <c r="A131" s="18"/>
      <c r="B131" s="175" t="s">
        <v>158</v>
      </c>
      <c r="C131" s="172">
        <f>諸表!F57</f>
        <v>961400</v>
      </c>
      <c r="D131" s="18">
        <v>1</v>
      </c>
      <c r="E131" s="18">
        <v>3</v>
      </c>
      <c r="F131" s="175" t="s">
        <v>389</v>
      </c>
    </row>
    <row r="132" spans="1:6" ht="16.5" customHeight="1">
      <c r="A132" s="18"/>
      <c r="B132" s="175" t="s">
        <v>376</v>
      </c>
      <c r="C132" s="172">
        <f>諸表!H57</f>
        <v>-82000</v>
      </c>
      <c r="D132" s="18">
        <v>1</v>
      </c>
      <c r="E132" s="18">
        <v>3</v>
      </c>
      <c r="F132" s="175" t="s">
        <v>390</v>
      </c>
    </row>
    <row r="133" spans="1:6" ht="16.5" customHeight="1">
      <c r="A133" s="18"/>
      <c r="B133" s="175" t="s">
        <v>159</v>
      </c>
      <c r="C133" s="172">
        <f>諸表!G57</f>
        <v>879400</v>
      </c>
      <c r="D133" s="18">
        <v>1</v>
      </c>
      <c r="E133" s="18">
        <v>3</v>
      </c>
      <c r="F133" s="175" t="s">
        <v>391</v>
      </c>
    </row>
    <row r="134" spans="1:6" ht="16.5" customHeight="1">
      <c r="A134" s="18"/>
      <c r="B134" s="19" t="s">
        <v>293</v>
      </c>
      <c r="C134" s="176"/>
      <c r="D134" s="18" t="s">
        <v>232</v>
      </c>
      <c r="E134" s="18">
        <v>2</v>
      </c>
      <c r="F134" s="19" t="s">
        <v>392</v>
      </c>
    </row>
    <row r="135" spans="1:6" ht="16.5" customHeight="1">
      <c r="A135" s="18"/>
      <c r="B135" s="175" t="s">
        <v>158</v>
      </c>
      <c r="C135" s="172">
        <f>諸表!F62</f>
        <v>0</v>
      </c>
      <c r="D135" s="18">
        <v>1</v>
      </c>
      <c r="E135" s="18">
        <v>3</v>
      </c>
      <c r="F135" s="175" t="s">
        <v>393</v>
      </c>
    </row>
    <row r="136" spans="1:6" ht="16.5" customHeight="1">
      <c r="A136" s="18"/>
      <c r="B136" s="175" t="s">
        <v>376</v>
      </c>
      <c r="C136" s="172">
        <f>諸表!H62</f>
        <v>0</v>
      </c>
      <c r="D136" s="18">
        <v>1</v>
      </c>
      <c r="E136" s="18">
        <v>3</v>
      </c>
      <c r="F136" s="175" t="s">
        <v>394</v>
      </c>
    </row>
    <row r="137" spans="1:6" ht="16.5" customHeight="1">
      <c r="A137" s="18"/>
      <c r="B137" s="19" t="s">
        <v>395</v>
      </c>
      <c r="C137" s="176"/>
      <c r="D137" s="18" t="s">
        <v>232</v>
      </c>
      <c r="E137" s="18">
        <v>4</v>
      </c>
      <c r="F137" s="175" t="s">
        <v>396</v>
      </c>
    </row>
    <row r="138" spans="1:6" ht="16.5" customHeight="1">
      <c r="A138" s="179" t="str">
        <f>IF(C138=0,"rem","")</f>
        <v>rem</v>
      </c>
      <c r="B138" s="175" t="s">
        <v>397</v>
      </c>
      <c r="C138" s="172">
        <f>諸表!H60</f>
        <v>0</v>
      </c>
      <c r="D138" s="18">
        <v>1</v>
      </c>
      <c r="E138" s="18">
        <v>5</v>
      </c>
      <c r="F138" s="175" t="s">
        <v>398</v>
      </c>
    </row>
    <row r="139" spans="1:6" ht="16.5" customHeight="1">
      <c r="A139" s="18"/>
      <c r="B139" s="175" t="s">
        <v>159</v>
      </c>
      <c r="C139" s="172">
        <f>諸表!G62</f>
        <v>0</v>
      </c>
      <c r="D139" s="18">
        <v>1</v>
      </c>
      <c r="E139" s="18">
        <v>3</v>
      </c>
      <c r="F139" s="175" t="s">
        <v>399</v>
      </c>
    </row>
    <row r="140" spans="1:6" ht="16.5" customHeight="1">
      <c r="A140" s="18"/>
      <c r="B140" s="175" t="s">
        <v>400</v>
      </c>
      <c r="C140" s="176"/>
      <c r="D140" s="18" t="s">
        <v>232</v>
      </c>
      <c r="E140" s="18">
        <v>2</v>
      </c>
      <c r="F140" s="175" t="s">
        <v>401</v>
      </c>
    </row>
    <row r="141" spans="1:6" ht="16.5" customHeight="1">
      <c r="A141" s="18"/>
      <c r="B141" s="175" t="s">
        <v>158</v>
      </c>
      <c r="C141" s="172">
        <f>諸表!F63</f>
        <v>961400</v>
      </c>
      <c r="D141" s="18">
        <v>1</v>
      </c>
      <c r="E141" s="18">
        <v>3</v>
      </c>
      <c r="F141" s="175" t="s">
        <v>402</v>
      </c>
    </row>
    <row r="142" spans="1:6" ht="16.5" customHeight="1">
      <c r="A142" s="18"/>
      <c r="B142" s="175" t="s">
        <v>376</v>
      </c>
      <c r="C142" s="172">
        <f>諸表!H63</f>
        <v>-82000</v>
      </c>
      <c r="D142" s="18">
        <v>1</v>
      </c>
      <c r="E142" s="18">
        <v>3</v>
      </c>
      <c r="F142" s="175" t="s">
        <v>403</v>
      </c>
    </row>
    <row r="143" spans="1:6" ht="16.5" customHeight="1">
      <c r="A143" s="18"/>
      <c r="B143" s="175" t="s">
        <v>159</v>
      </c>
      <c r="C143" s="172">
        <f>諸表!G63</f>
        <v>879400</v>
      </c>
      <c r="D143" s="18">
        <v>1</v>
      </c>
      <c r="E143" s="18">
        <v>3</v>
      </c>
      <c r="F143" s="175" t="s">
        <v>404</v>
      </c>
    </row>
    <row r="144" spans="1:6" ht="16.5" customHeight="1">
      <c r="A144" s="4" t="s">
        <v>183</v>
      </c>
      <c r="B144" s="192"/>
      <c r="C144" s="173"/>
      <c r="D144" s="4"/>
      <c r="E144" s="4"/>
      <c r="F144" s="192"/>
    </row>
    <row r="145" spans="1:6" ht="16.5" customHeight="1">
      <c r="A145" s="53"/>
      <c r="B145" s="49"/>
      <c r="C145" s="172"/>
      <c r="D145" s="53"/>
      <c r="E145" s="53"/>
      <c r="F145" s="49"/>
    </row>
  </sheetData>
  <hyperlinks>
    <hyperlink ref="C2" r:id="rId1" xr:uid="{00000000-0004-0000-0600-000000000000}"/>
    <hyperlink ref="C3" r:id="rId2" xr:uid="{00000000-0004-0000-0600-000001000000}"/>
    <hyperlink ref="C4" r:id="rId3" xr:uid="{00000000-0004-0000-0600-000002000000}"/>
    <hyperlink ref="C5" r:id="rId4" xr:uid="{00000000-0004-0000-0600-000003000000}"/>
  </hyperlinks>
  <pageMargins left="0" right="0" top="0" bottom="0"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28"/>
  <sheetViews>
    <sheetView workbookViewId="0">
      <pane ySplit="1" topLeftCell="A2" activePane="bottomLeft" state="frozen"/>
      <selection pane="bottomLeft"/>
    </sheetView>
  </sheetViews>
  <sheetFormatPr defaultColWidth="14.42578125" defaultRowHeight="16.5" customHeight="1"/>
  <cols>
    <col min="1" max="1" width="5" style="84" customWidth="1"/>
    <col min="2" max="2" width="14.85546875" style="84" customWidth="1"/>
    <col min="3" max="3" width="5" style="84" customWidth="1"/>
    <col min="4" max="4" width="5.28515625" style="84" customWidth="1"/>
    <col min="5" max="13" width="15.85546875" style="84" customWidth="1"/>
    <col min="14" max="17" width="15.85546875" style="84" hidden="1" customWidth="1"/>
    <col min="18" max="18" width="15.85546875" style="84" customWidth="1"/>
    <col min="19" max="21" width="14.42578125" style="84" hidden="1" customWidth="1"/>
    <col min="22" max="16384" width="14.42578125" style="84"/>
  </cols>
  <sheetData>
    <row r="1" spans="1:22" ht="16.5" customHeight="1">
      <c r="A1" s="184" t="s">
        <v>183</v>
      </c>
      <c r="B1" s="184" t="s">
        <v>405</v>
      </c>
      <c r="C1" s="45" t="s">
        <v>406</v>
      </c>
      <c r="D1" s="45" t="s">
        <v>186</v>
      </c>
      <c r="E1" s="185" t="s">
        <v>407</v>
      </c>
      <c r="F1" s="185" t="s">
        <v>408</v>
      </c>
      <c r="G1" s="185" t="s">
        <v>409</v>
      </c>
      <c r="H1" s="45" t="s">
        <v>410</v>
      </c>
      <c r="I1" s="185" t="s">
        <v>411</v>
      </c>
      <c r="J1" s="185" t="s">
        <v>412</v>
      </c>
      <c r="K1" s="185" t="s">
        <v>413</v>
      </c>
      <c r="L1" s="184" t="s">
        <v>414</v>
      </c>
      <c r="M1" s="184" t="s">
        <v>415</v>
      </c>
      <c r="N1" s="184" t="s">
        <v>416</v>
      </c>
      <c r="O1" s="184" t="s">
        <v>417</v>
      </c>
      <c r="P1" s="184" t="s">
        <v>418</v>
      </c>
      <c r="Q1" s="184" t="s">
        <v>419</v>
      </c>
      <c r="R1" s="184" t="s">
        <v>420</v>
      </c>
      <c r="S1" s="184" t="s">
        <v>421</v>
      </c>
      <c r="T1" s="184" t="s">
        <v>422</v>
      </c>
      <c r="U1" s="184" t="s">
        <v>423</v>
      </c>
      <c r="V1" s="165"/>
    </row>
    <row r="2" spans="1:22" ht="16.5" customHeight="1">
      <c r="A2" s="186" t="s">
        <v>183</v>
      </c>
      <c r="B2" s="203" t="s">
        <v>424</v>
      </c>
      <c r="C2" s="201"/>
      <c r="D2" s="201"/>
      <c r="E2" s="201"/>
      <c r="F2" s="201"/>
      <c r="G2" s="204" t="s">
        <v>425</v>
      </c>
      <c r="H2" s="201"/>
      <c r="I2" s="201"/>
      <c r="J2" s="201"/>
      <c r="K2" s="201"/>
      <c r="L2" s="201"/>
      <c r="M2" s="195"/>
      <c r="N2" s="195"/>
      <c r="O2" s="195"/>
      <c r="P2" s="195"/>
      <c r="Q2" s="195"/>
      <c r="R2" s="195"/>
      <c r="S2" s="195"/>
      <c r="T2" s="195"/>
      <c r="U2" s="195"/>
      <c r="V2" s="165"/>
    </row>
    <row r="3" spans="1:22" ht="16.5" customHeight="1">
      <c r="A3" s="186" t="s">
        <v>183</v>
      </c>
      <c r="B3" s="200" t="s">
        <v>426</v>
      </c>
      <c r="C3" s="201"/>
      <c r="D3" s="201"/>
      <c r="E3" s="201"/>
      <c r="F3" s="201"/>
      <c r="G3" s="205" t="s">
        <v>427</v>
      </c>
      <c r="H3" s="201"/>
      <c r="I3" s="201"/>
      <c r="J3" s="201"/>
      <c r="K3" s="201"/>
      <c r="L3" s="201"/>
      <c r="M3" s="195"/>
      <c r="N3" s="195"/>
      <c r="O3" s="195"/>
      <c r="P3" s="195"/>
      <c r="Q3" s="195"/>
      <c r="R3" s="195"/>
      <c r="S3" s="195"/>
      <c r="T3" s="195"/>
      <c r="U3" s="195"/>
      <c r="V3" s="165"/>
    </row>
    <row r="4" spans="1:22" ht="16.5" customHeight="1">
      <c r="A4" s="186" t="s">
        <v>183</v>
      </c>
      <c r="B4" s="200" t="s">
        <v>195</v>
      </c>
      <c r="C4" s="201"/>
      <c r="D4" s="201"/>
      <c r="E4" s="201"/>
      <c r="F4" s="201"/>
      <c r="G4" s="205" t="s">
        <v>196</v>
      </c>
      <c r="H4" s="201"/>
      <c r="I4" s="201"/>
      <c r="J4" s="201"/>
      <c r="K4" s="201"/>
      <c r="L4" s="201"/>
      <c r="M4" s="195"/>
      <c r="N4" s="195"/>
      <c r="O4" s="195"/>
      <c r="P4" s="195"/>
      <c r="Q4" s="195"/>
      <c r="R4" s="195"/>
      <c r="S4" s="195"/>
      <c r="T4" s="195"/>
      <c r="U4" s="195"/>
      <c r="V4" s="165"/>
    </row>
    <row r="5" spans="1:22" ht="16.5" customHeight="1">
      <c r="A5" s="186" t="s">
        <v>183</v>
      </c>
      <c r="B5" s="200"/>
      <c r="C5" s="201"/>
      <c r="D5" s="201"/>
      <c r="E5" s="173"/>
      <c r="F5" s="173"/>
      <c r="G5" s="178"/>
      <c r="H5" s="178"/>
      <c r="I5" s="178"/>
      <c r="J5" s="178"/>
      <c r="K5" s="173"/>
      <c r="L5" s="173"/>
      <c r="M5" s="196"/>
      <c r="N5" s="195"/>
      <c r="O5" s="195"/>
      <c r="P5" s="195"/>
      <c r="Q5" s="195"/>
      <c r="R5" s="195"/>
      <c r="S5" s="195"/>
      <c r="T5" s="195"/>
      <c r="U5" s="195"/>
      <c r="V5" s="165"/>
    </row>
    <row r="6" spans="1:22" ht="16.5" customHeight="1">
      <c r="A6" s="186" t="s">
        <v>183</v>
      </c>
      <c r="B6" s="200" t="s">
        <v>428</v>
      </c>
      <c r="C6" s="201"/>
      <c r="D6" s="201"/>
      <c r="E6" s="173" t="s">
        <v>429</v>
      </c>
      <c r="F6" s="173" t="s">
        <v>430</v>
      </c>
      <c r="G6" s="178" t="s">
        <v>431</v>
      </c>
      <c r="H6" s="178" t="s">
        <v>432</v>
      </c>
      <c r="I6" s="178" t="s">
        <v>433</v>
      </c>
      <c r="J6" s="178" t="s">
        <v>3</v>
      </c>
      <c r="K6" s="173"/>
      <c r="L6" s="173"/>
      <c r="M6" s="196"/>
      <c r="N6" s="195"/>
      <c r="O6" s="195"/>
      <c r="P6" s="195"/>
      <c r="Q6" s="195"/>
      <c r="R6" s="195"/>
      <c r="S6" s="195"/>
      <c r="T6" s="195"/>
      <c r="U6" s="195"/>
      <c r="V6" s="165"/>
    </row>
    <row r="7" spans="1:22" ht="16.5" customHeight="1">
      <c r="A7" s="186"/>
      <c r="B7" s="195" t="s">
        <v>434</v>
      </c>
      <c r="C7" s="192" t="s">
        <v>435</v>
      </c>
      <c r="D7" s="192" t="s">
        <v>436</v>
      </c>
      <c r="E7" s="173" t="s">
        <v>437</v>
      </c>
      <c r="F7" s="173" t="s">
        <v>438</v>
      </c>
      <c r="G7" s="173" t="s">
        <v>439</v>
      </c>
      <c r="H7" s="187" t="s">
        <v>440</v>
      </c>
      <c r="I7" s="172">
        <f>集計!$J$5</f>
        <v>2038157</v>
      </c>
      <c r="J7" s="173"/>
      <c r="K7" s="173" t="s">
        <v>441</v>
      </c>
      <c r="L7" s="195"/>
      <c r="M7" s="195"/>
      <c r="N7" s="195"/>
      <c r="O7" s="195"/>
      <c r="P7" s="195"/>
      <c r="Q7" s="195"/>
      <c r="R7" s="195"/>
      <c r="S7" s="195"/>
      <c r="T7" s="195"/>
      <c r="U7" s="195"/>
      <c r="V7" s="165"/>
    </row>
    <row r="8" spans="1:22" ht="16.5" customHeight="1">
      <c r="A8" s="186" t="s">
        <v>183</v>
      </c>
      <c r="B8" s="200"/>
      <c r="C8" s="201"/>
      <c r="D8" s="201"/>
      <c r="E8" s="173"/>
      <c r="F8" s="173"/>
      <c r="G8" s="178"/>
      <c r="H8" s="178"/>
      <c r="I8" s="178"/>
      <c r="J8" s="178"/>
      <c r="K8" s="173"/>
      <c r="L8" s="173"/>
      <c r="M8" s="196"/>
      <c r="N8" s="195"/>
      <c r="O8" s="195"/>
      <c r="P8" s="195"/>
      <c r="Q8" s="195"/>
      <c r="R8" s="195"/>
      <c r="S8" s="195"/>
      <c r="T8" s="195"/>
      <c r="U8" s="195"/>
      <c r="V8" s="165"/>
    </row>
    <row r="9" spans="1:22" ht="16.5" customHeight="1">
      <c r="A9" s="186" t="s">
        <v>183</v>
      </c>
      <c r="B9" s="200" t="s">
        <v>428</v>
      </c>
      <c r="C9" s="201"/>
      <c r="D9" s="201"/>
      <c r="E9" s="173"/>
      <c r="F9" s="173"/>
      <c r="G9" s="178"/>
      <c r="H9" s="178"/>
      <c r="I9" s="178" t="s">
        <v>442</v>
      </c>
      <c r="J9" s="178" t="s">
        <v>3</v>
      </c>
      <c r="K9" s="173"/>
      <c r="L9" s="173"/>
      <c r="M9" s="196"/>
      <c r="N9" s="195"/>
      <c r="O9" s="195"/>
      <c r="P9" s="195"/>
      <c r="Q9" s="195"/>
      <c r="R9" s="195"/>
      <c r="S9" s="195"/>
      <c r="T9" s="195"/>
      <c r="U9" s="195"/>
      <c r="V9" s="165"/>
    </row>
    <row r="10" spans="1:22" ht="16.5" customHeight="1">
      <c r="A10" s="186"/>
      <c r="B10" s="195" t="s">
        <v>434</v>
      </c>
      <c r="C10" s="192" t="s">
        <v>435</v>
      </c>
      <c r="D10" s="192" t="s">
        <v>435</v>
      </c>
      <c r="E10" s="173"/>
      <c r="F10" s="173"/>
      <c r="G10" s="173"/>
      <c r="H10" s="173"/>
      <c r="I10" s="172">
        <f>集計!$K$4</f>
        <v>2038157</v>
      </c>
      <c r="J10" s="173"/>
      <c r="K10" s="173" t="s">
        <v>441</v>
      </c>
      <c r="L10" s="195"/>
      <c r="M10" s="195"/>
      <c r="N10" s="195"/>
      <c r="O10" s="195"/>
      <c r="P10" s="195"/>
      <c r="Q10" s="195"/>
      <c r="R10" s="195"/>
      <c r="S10" s="195"/>
      <c r="T10" s="195"/>
      <c r="U10" s="195"/>
      <c r="V10" s="165"/>
    </row>
    <row r="11" spans="1:22" ht="16.5" customHeight="1">
      <c r="A11" s="186" t="s">
        <v>183</v>
      </c>
      <c r="B11" s="200"/>
      <c r="C11" s="201"/>
      <c r="D11" s="201"/>
      <c r="E11" s="173"/>
      <c r="F11" s="173"/>
      <c r="G11" s="178"/>
      <c r="H11" s="178"/>
      <c r="I11" s="178"/>
      <c r="J11" s="178"/>
      <c r="K11" s="173"/>
      <c r="L11" s="173"/>
      <c r="M11" s="196"/>
      <c r="N11" s="195"/>
      <c r="O11" s="195"/>
      <c r="P11" s="195"/>
      <c r="Q11" s="195"/>
      <c r="R11" s="195"/>
      <c r="S11" s="195"/>
      <c r="T11" s="195"/>
      <c r="U11" s="195"/>
      <c r="V11" s="165"/>
    </row>
    <row r="12" spans="1:22" ht="16.5" customHeight="1">
      <c r="A12" s="186" t="s">
        <v>183</v>
      </c>
      <c r="B12" s="202" t="s">
        <v>443</v>
      </c>
      <c r="C12" s="201"/>
      <c r="D12" s="201"/>
      <c r="E12" s="173" t="s">
        <v>406</v>
      </c>
      <c r="F12" s="173" t="s">
        <v>444</v>
      </c>
      <c r="G12" s="173" t="s">
        <v>445</v>
      </c>
      <c r="H12" s="173" t="s">
        <v>446</v>
      </c>
      <c r="I12" s="178" t="s">
        <v>433</v>
      </c>
      <c r="J12" s="178" t="s">
        <v>3</v>
      </c>
      <c r="K12" s="173"/>
      <c r="L12" s="195"/>
      <c r="M12" s="195"/>
      <c r="N12" s="195"/>
      <c r="O12" s="195"/>
      <c r="P12" s="195"/>
      <c r="Q12" s="195"/>
      <c r="R12" s="195"/>
      <c r="S12" s="195"/>
      <c r="T12" s="195"/>
      <c r="U12" s="195"/>
      <c r="V12" s="165"/>
    </row>
    <row r="13" spans="1:22" ht="33" customHeight="1">
      <c r="A13" s="186"/>
      <c r="B13" s="195" t="s">
        <v>447</v>
      </c>
      <c r="C13" s="192" t="s">
        <v>448</v>
      </c>
      <c r="D13" s="192" t="s">
        <v>436</v>
      </c>
      <c r="E13" s="173" t="s">
        <v>57</v>
      </c>
      <c r="F13" s="173" t="s">
        <v>449</v>
      </c>
      <c r="G13" s="178" t="s">
        <v>450</v>
      </c>
      <c r="H13" s="178" t="s">
        <v>451</v>
      </c>
      <c r="I13" s="172">
        <f>集計!$K$21</f>
        <v>11512</v>
      </c>
      <c r="J13" s="173" t="s">
        <v>452</v>
      </c>
      <c r="K13" s="173" t="s">
        <v>441</v>
      </c>
      <c r="L13" s="195"/>
      <c r="M13" s="195"/>
      <c r="N13" s="195"/>
      <c r="O13" s="195"/>
      <c r="P13" s="195"/>
      <c r="Q13" s="195"/>
      <c r="R13" s="195"/>
      <c r="S13" s="195"/>
      <c r="T13" s="195"/>
      <c r="U13" s="195"/>
      <c r="V13" s="165"/>
    </row>
    <row r="14" spans="1:22" ht="16.5" customHeight="1">
      <c r="A14" s="186" t="s">
        <v>183</v>
      </c>
      <c r="B14" s="200"/>
      <c r="C14" s="201"/>
      <c r="D14" s="201"/>
      <c r="E14" s="173"/>
      <c r="F14" s="173"/>
      <c r="G14" s="178"/>
      <c r="H14" s="178"/>
      <c r="I14" s="173"/>
      <c r="J14" s="173"/>
      <c r="K14" s="173"/>
      <c r="L14" s="195"/>
      <c r="M14" s="195"/>
      <c r="N14" s="195"/>
      <c r="O14" s="195"/>
      <c r="P14" s="195"/>
      <c r="Q14" s="195"/>
      <c r="R14" s="195"/>
      <c r="S14" s="195"/>
      <c r="T14" s="195"/>
      <c r="U14" s="195"/>
      <c r="V14" s="165"/>
    </row>
    <row r="15" spans="1:22" ht="33" customHeight="1">
      <c r="A15" s="186" t="s">
        <v>183</v>
      </c>
      <c r="B15" s="200" t="s">
        <v>453</v>
      </c>
      <c r="C15" s="201"/>
      <c r="D15" s="201"/>
      <c r="E15" s="173" t="s">
        <v>454</v>
      </c>
      <c r="F15" s="173" t="s">
        <v>455</v>
      </c>
      <c r="G15" s="173" t="s">
        <v>456</v>
      </c>
      <c r="H15" s="178" t="s">
        <v>433</v>
      </c>
      <c r="I15" s="178" t="s">
        <v>457</v>
      </c>
      <c r="J15" s="178" t="s">
        <v>458</v>
      </c>
      <c r="K15" s="173" t="s">
        <v>459</v>
      </c>
      <c r="L15" s="173"/>
      <c r="M15" s="196"/>
      <c r="N15" s="195"/>
      <c r="O15" s="195"/>
      <c r="P15" s="195"/>
      <c r="Q15" s="195"/>
      <c r="R15" s="195"/>
      <c r="S15" s="195"/>
      <c r="T15" s="195"/>
      <c r="U15" s="195"/>
      <c r="V15" s="165"/>
    </row>
    <row r="16" spans="1:22" ht="16.5" customHeight="1">
      <c r="A16" s="186"/>
      <c r="B16" s="195" t="s">
        <v>460</v>
      </c>
      <c r="C16" s="192" t="s">
        <v>461</v>
      </c>
      <c r="D16" s="192" t="s">
        <v>436</v>
      </c>
      <c r="E16" s="173" t="s">
        <v>462</v>
      </c>
      <c r="F16" s="173" t="s">
        <v>463</v>
      </c>
      <c r="G16" s="173" t="s">
        <v>464</v>
      </c>
      <c r="H16" s="172">
        <f>集計!$J$19</f>
        <v>1147245</v>
      </c>
      <c r="I16" s="173">
        <v>0</v>
      </c>
      <c r="J16" s="173">
        <v>0</v>
      </c>
      <c r="K16" s="173" t="s">
        <v>465</v>
      </c>
      <c r="L16" s="195" t="s">
        <v>441</v>
      </c>
      <c r="M16" s="195"/>
      <c r="N16" s="195"/>
      <c r="O16" s="195"/>
      <c r="P16" s="195"/>
      <c r="Q16" s="195"/>
      <c r="R16" s="195"/>
      <c r="S16" s="195"/>
      <c r="T16" s="195"/>
      <c r="U16" s="195"/>
      <c r="V16" s="165"/>
    </row>
    <row r="17" spans="1:22" ht="16.5" customHeight="1">
      <c r="A17" s="186" t="s">
        <v>183</v>
      </c>
      <c r="B17" s="200"/>
      <c r="C17" s="201"/>
      <c r="D17" s="201"/>
      <c r="E17" s="173"/>
      <c r="F17" s="173"/>
      <c r="G17" s="178"/>
      <c r="H17" s="178"/>
      <c r="I17" s="178"/>
      <c r="J17" s="178"/>
      <c r="K17" s="173"/>
      <c r="L17" s="173"/>
      <c r="M17" s="196"/>
      <c r="N17" s="195"/>
      <c r="O17" s="195"/>
      <c r="P17" s="195"/>
      <c r="Q17" s="195"/>
      <c r="R17" s="195"/>
      <c r="S17" s="195"/>
      <c r="T17" s="195"/>
      <c r="U17" s="195"/>
      <c r="V17" s="165"/>
    </row>
    <row r="18" spans="1:22" ht="33" customHeight="1">
      <c r="A18" s="186" t="s">
        <v>183</v>
      </c>
      <c r="B18" s="200" t="s">
        <v>453</v>
      </c>
      <c r="C18" s="201"/>
      <c r="D18" s="201"/>
      <c r="E18" s="195"/>
      <c r="F18" s="195"/>
      <c r="G18" s="173"/>
      <c r="H18" s="178" t="s">
        <v>442</v>
      </c>
      <c r="I18" s="178" t="s">
        <v>466</v>
      </c>
      <c r="J18" s="173"/>
      <c r="K18" s="173"/>
      <c r="L18" s="173"/>
      <c r="M18" s="195"/>
      <c r="N18" s="195"/>
      <c r="O18" s="195"/>
      <c r="P18" s="195"/>
      <c r="Q18" s="195"/>
      <c r="R18" s="195"/>
      <c r="S18" s="195"/>
      <c r="T18" s="195"/>
      <c r="U18" s="195"/>
      <c r="V18" s="165"/>
    </row>
    <row r="19" spans="1:22" ht="16.5" customHeight="1">
      <c r="A19" s="186"/>
      <c r="B19" s="195" t="s">
        <v>460</v>
      </c>
      <c r="C19" s="192" t="s">
        <v>461</v>
      </c>
      <c r="D19" s="192" t="s">
        <v>435</v>
      </c>
      <c r="E19" s="173"/>
      <c r="F19" s="173"/>
      <c r="G19" s="173"/>
      <c r="H19" s="172">
        <f>集計!$K$18</f>
        <v>1147245</v>
      </c>
      <c r="I19" s="173">
        <v>0</v>
      </c>
      <c r="J19" s="173"/>
      <c r="K19" s="173"/>
      <c r="L19" s="195" t="s">
        <v>441</v>
      </c>
      <c r="M19" s="195"/>
      <c r="N19" s="195"/>
      <c r="O19" s="195"/>
      <c r="P19" s="195"/>
      <c r="Q19" s="195"/>
      <c r="R19" s="195"/>
      <c r="S19" s="195"/>
      <c r="T19" s="195"/>
      <c r="U19" s="195"/>
      <c r="V19" s="165"/>
    </row>
    <row r="20" spans="1:22" ht="16.5" customHeight="1">
      <c r="A20" s="186" t="s">
        <v>183</v>
      </c>
      <c r="B20" s="200"/>
      <c r="C20" s="201"/>
      <c r="D20" s="201"/>
      <c r="E20" s="173"/>
      <c r="F20" s="173"/>
      <c r="G20" s="178"/>
      <c r="H20" s="178"/>
      <c r="I20" s="178"/>
      <c r="J20" s="178"/>
      <c r="K20" s="173"/>
      <c r="L20" s="173"/>
      <c r="M20" s="196"/>
      <c r="N20" s="195"/>
      <c r="O20" s="195"/>
      <c r="P20" s="195"/>
      <c r="Q20" s="195"/>
      <c r="R20" s="195"/>
      <c r="S20" s="195"/>
      <c r="T20" s="195"/>
      <c r="U20" s="195"/>
      <c r="V20" s="165"/>
    </row>
    <row r="21" spans="1:22" ht="33" customHeight="1">
      <c r="A21" s="186" t="s">
        <v>183</v>
      </c>
      <c r="B21" s="200" t="s">
        <v>467</v>
      </c>
      <c r="C21" s="201"/>
      <c r="D21" s="201"/>
      <c r="E21" s="173" t="s">
        <v>468</v>
      </c>
      <c r="F21" s="173" t="s">
        <v>469</v>
      </c>
      <c r="G21" s="178" t="s">
        <v>470</v>
      </c>
      <c r="H21" s="178" t="s">
        <v>471</v>
      </c>
      <c r="I21" s="178" t="s">
        <v>472</v>
      </c>
      <c r="J21" s="178" t="s">
        <v>473</v>
      </c>
      <c r="K21" s="173" t="s">
        <v>474</v>
      </c>
      <c r="L21" s="173" t="s">
        <v>475</v>
      </c>
      <c r="M21" s="173" t="s">
        <v>476</v>
      </c>
      <c r="N21" s="195" t="s">
        <v>477</v>
      </c>
      <c r="O21" s="195" t="s">
        <v>478</v>
      </c>
      <c r="P21" s="195" t="s">
        <v>479</v>
      </c>
      <c r="Q21" s="195" t="s">
        <v>480</v>
      </c>
      <c r="R21" s="195"/>
      <c r="S21" s="195"/>
      <c r="T21" s="195"/>
      <c r="U21" s="195"/>
      <c r="V21" s="165"/>
    </row>
    <row r="22" spans="1:22" ht="16.5" customHeight="1">
      <c r="A22" s="186"/>
      <c r="B22" s="195" t="s">
        <v>481</v>
      </c>
      <c r="C22" s="196" t="s">
        <v>482</v>
      </c>
      <c r="D22" s="196" t="s">
        <v>436</v>
      </c>
      <c r="E22" s="178" t="s">
        <v>483</v>
      </c>
      <c r="F22" s="178"/>
      <c r="G22" s="178" t="s">
        <v>462</v>
      </c>
      <c r="H22" s="178" t="s">
        <v>484</v>
      </c>
      <c r="I22" s="178" t="s">
        <v>463</v>
      </c>
      <c r="J22" s="178" t="s">
        <v>435</v>
      </c>
      <c r="K22" s="172">
        <f>集計!$J$59</f>
        <v>550800</v>
      </c>
      <c r="L22" s="196"/>
      <c r="M22" s="172">
        <f>集計!$J$59</f>
        <v>550800</v>
      </c>
      <c r="N22" s="196"/>
      <c r="O22" s="196"/>
      <c r="P22" s="196"/>
      <c r="Q22" s="196"/>
      <c r="R22" s="196" t="s">
        <v>441</v>
      </c>
      <c r="S22" s="196"/>
      <c r="T22" s="196"/>
      <c r="U22" s="196"/>
      <c r="V22" s="165"/>
    </row>
    <row r="23" spans="1:22" ht="16.5" customHeight="1">
      <c r="A23" s="186" t="s">
        <v>183</v>
      </c>
      <c r="B23" s="200"/>
      <c r="C23" s="201"/>
      <c r="D23" s="201"/>
      <c r="E23" s="173"/>
      <c r="F23" s="173"/>
      <c r="G23" s="173"/>
      <c r="H23" s="173"/>
      <c r="I23" s="173"/>
      <c r="J23" s="173"/>
      <c r="K23" s="173"/>
      <c r="L23" s="195"/>
      <c r="M23" s="195"/>
      <c r="N23" s="195"/>
      <c r="O23" s="195"/>
      <c r="P23" s="195"/>
      <c r="Q23" s="195"/>
      <c r="R23" s="195"/>
      <c r="S23" s="195"/>
      <c r="T23" s="195"/>
      <c r="U23" s="195"/>
      <c r="V23" s="165"/>
    </row>
    <row r="24" spans="1:22" ht="33" customHeight="1">
      <c r="A24" s="186" t="s">
        <v>183</v>
      </c>
      <c r="B24" s="200" t="s">
        <v>467</v>
      </c>
      <c r="C24" s="201"/>
      <c r="D24" s="201"/>
      <c r="E24" s="178" t="s">
        <v>485</v>
      </c>
      <c r="F24" s="178" t="s">
        <v>486</v>
      </c>
      <c r="G24" s="178" t="s">
        <v>487</v>
      </c>
      <c r="H24" s="178" t="s">
        <v>486</v>
      </c>
      <c r="I24" s="178" t="s">
        <v>488</v>
      </c>
      <c r="J24" s="178" t="s">
        <v>486</v>
      </c>
      <c r="K24" s="173" t="s">
        <v>489</v>
      </c>
      <c r="L24" s="178" t="s">
        <v>486</v>
      </c>
      <c r="M24" s="173"/>
      <c r="N24" s="196"/>
      <c r="O24" s="196"/>
      <c r="P24" s="196"/>
      <c r="Q24" s="196"/>
      <c r="R24" s="196"/>
      <c r="S24" s="196"/>
      <c r="T24" s="196"/>
      <c r="U24" s="196"/>
      <c r="V24" s="165"/>
    </row>
    <row r="25" spans="1:22" ht="16.5" customHeight="1">
      <c r="A25" s="186"/>
      <c r="B25" s="195" t="s">
        <v>481</v>
      </c>
      <c r="C25" s="196" t="s">
        <v>490</v>
      </c>
      <c r="D25" s="9" t="s">
        <v>436</v>
      </c>
      <c r="E25" s="172">
        <f>集計!$K$58</f>
        <v>550800</v>
      </c>
      <c r="F25" s="172">
        <f>集計!$J$59</f>
        <v>550800</v>
      </c>
      <c r="G25" s="178"/>
      <c r="H25" s="178"/>
      <c r="I25" s="178"/>
      <c r="J25" s="178"/>
      <c r="K25" s="172">
        <f>集計!$K$58</f>
        <v>550800</v>
      </c>
      <c r="L25" s="172">
        <f>集計!$J$59</f>
        <v>550800</v>
      </c>
      <c r="M25" s="196" t="s">
        <v>441</v>
      </c>
      <c r="N25" s="195"/>
      <c r="O25" s="195"/>
      <c r="P25" s="195"/>
      <c r="Q25" s="195"/>
      <c r="R25" s="195"/>
      <c r="S25" s="195"/>
      <c r="T25" s="195"/>
      <c r="U25" s="195"/>
      <c r="V25" s="165"/>
    </row>
    <row r="26" spans="1:22" ht="16.5" customHeight="1">
      <c r="A26" s="186" t="s">
        <v>183</v>
      </c>
      <c r="B26" s="200"/>
      <c r="C26" s="201"/>
      <c r="D26" s="201"/>
      <c r="E26" s="173"/>
      <c r="F26" s="173"/>
      <c r="G26" s="178"/>
      <c r="H26" s="178"/>
      <c r="I26" s="178"/>
      <c r="J26" s="178"/>
      <c r="K26" s="173"/>
      <c r="L26" s="173"/>
      <c r="M26" s="196"/>
      <c r="N26" s="195"/>
      <c r="O26" s="195"/>
      <c r="P26" s="195"/>
      <c r="Q26" s="195"/>
      <c r="R26" s="195"/>
      <c r="S26" s="195"/>
      <c r="T26" s="195"/>
      <c r="U26" s="195"/>
      <c r="V26" s="165"/>
    </row>
    <row r="27" spans="1:22" ht="16.5" customHeight="1">
      <c r="A27" s="188"/>
      <c r="B27" s="189"/>
      <c r="C27" s="190"/>
      <c r="D27" s="50"/>
      <c r="E27" s="172"/>
      <c r="F27" s="172"/>
      <c r="G27" s="191"/>
      <c r="H27" s="191"/>
      <c r="I27" s="191"/>
      <c r="J27" s="191"/>
      <c r="K27" s="172"/>
      <c r="L27" s="172"/>
      <c r="M27" s="190"/>
      <c r="N27" s="189"/>
      <c r="O27" s="189"/>
      <c r="P27" s="189"/>
      <c r="Q27" s="189"/>
      <c r="R27" s="189"/>
      <c r="S27" s="189"/>
      <c r="T27" s="189"/>
      <c r="U27" s="189"/>
      <c r="V27" s="165"/>
    </row>
    <row r="28" spans="1:22" ht="16.5" customHeight="1">
      <c r="A28" s="165"/>
      <c r="B28" s="165"/>
      <c r="C28" s="165"/>
      <c r="D28" s="165"/>
      <c r="E28" s="165"/>
      <c r="F28" s="165"/>
      <c r="G28" s="165"/>
      <c r="H28" s="165"/>
      <c r="I28" s="165"/>
      <c r="J28" s="165"/>
      <c r="K28" s="165"/>
      <c r="L28" s="165"/>
      <c r="M28" s="165"/>
      <c r="N28" s="165"/>
      <c r="O28" s="165"/>
      <c r="P28" s="165"/>
      <c r="Q28" s="165"/>
      <c r="R28" s="165"/>
      <c r="S28" s="165"/>
      <c r="T28" s="165"/>
      <c r="U28" s="165"/>
      <c r="V28" s="166"/>
    </row>
  </sheetData>
  <mergeCells count="21">
    <mergeCell ref="B2:F2"/>
    <mergeCell ref="G2:L2"/>
    <mergeCell ref="B3:F3"/>
    <mergeCell ref="G3:L3"/>
    <mergeCell ref="B4:F4"/>
    <mergeCell ref="G4:L4"/>
    <mergeCell ref="B5:D5"/>
    <mergeCell ref="B17:D17"/>
    <mergeCell ref="B18:D18"/>
    <mergeCell ref="B20:D20"/>
    <mergeCell ref="B21:D21"/>
    <mergeCell ref="B23:D23"/>
    <mergeCell ref="B24:D24"/>
    <mergeCell ref="B26:D26"/>
    <mergeCell ref="B6:D6"/>
    <mergeCell ref="B8:D8"/>
    <mergeCell ref="B9:D9"/>
    <mergeCell ref="B11:D11"/>
    <mergeCell ref="B12:D12"/>
    <mergeCell ref="B14:D14"/>
    <mergeCell ref="B15:D15"/>
  </mergeCells>
  <hyperlinks>
    <hyperlink ref="G2" r:id="rId1" xr:uid="{00000000-0004-0000-0700-000000000000}"/>
    <hyperlink ref="G3" r:id="rId2" xr:uid="{00000000-0004-0000-0700-000001000000}"/>
    <hyperlink ref="G4" r:id="rId3" xr:uid="{00000000-0004-0000-0700-000002000000}"/>
  </hyperlinks>
  <pageMargins left="0" right="0" top="0" bottom="0"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77"/>
  <sheetViews>
    <sheetView workbookViewId="0">
      <pane ySplit="1" topLeftCell="A2" activePane="bottomLeft" state="frozen"/>
      <selection pane="bottomLeft"/>
    </sheetView>
  </sheetViews>
  <sheetFormatPr defaultColWidth="14.42578125" defaultRowHeight="16.5" customHeight="1"/>
  <cols>
    <col min="1" max="1" width="188.85546875" style="84" customWidth="1"/>
    <col min="2" max="16384" width="14.42578125" style="84"/>
  </cols>
  <sheetData>
    <row r="1" spans="1:1" ht="16.5" customHeight="1">
      <c r="A1" s="42" t="s">
        <v>491</v>
      </c>
    </row>
    <row r="2" spans="1:1" ht="16.5" customHeight="1">
      <c r="A2" s="43" t="s">
        <v>492</v>
      </c>
    </row>
    <row r="3" spans="1:1" ht="16.5" customHeight="1">
      <c r="A3" s="43"/>
    </row>
    <row r="4" spans="1:1" ht="16.5" customHeight="1">
      <c r="A4" s="43" t="s">
        <v>493</v>
      </c>
    </row>
    <row r="5" spans="1:1" ht="16.5" customHeight="1">
      <c r="A5" s="43" t="s">
        <v>494</v>
      </c>
    </row>
    <row r="6" spans="1:1" ht="16.5" customHeight="1">
      <c r="A6" s="43"/>
    </row>
    <row r="7" spans="1:1" ht="16.5" customHeight="1">
      <c r="A7" s="43" t="s">
        <v>495</v>
      </c>
    </row>
    <row r="8" spans="1:1" ht="16.5" customHeight="1">
      <c r="A8" s="43" t="s">
        <v>496</v>
      </c>
    </row>
    <row r="9" spans="1:1" ht="16.5" customHeight="1">
      <c r="A9" s="43"/>
    </row>
    <row r="10" spans="1:1" ht="16.5" customHeight="1">
      <c r="A10" s="43" t="s">
        <v>497</v>
      </c>
    </row>
    <row r="11" spans="1:1" ht="16.5" customHeight="1">
      <c r="A11" s="43" t="s">
        <v>498</v>
      </c>
    </row>
    <row r="12" spans="1:1" ht="16.5" customHeight="1">
      <c r="A12" s="43" t="s">
        <v>499</v>
      </c>
    </row>
    <row r="13" spans="1:1" ht="16.5" customHeight="1">
      <c r="A13" s="43"/>
    </row>
    <row r="14" spans="1:1" ht="16.5" customHeight="1">
      <c r="A14" s="43" t="s">
        <v>500</v>
      </c>
    </row>
    <row r="15" spans="1:1" ht="16.5" customHeight="1">
      <c r="A15" s="43" t="s">
        <v>501</v>
      </c>
    </row>
    <row r="16" spans="1:1" ht="16.5" customHeight="1">
      <c r="A16" s="43" t="s">
        <v>502</v>
      </c>
    </row>
    <row r="17" spans="1:1" ht="16.5" customHeight="1">
      <c r="A17" s="43" t="s">
        <v>503</v>
      </c>
    </row>
    <row r="18" spans="1:1" ht="16.5" customHeight="1">
      <c r="A18" s="43" t="s">
        <v>504</v>
      </c>
    </row>
    <row r="19" spans="1:1" ht="16.5" customHeight="1">
      <c r="A19" s="43" t="s">
        <v>505</v>
      </c>
    </row>
    <row r="20" spans="1:1" ht="16.5" customHeight="1">
      <c r="A20" s="43"/>
    </row>
    <row r="21" spans="1:1" ht="16.5" customHeight="1">
      <c r="A21" s="43" t="s">
        <v>506</v>
      </c>
    </row>
    <row r="22" spans="1:1" ht="16.5" customHeight="1">
      <c r="A22" s="43" t="s">
        <v>507</v>
      </c>
    </row>
    <row r="23" spans="1:1" ht="16.5" customHeight="1">
      <c r="A23" s="43" t="s">
        <v>508</v>
      </c>
    </row>
    <row r="24" spans="1:1" ht="16.5" customHeight="1">
      <c r="A24" s="43" t="s">
        <v>509</v>
      </c>
    </row>
    <row r="25" spans="1:1" ht="16.5" customHeight="1">
      <c r="A25" s="43" t="s">
        <v>510</v>
      </c>
    </row>
    <row r="26" spans="1:1" ht="16.5" customHeight="1">
      <c r="A26" s="43" t="s">
        <v>511</v>
      </c>
    </row>
    <row r="27" spans="1:1" ht="16.5" customHeight="1">
      <c r="A27" s="43"/>
    </row>
    <row r="28" spans="1:1" ht="16.5" customHeight="1">
      <c r="A28" s="43" t="s">
        <v>512</v>
      </c>
    </row>
    <row r="29" spans="1:1" ht="16.5" customHeight="1">
      <c r="A29" s="43" t="s">
        <v>513</v>
      </c>
    </row>
    <row r="30" spans="1:1" ht="16.5" customHeight="1">
      <c r="A30" s="43" t="s">
        <v>514</v>
      </c>
    </row>
    <row r="31" spans="1:1" ht="16.5" customHeight="1">
      <c r="A31" s="43" t="s">
        <v>515</v>
      </c>
    </row>
    <row r="32" spans="1:1" ht="16.5" customHeight="1">
      <c r="A32" s="34" t="s">
        <v>516</v>
      </c>
    </row>
    <row r="33" spans="1:1" ht="16.5" customHeight="1">
      <c r="A33" s="34" t="s">
        <v>517</v>
      </c>
    </row>
    <row r="34" spans="1:1" ht="16.5" customHeight="1">
      <c r="A34" s="34" t="s">
        <v>518</v>
      </c>
    </row>
    <row r="35" spans="1:1" ht="16.5" customHeight="1">
      <c r="A35" s="43" t="s">
        <v>519</v>
      </c>
    </row>
    <row r="36" spans="1:1" ht="16.5" customHeight="1">
      <c r="A36" s="43" t="s">
        <v>520</v>
      </c>
    </row>
    <row r="37" spans="1:1" ht="16.5" customHeight="1">
      <c r="A37" s="43"/>
    </row>
    <row r="38" spans="1:1" ht="16.5" customHeight="1">
      <c r="A38" s="43" t="s">
        <v>521</v>
      </c>
    </row>
    <row r="39" spans="1:1" ht="16.5" customHeight="1">
      <c r="A39" s="43" t="s">
        <v>522</v>
      </c>
    </row>
    <row r="40" spans="1:1" ht="16.5" customHeight="1">
      <c r="A40" s="43" t="s">
        <v>509</v>
      </c>
    </row>
    <row r="41" spans="1:1" ht="16.5" customHeight="1">
      <c r="A41" s="43" t="s">
        <v>523</v>
      </c>
    </row>
    <row r="42" spans="1:1" ht="16.5" customHeight="1">
      <c r="A42" s="43" t="s">
        <v>524</v>
      </c>
    </row>
    <row r="43" spans="1:1" ht="16.5" customHeight="1">
      <c r="A43" s="34"/>
    </row>
    <row r="44" spans="1:1" ht="16.5" customHeight="1">
      <c r="A44" s="43" t="s">
        <v>525</v>
      </c>
    </row>
    <row r="45" spans="1:1" ht="16.5" customHeight="1">
      <c r="A45" s="43" t="s">
        <v>513</v>
      </c>
    </row>
    <row r="46" spans="1:1" ht="16.5" customHeight="1">
      <c r="A46" s="43" t="s">
        <v>526</v>
      </c>
    </row>
    <row r="47" spans="1:1" ht="16.5" customHeight="1">
      <c r="A47" s="43" t="s">
        <v>515</v>
      </c>
    </row>
    <row r="48" spans="1:1" ht="16.5" customHeight="1">
      <c r="A48" s="43" t="s">
        <v>527</v>
      </c>
    </row>
    <row r="49" spans="1:1" ht="16.5" customHeight="1">
      <c r="A49" s="43" t="s">
        <v>528</v>
      </c>
    </row>
    <row r="50" spans="1:1" ht="16.5" customHeight="1">
      <c r="A50" s="43"/>
    </row>
    <row r="51" spans="1:1" ht="16.5" customHeight="1">
      <c r="A51" s="43" t="s">
        <v>529</v>
      </c>
    </row>
    <row r="52" spans="1:1" ht="16.5" customHeight="1">
      <c r="A52" s="43" t="s">
        <v>530</v>
      </c>
    </row>
    <row r="53" spans="1:1" ht="16.5" customHeight="1">
      <c r="A53" s="43" t="s">
        <v>531</v>
      </c>
    </row>
    <row r="54" spans="1:1" ht="16.5" customHeight="1">
      <c r="A54" s="43" t="s">
        <v>532</v>
      </c>
    </row>
    <row r="55" spans="1:1" ht="16.5" customHeight="1">
      <c r="A55" s="43" t="s">
        <v>533</v>
      </c>
    </row>
    <row r="56" spans="1:1" ht="16.5" customHeight="1">
      <c r="A56" s="43" t="s">
        <v>534</v>
      </c>
    </row>
    <row r="57" spans="1:1" ht="16.5" customHeight="1">
      <c r="A57" s="43" t="s">
        <v>535</v>
      </c>
    </row>
    <row r="58" spans="1:1" ht="16.5" customHeight="1">
      <c r="A58" s="43" t="s">
        <v>536</v>
      </c>
    </row>
    <row r="59" spans="1:1" ht="16.5" customHeight="1">
      <c r="A59" s="43" t="s">
        <v>537</v>
      </c>
    </row>
    <row r="60" spans="1:1" ht="16.5" customHeight="1">
      <c r="A60" s="43" t="s">
        <v>538</v>
      </c>
    </row>
    <row r="61" spans="1:1" ht="16.5" customHeight="1">
      <c r="A61" s="43" t="s">
        <v>539</v>
      </c>
    </row>
    <row r="62" spans="1:1" ht="16.5" customHeight="1">
      <c r="A62" s="43" t="s">
        <v>540</v>
      </c>
    </row>
    <row r="63" spans="1:1" ht="16.5" customHeight="1">
      <c r="A63" s="43" t="s">
        <v>541</v>
      </c>
    </row>
    <row r="64" spans="1:1" ht="16.5" customHeight="1">
      <c r="A64" s="43" t="s">
        <v>542</v>
      </c>
    </row>
    <row r="65" spans="1:1" ht="16.5" customHeight="1">
      <c r="A65" s="43" t="s">
        <v>543</v>
      </c>
    </row>
    <row r="66" spans="1:1" ht="16.5" customHeight="1">
      <c r="A66" s="43" t="s">
        <v>544</v>
      </c>
    </row>
    <row r="67" spans="1:1" ht="16.5" customHeight="1">
      <c r="A67" s="43" t="s">
        <v>545</v>
      </c>
    </row>
    <row r="68" spans="1:1" ht="16.5" customHeight="1">
      <c r="A68" s="43" t="s">
        <v>546</v>
      </c>
    </row>
    <row r="69" spans="1:1" ht="16.5" customHeight="1">
      <c r="A69" s="43"/>
    </row>
    <row r="70" spans="1:1" ht="16.5" customHeight="1">
      <c r="A70" s="43" t="s">
        <v>547</v>
      </c>
    </row>
    <row r="71" spans="1:1" ht="16.5" customHeight="1">
      <c r="A71" s="43" t="s">
        <v>548</v>
      </c>
    </row>
    <row r="72" spans="1:1" ht="16.5" customHeight="1">
      <c r="A72" s="34" t="s">
        <v>519</v>
      </c>
    </row>
    <row r="73" spans="1:1" ht="16.5" customHeight="1">
      <c r="A73" s="34" t="s">
        <v>549</v>
      </c>
    </row>
    <row r="74" spans="1:1" ht="16.5" customHeight="1">
      <c r="A74" s="43"/>
    </row>
    <row r="75" spans="1:1" ht="16.5" customHeight="1">
      <c r="A75" s="34" t="s">
        <v>550</v>
      </c>
    </row>
    <row r="76" spans="1:1" ht="16.5" customHeight="1">
      <c r="A76" s="34" t="s">
        <v>551</v>
      </c>
    </row>
    <row r="77" spans="1:1" ht="16.5" customHeight="1">
      <c r="A77" s="44"/>
    </row>
  </sheetData>
  <pageMargins left="0" right="0" top="0" bottom="0"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こぶり cobli</cp:lastModifiedBy>
  <cp:revision/>
  <dcterms:created xsi:type="dcterms:W3CDTF">2021-03-08T06:12:29Z</dcterms:created>
  <dcterms:modified xsi:type="dcterms:W3CDTF">2021-03-16T20:20:42Z</dcterms:modified>
  <cp:category/>
  <cp:contentStatus/>
</cp:coreProperties>
</file>