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5315" windowHeight="89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22" i="1" l="1"/>
  <c r="K20" i="1"/>
  <c r="K19" i="1"/>
  <c r="K18" i="1"/>
  <c r="K17" i="1"/>
  <c r="K16" i="1"/>
  <c r="K15" i="1"/>
  <c r="K21" i="1"/>
  <c r="K13" i="1" l="1"/>
  <c r="K12" i="1"/>
  <c r="K11" i="1"/>
  <c r="K10" i="1"/>
  <c r="K9" i="1"/>
  <c r="K8" i="1"/>
  <c r="K7" i="1" l="1"/>
  <c r="K6" i="1"/>
  <c r="K5" i="1"/>
  <c r="K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5" i="1" l="1"/>
  <c r="J16" i="1" s="1"/>
  <c r="R14" i="1"/>
  <c r="T14" i="1" s="1"/>
  <c r="AA24" i="1"/>
  <c r="AB24" i="1"/>
  <c r="G15" i="1"/>
  <c r="H15" i="1"/>
  <c r="AA23" i="1"/>
  <c r="AB23" i="1"/>
  <c r="AA22" i="1"/>
  <c r="AB22" i="1"/>
  <c r="AA21" i="1"/>
  <c r="AB21" i="1"/>
  <c r="AA20" i="1"/>
  <c r="AB20" i="1"/>
  <c r="AA19" i="1"/>
  <c r="AB19" i="1"/>
  <c r="AA18" i="1"/>
  <c r="AB18" i="1"/>
  <c r="AA17" i="1"/>
  <c r="AB17" i="1"/>
  <c r="AA16" i="1"/>
  <c r="AB16" i="1"/>
  <c r="AA15" i="1"/>
  <c r="AB15" i="1"/>
  <c r="AA5" i="1"/>
  <c r="AB5" i="1"/>
  <c r="G4" i="1"/>
  <c r="G5" i="1" s="1"/>
  <c r="H4" i="1"/>
  <c r="H5" i="1" s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4" i="1"/>
  <c r="AB4" i="1"/>
  <c r="P4" i="1"/>
  <c r="Z4" i="1" s="1"/>
  <c r="O14" i="1"/>
  <c r="Y14" i="1" s="1"/>
  <c r="P14" i="1"/>
  <c r="Z14" i="1" s="1"/>
  <c r="Q14" i="1"/>
  <c r="S14" i="1" s="1"/>
  <c r="I15" i="1"/>
  <c r="I16" i="1" s="1"/>
  <c r="I17" i="1" s="1"/>
  <c r="I18" i="1" s="1"/>
  <c r="U24" i="1"/>
  <c r="V24" i="1"/>
  <c r="U23" i="1"/>
  <c r="V23" i="1"/>
  <c r="U22" i="1"/>
  <c r="V22" i="1"/>
  <c r="U21" i="1"/>
  <c r="V21" i="1"/>
  <c r="U20" i="1"/>
  <c r="V20" i="1"/>
  <c r="U19" i="1"/>
  <c r="V19" i="1"/>
  <c r="U18" i="1"/>
  <c r="V18" i="1"/>
  <c r="U17" i="1"/>
  <c r="V17" i="1"/>
  <c r="U16" i="1"/>
  <c r="V16" i="1"/>
  <c r="U15" i="1"/>
  <c r="V15" i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4" i="1"/>
  <c r="T4" i="1" s="1"/>
  <c r="I4" i="1"/>
  <c r="I5" i="1" s="1"/>
  <c r="P3" i="1"/>
  <c r="Q3" i="1"/>
  <c r="R3" i="1"/>
  <c r="O3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4" i="1"/>
  <c r="V4" i="1"/>
  <c r="A3" i="2"/>
  <c r="A4" i="2"/>
  <c r="A5" i="2" s="1"/>
  <c r="A6" i="2" s="1"/>
  <c r="A7" i="2" s="1"/>
  <c r="A8" i="2" s="1"/>
  <c r="C7" i="2"/>
  <c r="B7" i="2"/>
  <c r="C5" i="2"/>
  <c r="B5" i="2"/>
  <c r="C3" i="2"/>
  <c r="B3" i="2"/>
  <c r="Q15" i="1" l="1"/>
  <c r="S15" i="1" s="1"/>
  <c r="O4" i="1"/>
  <c r="Y4" i="1" s="1"/>
  <c r="AC4" i="1" s="1"/>
  <c r="AD4" i="1" s="1"/>
  <c r="C4" i="1" s="1"/>
  <c r="R15" i="1"/>
  <c r="T15" i="1" s="1"/>
  <c r="P5" i="1"/>
  <c r="Z5" i="1" s="1"/>
  <c r="H6" i="1"/>
  <c r="Q4" i="1"/>
  <c r="S4" i="1" s="1"/>
  <c r="W4" i="1" s="1"/>
  <c r="X4" i="1" s="1"/>
  <c r="E4" i="1" s="1"/>
  <c r="I19" i="1"/>
  <c r="Q18" i="1"/>
  <c r="S18" i="1" s="1"/>
  <c r="J17" i="1"/>
  <c r="R16" i="1"/>
  <c r="T16" i="1" s="1"/>
  <c r="W15" i="1"/>
  <c r="X15" i="1" s="1"/>
  <c r="E15" i="1" s="1"/>
  <c r="Q16" i="1"/>
  <c r="S16" i="1" s="1"/>
  <c r="Q17" i="1"/>
  <c r="S17" i="1" s="1"/>
  <c r="Q5" i="1"/>
  <c r="S5" i="1" s="1"/>
  <c r="W5" i="1" s="1"/>
  <c r="X5" i="1" s="1"/>
  <c r="E5" i="1" s="1"/>
  <c r="I6" i="1"/>
  <c r="O5" i="1"/>
  <c r="Y5" i="1" s="1"/>
  <c r="G6" i="1"/>
  <c r="H16" i="1"/>
  <c r="P15" i="1"/>
  <c r="Z15" i="1" s="1"/>
  <c r="G16" i="1"/>
  <c r="O15" i="1"/>
  <c r="Y15" i="1" s="1"/>
  <c r="AC15" i="1" l="1"/>
  <c r="AD15" i="1" s="1"/>
  <c r="C15" i="1" s="1"/>
  <c r="D15" i="1" s="1"/>
  <c r="AC5" i="1"/>
  <c r="AD5" i="1" s="1"/>
  <c r="C5" i="1" s="1"/>
  <c r="D5" i="1" s="1"/>
  <c r="D4" i="1"/>
  <c r="P6" i="1"/>
  <c r="Z6" i="1" s="1"/>
  <c r="H7" i="1"/>
  <c r="W16" i="1"/>
  <c r="X16" i="1" s="1"/>
  <c r="E16" i="1" s="1"/>
  <c r="J18" i="1"/>
  <c r="R17" i="1"/>
  <c r="T17" i="1" s="1"/>
  <c r="W17" i="1" s="1"/>
  <c r="X17" i="1" s="1"/>
  <c r="E17" i="1" s="1"/>
  <c r="I20" i="1"/>
  <c r="Q19" i="1"/>
  <c r="S19" i="1" s="1"/>
  <c r="O16" i="1"/>
  <c r="Y16" i="1" s="1"/>
  <c r="G17" i="1"/>
  <c r="P16" i="1"/>
  <c r="Z16" i="1" s="1"/>
  <c r="H17" i="1"/>
  <c r="Q6" i="1"/>
  <c r="S6" i="1" s="1"/>
  <c r="W6" i="1" s="1"/>
  <c r="X6" i="1" s="1"/>
  <c r="E6" i="1" s="1"/>
  <c r="I7" i="1"/>
  <c r="G7" i="1"/>
  <c r="O6" i="1"/>
  <c r="Y6" i="1" s="1"/>
  <c r="AC6" i="1" l="1"/>
  <c r="AD6" i="1" s="1"/>
  <c r="C6" i="1" s="1"/>
  <c r="D6" i="1" s="1"/>
  <c r="P7" i="1"/>
  <c r="Z7" i="1" s="1"/>
  <c r="H8" i="1"/>
  <c r="I21" i="1"/>
  <c r="Q20" i="1"/>
  <c r="S20" i="1" s="1"/>
  <c r="J19" i="1"/>
  <c r="R18" i="1"/>
  <c r="T18" i="1" s="1"/>
  <c r="W18" i="1" s="1"/>
  <c r="X18" i="1" s="1"/>
  <c r="E18" i="1" s="1"/>
  <c r="G8" i="1"/>
  <c r="O7" i="1"/>
  <c r="Y7" i="1" s="1"/>
  <c r="AC16" i="1"/>
  <c r="AD16" i="1" s="1"/>
  <c r="C16" i="1" s="1"/>
  <c r="D16" i="1" s="1"/>
  <c r="Q7" i="1"/>
  <c r="S7" i="1" s="1"/>
  <c r="W7" i="1" s="1"/>
  <c r="X7" i="1" s="1"/>
  <c r="E7" i="1" s="1"/>
  <c r="I8" i="1"/>
  <c r="H18" i="1"/>
  <c r="P17" i="1"/>
  <c r="Z17" i="1" s="1"/>
  <c r="G18" i="1"/>
  <c r="O17" i="1"/>
  <c r="Y17" i="1" s="1"/>
  <c r="AC17" i="1" l="1"/>
  <c r="AD17" i="1" s="1"/>
  <c r="C17" i="1" s="1"/>
  <c r="D17" i="1" s="1"/>
  <c r="AC7" i="1"/>
  <c r="AD7" i="1" s="1"/>
  <c r="C7" i="1" s="1"/>
  <c r="D7" i="1" s="1"/>
  <c r="P8" i="1"/>
  <c r="Z8" i="1" s="1"/>
  <c r="H9" i="1"/>
  <c r="J20" i="1"/>
  <c r="R19" i="1"/>
  <c r="T19" i="1" s="1"/>
  <c r="W19" i="1" s="1"/>
  <c r="X19" i="1" s="1"/>
  <c r="E19" i="1" s="1"/>
  <c r="I22" i="1"/>
  <c r="Q21" i="1"/>
  <c r="S21" i="1" s="1"/>
  <c r="Q8" i="1"/>
  <c r="S8" i="1" s="1"/>
  <c r="W8" i="1" s="1"/>
  <c r="X8" i="1" s="1"/>
  <c r="E8" i="1" s="1"/>
  <c r="I9" i="1"/>
  <c r="O18" i="1"/>
  <c r="Y18" i="1" s="1"/>
  <c r="G19" i="1"/>
  <c r="P18" i="1"/>
  <c r="Z18" i="1" s="1"/>
  <c r="H19" i="1"/>
  <c r="G9" i="1"/>
  <c r="O8" i="1"/>
  <c r="Y8" i="1" s="1"/>
  <c r="AC8" i="1" l="1"/>
  <c r="AD8" i="1" s="1"/>
  <c r="C8" i="1" s="1"/>
  <c r="D8" i="1"/>
  <c r="H10" i="1"/>
  <c r="P9" i="1"/>
  <c r="Z9" i="1" s="1"/>
  <c r="AC18" i="1"/>
  <c r="AD18" i="1" s="1"/>
  <c r="C18" i="1" s="1"/>
  <c r="D18" i="1" s="1"/>
  <c r="I23" i="1"/>
  <c r="Q22" i="1"/>
  <c r="S22" i="1" s="1"/>
  <c r="J21" i="1"/>
  <c r="R20" i="1"/>
  <c r="T20" i="1" s="1"/>
  <c r="W20" i="1" s="1"/>
  <c r="X20" i="1" s="1"/>
  <c r="E20" i="1" s="1"/>
  <c r="O9" i="1"/>
  <c r="Y9" i="1" s="1"/>
  <c r="AC9" i="1" s="1"/>
  <c r="AD9" i="1" s="1"/>
  <c r="C9" i="1" s="1"/>
  <c r="G10" i="1"/>
  <c r="H20" i="1"/>
  <c r="P19" i="1"/>
  <c r="Z19" i="1" s="1"/>
  <c r="G20" i="1"/>
  <c r="O19" i="1"/>
  <c r="Y19" i="1" s="1"/>
  <c r="Q9" i="1"/>
  <c r="S9" i="1" s="1"/>
  <c r="W9" i="1" s="1"/>
  <c r="X9" i="1" s="1"/>
  <c r="E9" i="1" s="1"/>
  <c r="I10" i="1"/>
  <c r="AC19" i="1" l="1"/>
  <c r="AD19" i="1" s="1"/>
  <c r="C19" i="1" s="1"/>
  <c r="D19" i="1" s="1"/>
  <c r="H11" i="1"/>
  <c r="P10" i="1"/>
  <c r="Z10" i="1" s="1"/>
  <c r="J22" i="1"/>
  <c r="R21" i="1"/>
  <c r="T21" i="1" s="1"/>
  <c r="W21" i="1" s="1"/>
  <c r="X21" i="1" s="1"/>
  <c r="E21" i="1" s="1"/>
  <c r="I24" i="1"/>
  <c r="Q24" i="1" s="1"/>
  <c r="S24" i="1" s="1"/>
  <c r="Q23" i="1"/>
  <c r="S23" i="1" s="1"/>
  <c r="O20" i="1"/>
  <c r="Y20" i="1" s="1"/>
  <c r="G21" i="1"/>
  <c r="P20" i="1"/>
  <c r="Z20" i="1" s="1"/>
  <c r="H21" i="1"/>
  <c r="Q10" i="1"/>
  <c r="S10" i="1" s="1"/>
  <c r="W10" i="1" s="1"/>
  <c r="X10" i="1" s="1"/>
  <c r="E10" i="1" s="1"/>
  <c r="I11" i="1"/>
  <c r="O10" i="1"/>
  <c r="Y10" i="1" s="1"/>
  <c r="G11" i="1"/>
  <c r="D9" i="1"/>
  <c r="AC10" i="1" l="1"/>
  <c r="AD10" i="1" s="1"/>
  <c r="C10" i="1" s="1"/>
  <c r="D10" i="1" s="1"/>
  <c r="H12" i="1"/>
  <c r="P11" i="1"/>
  <c r="Z11" i="1" s="1"/>
  <c r="J23" i="1"/>
  <c r="R22" i="1"/>
  <c r="T22" i="1" s="1"/>
  <c r="W22" i="1" s="1"/>
  <c r="X22" i="1" s="1"/>
  <c r="E22" i="1" s="1"/>
  <c r="AC20" i="1"/>
  <c r="AD20" i="1" s="1"/>
  <c r="C20" i="1" s="1"/>
  <c r="D20" i="1" s="1"/>
  <c r="G12" i="1"/>
  <c r="O11" i="1"/>
  <c r="Y11" i="1" s="1"/>
  <c r="Q11" i="1"/>
  <c r="S11" i="1" s="1"/>
  <c r="W11" i="1" s="1"/>
  <c r="X11" i="1" s="1"/>
  <c r="E11" i="1" s="1"/>
  <c r="I12" i="1"/>
  <c r="H22" i="1"/>
  <c r="P21" i="1"/>
  <c r="Z21" i="1" s="1"/>
  <c r="G22" i="1"/>
  <c r="O21" i="1"/>
  <c r="Y21" i="1" s="1"/>
  <c r="AC21" i="1" s="1"/>
  <c r="AD21" i="1" s="1"/>
  <c r="C21" i="1" s="1"/>
  <c r="D21" i="1" s="1"/>
  <c r="AC11" i="1" l="1"/>
  <c r="AD11" i="1" s="1"/>
  <c r="C11" i="1" s="1"/>
  <c r="D11" i="1"/>
  <c r="P12" i="1"/>
  <c r="Z12" i="1" s="1"/>
  <c r="H13" i="1"/>
  <c r="P13" i="1" s="1"/>
  <c r="Z13" i="1" s="1"/>
  <c r="J24" i="1"/>
  <c r="R24" i="1" s="1"/>
  <c r="T24" i="1" s="1"/>
  <c r="W24" i="1" s="1"/>
  <c r="X24" i="1" s="1"/>
  <c r="E24" i="1" s="1"/>
  <c r="R23" i="1"/>
  <c r="T23" i="1" s="1"/>
  <c r="W23" i="1" s="1"/>
  <c r="X23" i="1" s="1"/>
  <c r="E23" i="1" s="1"/>
  <c r="O22" i="1"/>
  <c r="Y22" i="1" s="1"/>
  <c r="G23" i="1"/>
  <c r="H23" i="1"/>
  <c r="P22" i="1"/>
  <c r="Z22" i="1" s="1"/>
  <c r="G13" i="1"/>
  <c r="O13" i="1" s="1"/>
  <c r="Y13" i="1" s="1"/>
  <c r="O12" i="1"/>
  <c r="Y12" i="1" s="1"/>
  <c r="Q12" i="1"/>
  <c r="S12" i="1" s="1"/>
  <c r="W12" i="1" s="1"/>
  <c r="X12" i="1" s="1"/>
  <c r="E12" i="1" s="1"/>
  <c r="I13" i="1"/>
  <c r="Q13" i="1" s="1"/>
  <c r="S13" i="1" s="1"/>
  <c r="W13" i="1" s="1"/>
  <c r="X13" i="1" s="1"/>
  <c r="E13" i="1" s="1"/>
  <c r="AC13" i="1" l="1"/>
  <c r="AD13" i="1" s="1"/>
  <c r="C13" i="1" s="1"/>
  <c r="D13" i="1" s="1"/>
  <c r="AC22" i="1"/>
  <c r="AD22" i="1" s="1"/>
  <c r="C22" i="1" s="1"/>
  <c r="D22" i="1" s="1"/>
  <c r="AC12" i="1"/>
  <c r="AD12" i="1" s="1"/>
  <c r="C12" i="1" s="1"/>
  <c r="D12" i="1" s="1"/>
  <c r="G24" i="1"/>
  <c r="O24" i="1" s="1"/>
  <c r="Y24" i="1" s="1"/>
  <c r="O23" i="1"/>
  <c r="Y23" i="1" s="1"/>
  <c r="H24" i="1"/>
  <c r="P24" i="1" s="1"/>
  <c r="Z24" i="1" s="1"/>
  <c r="P23" i="1"/>
  <c r="Z23" i="1" s="1"/>
  <c r="AC23" i="1" l="1"/>
  <c r="AD23" i="1" s="1"/>
  <c r="C23" i="1" s="1"/>
  <c r="D23" i="1" s="1"/>
  <c r="AC24" i="1"/>
  <c r="AD24" i="1" s="1"/>
  <c r="C24" i="1" s="1"/>
  <c r="D24" i="1" s="1"/>
</calcChain>
</file>

<file path=xl/sharedStrings.xml><?xml version="1.0" encoding="utf-8"?>
<sst xmlns="http://schemas.openxmlformats.org/spreadsheetml/2006/main" count="60" uniqueCount="56">
  <si>
    <t>sample ID</t>
  </si>
  <si>
    <t>date analyzed</t>
  </si>
  <si>
    <t>60s (g/L)</t>
  </si>
  <si>
    <t>avg 30s (g/L)</t>
  </si>
  <si>
    <t>Blank</t>
  </si>
  <si>
    <t>t</t>
  </si>
  <si>
    <t>water density</t>
  </si>
  <si>
    <t>viscosity</t>
  </si>
  <si>
    <t>from Handbook of Chemistry and Physics, 1986</t>
  </si>
  <si>
    <t>readings</t>
  </si>
  <si>
    <t>mass of sample (g)</t>
  </si>
  <si>
    <t>X1.5</t>
  </si>
  <si>
    <t>1.5 h (g/L)</t>
  </si>
  <si>
    <t>24 h (g/L)</t>
  </si>
  <si>
    <t>X24</t>
  </si>
  <si>
    <t>P1.5</t>
  </si>
  <si>
    <t>P24</t>
  </si>
  <si>
    <t>m</t>
  </si>
  <si>
    <t>% clay</t>
  </si>
  <si>
    <t>clay fraction calculations</t>
  </si>
  <si>
    <t>X30</t>
  </si>
  <si>
    <t>X60</t>
  </si>
  <si>
    <t>P30</t>
  </si>
  <si>
    <t>P60</t>
  </si>
  <si>
    <t>% sand</t>
  </si>
  <si>
    <t>sand fraction calculations</t>
  </si>
  <si>
    <t>data summary</t>
  </si>
  <si>
    <t>% silt</t>
  </si>
  <si>
    <t>temp @ 30s (°C)</t>
  </si>
  <si>
    <t>temp @ 60s (°C)</t>
  </si>
  <si>
    <t>temp @ 24h (°C)</t>
  </si>
  <si>
    <t>temp @ 1.5h (°C)</t>
  </si>
  <si>
    <t>B @ 30s</t>
  </si>
  <si>
    <t>B @ 60s</t>
  </si>
  <si>
    <t>B @ 1.5h</t>
  </si>
  <si>
    <t>B @ 24h</t>
  </si>
  <si>
    <t>temp corrected B values</t>
  </si>
  <si>
    <t>fill in yellow</t>
  </si>
  <si>
    <t>R3 15-30cm</t>
  </si>
  <si>
    <t>R3 0-15cm</t>
  </si>
  <si>
    <t>R5 15-30cm</t>
  </si>
  <si>
    <t>R1 15-30cm</t>
  </si>
  <si>
    <t>R1 0-10cm</t>
  </si>
  <si>
    <t>R5 0-15cm</t>
  </si>
  <si>
    <t>V1 15-30cm</t>
  </si>
  <si>
    <t>S1 0-15cm</t>
  </si>
  <si>
    <t>S3 15-30cm</t>
  </si>
  <si>
    <t>V5 15-30cm</t>
  </si>
  <si>
    <t>V3 15-30cm</t>
  </si>
  <si>
    <t>V5 0-15cm</t>
  </si>
  <si>
    <t>V1 0-15cm</t>
  </si>
  <si>
    <t>V3 0-15cm</t>
  </si>
  <si>
    <t>S5 15-30cm</t>
  </si>
  <si>
    <t>S3 0-15cm</t>
  </si>
  <si>
    <t>S1 15-30cm</t>
  </si>
  <si>
    <t>S5 0-15cm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</si>
</sst>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7FF8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0" fillId="7" borderId="0" xfId="0" applyFill="1"/>
    <xf numFmtId="14" fontId="0" fillId="7" borderId="0" xfId="0" applyNumberFormat="1" applyFill="1"/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1" xfId="0" applyFill="1" applyBorder="1"/>
    <xf numFmtId="14" fontId="0" fillId="7" borderId="1" xfId="0" applyNumberFormat="1" applyFill="1" applyBorder="1"/>
    <xf numFmtId="2" fontId="0" fillId="0" borderId="1" xfId="0" applyNumberFormat="1" applyBorder="1"/>
    <xf numFmtId="2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0" fontId="4" fillId="0" borderId="0" xfId="0" applyFont="1"/>
    <xf numFmtId="14" fontId="0" fillId="0" borderId="0" xfId="0" applyNumberFormat="1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F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3129808748307"/>
          <c:y val="8.7248465106676526E-2"/>
          <c:w val="0.49029203689452633"/>
          <c:h val="0.68120916987135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density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Mode val="edge"/>
                  <c:yMode val="edge"/>
                  <c:x val="0.15534005129331527"/>
                  <c:y val="0.1140941466779616"/>
                </c:manualLayout>
              </c:layout>
              <c:numFmt formatCode="0.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Sheet2!$A$2:$A$8</c:f>
              <c:numCache>
                <c:formatCode>General</c:formatCode>
                <c:ptCount val="7"/>
                <c:pt idx="0">
                  <c:v>21</c:v>
                </c:pt>
                <c:pt idx="1">
                  <c:v>21.5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23.5</c:v>
                </c:pt>
                <c:pt idx="6">
                  <c:v>24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0.99799199999999999</c:v>
                </c:pt>
                <c:pt idx="1">
                  <c:v>0.99788100000000002</c:v>
                </c:pt>
                <c:pt idx="2">
                  <c:v>0.99777000000000005</c:v>
                </c:pt>
                <c:pt idx="3">
                  <c:v>0.99765400000000004</c:v>
                </c:pt>
                <c:pt idx="4">
                  <c:v>0.99753800000000004</c:v>
                </c:pt>
                <c:pt idx="5">
                  <c:v>0.997417</c:v>
                </c:pt>
                <c:pt idx="6">
                  <c:v>0.99729599999999996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6464"/>
        <c:axId val="46528384"/>
      </c:scatterChart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viscosity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Mode val="edge"/>
                  <c:yMode val="edge"/>
                  <c:x val="4.5307514960550292E-2"/>
                  <c:y val="0.55369218240775486"/>
                </c:manualLayout>
              </c:layout>
              <c:numFmt formatCode="0.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Sheet2!$A$2:$A$8</c:f>
              <c:numCache>
                <c:formatCode>General</c:formatCode>
                <c:ptCount val="7"/>
                <c:pt idx="0">
                  <c:v>21</c:v>
                </c:pt>
                <c:pt idx="1">
                  <c:v>21.5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23.5</c:v>
                </c:pt>
                <c:pt idx="6">
                  <c:v>24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9.8099999999999993E-3</c:v>
                </c:pt>
                <c:pt idx="1">
                  <c:v>9.6945E-3</c:v>
                </c:pt>
                <c:pt idx="2">
                  <c:v>9.5790000000000007E-3</c:v>
                </c:pt>
                <c:pt idx="3">
                  <c:v>9.4685000000000012E-3</c:v>
                </c:pt>
                <c:pt idx="4">
                  <c:v>9.358E-3</c:v>
                </c:pt>
                <c:pt idx="5">
                  <c:v>9.2500000000000013E-3</c:v>
                </c:pt>
                <c:pt idx="6">
                  <c:v>9.1420000000000008E-3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056"/>
        <c:axId val="118830592"/>
      </c:scatterChart>
      <c:valAx>
        <c:axId val="4652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</a:t>
                </a:r>
              </a:p>
            </c:rich>
          </c:tx>
          <c:layout>
            <c:manualLayout>
              <c:xMode val="edge"/>
              <c:yMode val="edge"/>
              <c:x val="0.32362510686107349"/>
              <c:y val="0.8724846510667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528384"/>
        <c:crosses val="autoZero"/>
        <c:crossBetween val="midCat"/>
      </c:valAx>
      <c:valAx>
        <c:axId val="46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density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345638150230295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526464"/>
        <c:crosses val="autoZero"/>
        <c:crossBetween val="midCat"/>
      </c:valAx>
      <c:valAx>
        <c:axId val="1188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30592"/>
        <c:crosses val="autoZero"/>
        <c:crossBetween val="midCat"/>
      </c:valAx>
      <c:valAx>
        <c:axId val="118830592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2905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24711810894217"/>
          <c:y val="0.28523536669490401"/>
          <c:w val="0.25080945781733194"/>
          <c:h val="0.285235366694904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133350</xdr:rowOff>
    </xdr:from>
    <xdr:to>
      <xdr:col>14</xdr:col>
      <xdr:colOff>295275</xdr:colOff>
      <xdr:row>25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8" sqref="E28"/>
    </sheetView>
  </sheetViews>
  <sheetFormatPr defaultRowHeight="12.75" x14ac:dyDescent="0.2"/>
  <cols>
    <col min="1" max="1" width="13.42578125" bestFit="1" customWidth="1"/>
    <col min="2" max="2" width="10.140625" bestFit="1" customWidth="1"/>
    <col min="6" max="6" width="9.140625" style="11"/>
    <col min="7" max="10" width="9.140625" style="5"/>
    <col min="11" max="11" width="10.140625" style="5" customWidth="1"/>
    <col min="12" max="14" width="9.140625" style="5"/>
    <col min="15" max="18" width="9.28515625" style="5" customWidth="1"/>
  </cols>
  <sheetData>
    <row r="1" spans="1:30" x14ac:dyDescent="0.2">
      <c r="A1" s="34" t="s">
        <v>37</v>
      </c>
      <c r="C1" s="38" t="s">
        <v>26</v>
      </c>
      <c r="D1" s="38"/>
      <c r="E1" s="38"/>
      <c r="F1" s="9"/>
      <c r="G1" s="37" t="s">
        <v>9</v>
      </c>
      <c r="H1" s="37"/>
      <c r="I1" s="37"/>
      <c r="J1" s="37"/>
      <c r="K1" s="37"/>
      <c r="L1" s="37"/>
      <c r="M1" s="37"/>
      <c r="N1" s="37"/>
      <c r="O1" s="39" t="s">
        <v>36</v>
      </c>
      <c r="P1" s="39"/>
      <c r="Q1" s="39"/>
      <c r="R1" s="39"/>
      <c r="S1" s="40" t="s">
        <v>19</v>
      </c>
      <c r="T1" s="40"/>
      <c r="U1" s="40"/>
      <c r="V1" s="40"/>
      <c r="W1" s="40"/>
      <c r="X1" s="40"/>
      <c r="Y1" s="36" t="s">
        <v>25</v>
      </c>
      <c r="Z1" s="36"/>
      <c r="AA1" s="36"/>
      <c r="AB1" s="36"/>
      <c r="AC1" s="36"/>
      <c r="AD1" s="36"/>
    </row>
    <row r="2" spans="1:30" s="1" customFormat="1" ht="38.25" x14ac:dyDescent="0.2">
      <c r="A2" s="1" t="s">
        <v>0</v>
      </c>
      <c r="B2" s="1" t="s">
        <v>1</v>
      </c>
      <c r="C2" s="17" t="s">
        <v>24</v>
      </c>
      <c r="D2" s="17" t="s">
        <v>27</v>
      </c>
      <c r="E2" s="17" t="s">
        <v>18</v>
      </c>
      <c r="F2" s="10" t="s">
        <v>10</v>
      </c>
      <c r="G2" s="7" t="s">
        <v>28</v>
      </c>
      <c r="H2" s="7" t="s">
        <v>29</v>
      </c>
      <c r="I2" s="7" t="s">
        <v>31</v>
      </c>
      <c r="J2" s="7" t="s">
        <v>30</v>
      </c>
      <c r="K2" s="7" t="s">
        <v>3</v>
      </c>
      <c r="L2" s="7" t="s">
        <v>2</v>
      </c>
      <c r="M2" s="7" t="s">
        <v>12</v>
      </c>
      <c r="N2" s="7" t="s">
        <v>13</v>
      </c>
      <c r="O2" s="8" t="s">
        <v>32</v>
      </c>
      <c r="P2" s="8" t="s">
        <v>33</v>
      </c>
      <c r="Q2" s="8" t="s">
        <v>34</v>
      </c>
      <c r="R2" s="8" t="s">
        <v>35</v>
      </c>
      <c r="S2" s="12" t="s">
        <v>11</v>
      </c>
      <c r="T2" s="12" t="s">
        <v>14</v>
      </c>
      <c r="U2" s="12" t="s">
        <v>15</v>
      </c>
      <c r="V2" s="12" t="s">
        <v>16</v>
      </c>
      <c r="W2" s="12" t="s">
        <v>17</v>
      </c>
      <c r="X2" s="12" t="s">
        <v>18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17</v>
      </c>
      <c r="AD2" s="13" t="s">
        <v>24</v>
      </c>
    </row>
    <row r="3" spans="1:30" s="14" customFormat="1" x14ac:dyDescent="0.2">
      <c r="A3" s="14" t="s">
        <v>4</v>
      </c>
      <c r="B3" s="35">
        <v>42165</v>
      </c>
      <c r="F3" s="15">
        <v>0</v>
      </c>
      <c r="G3" s="22">
        <v>25.7</v>
      </c>
      <c r="H3" s="22">
        <v>25.7</v>
      </c>
      <c r="I3" s="22">
        <v>25.6</v>
      </c>
      <c r="J3" s="22">
        <v>25.6</v>
      </c>
      <c r="K3" s="23">
        <v>4</v>
      </c>
      <c r="L3" s="22">
        <v>4</v>
      </c>
      <c r="M3" s="22">
        <v>5</v>
      </c>
      <c r="N3" s="22">
        <v>5</v>
      </c>
      <c r="O3" s="18">
        <f>30*((3.6*10^-6*G3^2-0.0003831*G3+0.01628)*(1+4.25*0.05))/(980*(2.65-((-4.8*10^-6*G3^2-1.77*10^-5*G3+1.0004638)*(1+0.63*0.05))))</f>
        <v>2.016829512636883E-4</v>
      </c>
      <c r="P3" s="18">
        <f t="shared" ref="P3:R13" si="0">30*((3.6*10^-6*H3^2-0.0003831*H3+0.01628)*(1+4.25*0.05))/(980*(2.65-((-4.8*10^-6*H3^2-1.77*10^-5*H3+1.0004638)*(1+0.63*0.05))))</f>
        <v>2.016829512636883E-4</v>
      </c>
      <c r="Q3" s="18">
        <f t="shared" si="0"/>
        <v>2.0214046981468505E-4</v>
      </c>
      <c r="R3" s="18">
        <f t="shared" si="0"/>
        <v>2.0214046981468505E-4</v>
      </c>
    </row>
    <row r="4" spans="1:30" x14ac:dyDescent="0.2">
      <c r="A4" s="19" t="s">
        <v>38</v>
      </c>
      <c r="B4" s="20">
        <v>42165</v>
      </c>
      <c r="C4" s="6">
        <f t="shared" ref="C4:C13" si="1">AD4</f>
        <v>48.074902872704769</v>
      </c>
      <c r="D4" s="6">
        <f>100-C4-E4</f>
        <v>30.698179199150012</v>
      </c>
      <c r="E4" s="6">
        <f t="shared" ref="E4:E13" si="2">X4</f>
        <v>21.22691792814522</v>
      </c>
      <c r="F4" s="21">
        <v>45.4</v>
      </c>
      <c r="G4" s="5">
        <f>G3</f>
        <v>25.7</v>
      </c>
      <c r="H4" s="16">
        <f>H3</f>
        <v>25.7</v>
      </c>
      <c r="I4" s="5">
        <f>I3</f>
        <v>25.6</v>
      </c>
      <c r="J4" s="5">
        <f>J3</f>
        <v>25.6</v>
      </c>
      <c r="K4" s="23">
        <f>(28+28.5+28)/3</f>
        <v>28.166666666666668</v>
      </c>
      <c r="L4" s="22">
        <v>27.5</v>
      </c>
      <c r="M4" s="22">
        <v>20.5</v>
      </c>
      <c r="N4" s="22">
        <v>12.5</v>
      </c>
      <c r="O4" s="18">
        <f t="shared" ref="O4:O13" si="3">30*((3.6*10^-6*G4^2-0.0003831*G4+0.01628)*(1+4.25*0.05))/(980*(2.65-((-4.8*10^-6*G4^2-1.77*10^-5*G4+1.0004638)*(1+0.63*0.05))))</f>
        <v>2.016829512636883E-4</v>
      </c>
      <c r="P4" s="18">
        <f t="shared" si="0"/>
        <v>2.016829512636883E-4</v>
      </c>
      <c r="Q4" s="18">
        <f t="shared" si="0"/>
        <v>2.0214046981468505E-4</v>
      </c>
      <c r="R4" s="18">
        <f t="shared" si="0"/>
        <v>2.0214046981468505E-4</v>
      </c>
      <c r="S4">
        <f>1000*(90^-0.5)*(Q4*(-0.164*M4+16))^0.5</f>
        <v>5.3277588132743121</v>
      </c>
      <c r="T4">
        <f>1000*(1440^-0.5)*(R4*(-0.164*N4+16))^0.5</f>
        <v>1.3993697872005675</v>
      </c>
      <c r="U4">
        <f>(M4-M3)/$F4*100</f>
        <v>34.140969162995596</v>
      </c>
      <c r="V4">
        <f>(N4-N3)/$F4*100</f>
        <v>16.519823788546255</v>
      </c>
      <c r="W4">
        <f>(U4-V4)/LN(S4/T4)</f>
        <v>13.180515335674055</v>
      </c>
      <c r="X4">
        <f>W4*LN(2/T4)+V4</f>
        <v>21.22691792814522</v>
      </c>
      <c r="Y4">
        <f>1000*(SQRT(O4*(-0.164*K4+16)))/(SQRT(0.5))</f>
        <v>67.753766547426935</v>
      </c>
      <c r="Z4">
        <f>1000*SQRT(P4*(-0.164*L4+16))</f>
        <v>48.138727756555625</v>
      </c>
      <c r="AA4">
        <f>(K4-K3)/$F4*100</f>
        <v>53.230543318649048</v>
      </c>
      <c r="AB4">
        <f>(L4-L3)/$F4*100</f>
        <v>51.762114537444937</v>
      </c>
      <c r="AC4">
        <f>(AA4-AB4)/LN(Y4/Z4)</f>
        <v>4.2962511540899353</v>
      </c>
      <c r="AD4">
        <f>100-(AC4*LN(50/Z4)+AB4)</f>
        <v>48.074902872704769</v>
      </c>
    </row>
    <row r="5" spans="1:30" x14ac:dyDescent="0.2">
      <c r="A5" s="19" t="s">
        <v>39</v>
      </c>
      <c r="B5" s="20">
        <v>42165</v>
      </c>
      <c r="C5" s="6">
        <f t="shared" si="1"/>
        <v>47.960277934233922</v>
      </c>
      <c r="D5" s="6">
        <f t="shared" ref="D5:D24" si="4">100-C5-E5</f>
        <v>29.930341120923924</v>
      </c>
      <c r="E5" s="6">
        <f t="shared" si="2"/>
        <v>22.109380944842155</v>
      </c>
      <c r="F5" s="21">
        <v>45.3</v>
      </c>
      <c r="G5" s="5">
        <f t="shared" ref="G5:G13" si="5">G4</f>
        <v>25.7</v>
      </c>
      <c r="H5" s="16">
        <f t="shared" ref="H5:H13" si="6">H4</f>
        <v>25.7</v>
      </c>
      <c r="I5" s="5">
        <f t="shared" ref="I5:J13" si="7">I4</f>
        <v>25.6</v>
      </c>
      <c r="J5" s="5">
        <f t="shared" si="7"/>
        <v>25.6</v>
      </c>
      <c r="K5" s="23">
        <f>(28+28+28.5)/3</f>
        <v>28.166666666666668</v>
      </c>
      <c r="L5" s="22">
        <v>27.5</v>
      </c>
      <c r="M5" s="22">
        <v>20.5</v>
      </c>
      <c r="N5" s="22">
        <v>13</v>
      </c>
      <c r="O5" s="18">
        <f t="shared" si="3"/>
        <v>2.016829512636883E-4</v>
      </c>
      <c r="P5" s="18">
        <f t="shared" si="0"/>
        <v>2.016829512636883E-4</v>
      </c>
      <c r="Q5" s="18">
        <f t="shared" si="0"/>
        <v>2.0214046981468505E-4</v>
      </c>
      <c r="R5" s="18">
        <f t="shared" si="0"/>
        <v>2.0214046981468505E-4</v>
      </c>
      <c r="S5">
        <f t="shared" ref="S5:S14" si="8">1000*(90^-0.5)*(Q5*(-0.164*M5+16))^0.5</f>
        <v>5.3277588132743121</v>
      </c>
      <c r="T5">
        <f t="shared" ref="T5:T14" si="9">1000*(1440^-0.5)*(R5*(-0.164*N5+16))^0.5</f>
        <v>1.3952508823062701</v>
      </c>
      <c r="U5">
        <f>(M5-M3)/$F5*100</f>
        <v>34.216335540838855</v>
      </c>
      <c r="V5">
        <f>(N5-N3)/$F5*100</f>
        <v>17.660044150110377</v>
      </c>
      <c r="W5">
        <f t="shared" ref="W5:W13" si="10">(U5-V5)/LN(S5/T5)</f>
        <v>12.356765341785696</v>
      </c>
      <c r="X5">
        <f t="shared" ref="X5:X13" si="11">W5*LN(2/T5)+V5</f>
        <v>22.109380944842155</v>
      </c>
      <c r="Y5">
        <f t="shared" ref="Y5:Y24" si="12">1000*(SQRT(O5*(-0.164*K5+16)))/(SQRT(0.5))</f>
        <v>67.753766547426935</v>
      </c>
      <c r="Z5">
        <f t="shared" ref="Z5:Z24" si="13">1000*SQRT(P5*(-0.164*L5+16))</f>
        <v>48.138727756555625</v>
      </c>
      <c r="AA5">
        <f>(K5-K3)/$F5*100</f>
        <v>53.348050036791761</v>
      </c>
      <c r="AB5">
        <f>(L5-L3)/$F5*100</f>
        <v>51.876379690949229</v>
      </c>
      <c r="AC5">
        <f t="shared" ref="AC5:AC13" si="14">(AA5-AB5)/LN(Y5/Z5)</f>
        <v>4.3057351522225913</v>
      </c>
      <c r="AD5">
        <f t="shared" ref="AD5:AD13" si="15">100-(AC5*LN(50/Z5)+AB5)</f>
        <v>47.960277934233922</v>
      </c>
    </row>
    <row r="6" spans="1:30" x14ac:dyDescent="0.2">
      <c r="A6" s="19" t="s">
        <v>40</v>
      </c>
      <c r="B6" s="20">
        <v>42165</v>
      </c>
      <c r="C6" s="6">
        <f t="shared" si="1"/>
        <v>40.615366327010129</v>
      </c>
      <c r="D6" s="6">
        <f t="shared" si="4"/>
        <v>19.480523593127863</v>
      </c>
      <c r="E6" s="6">
        <f t="shared" si="2"/>
        <v>39.904110079862008</v>
      </c>
      <c r="F6" s="21">
        <v>45.57</v>
      </c>
      <c r="G6" s="5">
        <f t="shared" si="5"/>
        <v>25.7</v>
      </c>
      <c r="H6" s="16">
        <f t="shared" si="6"/>
        <v>25.7</v>
      </c>
      <c r="I6" s="5">
        <f t="shared" si="7"/>
        <v>25.6</v>
      </c>
      <c r="J6" s="5">
        <f t="shared" si="7"/>
        <v>25.6</v>
      </c>
      <c r="K6" s="23">
        <f>(31+31.5+31.5)/3</f>
        <v>31.333333333333332</v>
      </c>
      <c r="L6" s="22">
        <v>31</v>
      </c>
      <c r="M6" s="22">
        <v>27</v>
      </c>
      <c r="N6" s="22">
        <v>21.5</v>
      </c>
      <c r="O6" s="18">
        <f t="shared" si="3"/>
        <v>2.016829512636883E-4</v>
      </c>
      <c r="P6" s="18">
        <f t="shared" si="0"/>
        <v>2.016829512636883E-4</v>
      </c>
      <c r="Q6" s="18">
        <f t="shared" si="0"/>
        <v>2.0214046981468505E-4</v>
      </c>
      <c r="R6" s="18">
        <f t="shared" si="0"/>
        <v>2.0214046981468505E-4</v>
      </c>
      <c r="S6">
        <f t="shared" si="8"/>
        <v>5.0981145934284537</v>
      </c>
      <c r="T6">
        <f t="shared" si="9"/>
        <v>1.3232693678044956</v>
      </c>
      <c r="U6">
        <f>(M6-M3)/$F6*100</f>
        <v>48.277375466315561</v>
      </c>
      <c r="V6">
        <f>(N6-N3)/$F6*100</f>
        <v>36.208031599736671</v>
      </c>
      <c r="W6">
        <f t="shared" si="10"/>
        <v>8.9484387882463334</v>
      </c>
      <c r="X6">
        <f t="shared" si="11"/>
        <v>39.904110079862008</v>
      </c>
      <c r="Y6">
        <f t="shared" si="12"/>
        <v>66.189814342168077</v>
      </c>
      <c r="Z6">
        <f t="shared" si="13"/>
        <v>46.920902548804634</v>
      </c>
      <c r="AA6">
        <f>(K6-K3)/$F6*100</f>
        <v>59.980981639967808</v>
      </c>
      <c r="AB6">
        <f>(L6-L3)/$F6*100</f>
        <v>59.24950625411455</v>
      </c>
      <c r="AC6">
        <f t="shared" si="14"/>
        <v>2.1259905451118941</v>
      </c>
      <c r="AD6">
        <f t="shared" si="15"/>
        <v>40.615366327010129</v>
      </c>
    </row>
    <row r="7" spans="1:30" x14ac:dyDescent="0.2">
      <c r="A7" s="19" t="s">
        <v>41</v>
      </c>
      <c r="B7" s="20">
        <v>42165</v>
      </c>
      <c r="C7" s="6">
        <f t="shared" si="1"/>
        <v>42.522946907601472</v>
      </c>
      <c r="D7" s="6">
        <f t="shared" si="4"/>
        <v>25.920336876652303</v>
      </c>
      <c r="E7" s="6">
        <f t="shared" si="2"/>
        <v>31.556716215746224</v>
      </c>
      <c r="F7" s="21">
        <v>45.33</v>
      </c>
      <c r="G7" s="5">
        <f t="shared" si="5"/>
        <v>25.7</v>
      </c>
      <c r="H7" s="16">
        <f t="shared" si="6"/>
        <v>25.7</v>
      </c>
      <c r="I7" s="5">
        <f t="shared" si="7"/>
        <v>25.6</v>
      </c>
      <c r="J7" s="5">
        <f t="shared" si="7"/>
        <v>25.6</v>
      </c>
      <c r="K7" s="23">
        <f>(30.5+30+30.5)/3</f>
        <v>30.333333333333332</v>
      </c>
      <c r="L7" s="22">
        <v>30</v>
      </c>
      <c r="M7" s="22">
        <v>25</v>
      </c>
      <c r="N7" s="22">
        <v>17</v>
      </c>
      <c r="O7" s="18">
        <f t="shared" si="3"/>
        <v>2.016829512636883E-4</v>
      </c>
      <c r="P7" s="18">
        <f t="shared" si="0"/>
        <v>2.016829512636883E-4</v>
      </c>
      <c r="Q7" s="18">
        <f t="shared" si="0"/>
        <v>2.0214046981468505E-4</v>
      </c>
      <c r="R7" s="18">
        <f t="shared" si="0"/>
        <v>2.0214046981468505E-4</v>
      </c>
      <c r="S7">
        <f t="shared" si="8"/>
        <v>5.169860938162814</v>
      </c>
      <c r="T7">
        <f t="shared" si="9"/>
        <v>1.3618512439138628</v>
      </c>
      <c r="U7">
        <f>(M7-M3)/$F7*100</f>
        <v>44.12089124200309</v>
      </c>
      <c r="V7">
        <f>(N7-N3)/$F7*100</f>
        <v>26.472534745201852</v>
      </c>
      <c r="W7">
        <f t="shared" si="10"/>
        <v>13.229644538977698</v>
      </c>
      <c r="X7">
        <f t="shared" si="11"/>
        <v>31.556716215746224</v>
      </c>
      <c r="Y7">
        <f t="shared" si="12"/>
        <v>66.687656509020968</v>
      </c>
      <c r="Z7">
        <f t="shared" si="13"/>
        <v>47.272054112357615</v>
      </c>
      <c r="AA7">
        <f>(K7-K3)/$F7*100</f>
        <v>58.092506801970735</v>
      </c>
      <c r="AB7">
        <f>(L7-L3)/$F7*100</f>
        <v>57.357158614604018</v>
      </c>
      <c r="AC7">
        <f t="shared" si="14"/>
        <v>2.1370152683715573</v>
      </c>
      <c r="AD7">
        <f t="shared" si="15"/>
        <v>42.522946907601472</v>
      </c>
    </row>
    <row r="8" spans="1:30" x14ac:dyDescent="0.2">
      <c r="A8" s="19" t="s">
        <v>42</v>
      </c>
      <c r="B8" s="20">
        <v>42165</v>
      </c>
      <c r="C8" s="6">
        <f t="shared" si="1"/>
        <v>48.163309979535299</v>
      </c>
      <c r="D8" s="6">
        <f t="shared" si="4"/>
        <v>30.372186577806204</v>
      </c>
      <c r="E8" s="6">
        <f t="shared" si="2"/>
        <v>21.464503442658497</v>
      </c>
      <c r="F8" s="21">
        <v>45.37</v>
      </c>
      <c r="G8" s="5">
        <f t="shared" si="5"/>
        <v>25.7</v>
      </c>
      <c r="H8" s="16">
        <f t="shared" si="6"/>
        <v>25.7</v>
      </c>
      <c r="I8" s="5">
        <f t="shared" si="7"/>
        <v>25.6</v>
      </c>
      <c r="J8" s="5">
        <f t="shared" si="7"/>
        <v>25.6</v>
      </c>
      <c r="K8" s="23">
        <f>(27+28+28)/3</f>
        <v>27.666666666666668</v>
      </c>
      <c r="L8" s="22">
        <v>27.5</v>
      </c>
      <c r="M8" s="22">
        <v>19.5</v>
      </c>
      <c r="N8" s="22">
        <v>13</v>
      </c>
      <c r="O8" s="18">
        <f t="shared" si="3"/>
        <v>2.016829512636883E-4</v>
      </c>
      <c r="P8" s="18">
        <f t="shared" si="0"/>
        <v>2.016829512636883E-4</v>
      </c>
      <c r="Q8" s="18">
        <f t="shared" si="0"/>
        <v>2.0214046981468505E-4</v>
      </c>
      <c r="R8" s="18">
        <f t="shared" si="0"/>
        <v>2.0214046981468505E-4</v>
      </c>
      <c r="S8">
        <f t="shared" si="8"/>
        <v>5.3622158506096023</v>
      </c>
      <c r="T8">
        <f t="shared" si="9"/>
        <v>1.3952508823062701</v>
      </c>
      <c r="U8">
        <f>(M8-M3)/$F8*100</f>
        <v>31.959444566894422</v>
      </c>
      <c r="V8">
        <f>(N8-N3)/$F8*100</f>
        <v>17.63279700242451</v>
      </c>
      <c r="W8">
        <f t="shared" si="10"/>
        <v>10.64147299360255</v>
      </c>
      <c r="X8">
        <f t="shared" si="11"/>
        <v>21.464503442658497</v>
      </c>
      <c r="Y8">
        <f t="shared" si="12"/>
        <v>67.99741822577144</v>
      </c>
      <c r="Z8">
        <f t="shared" si="13"/>
        <v>48.138727756555625</v>
      </c>
      <c r="AA8">
        <f>(K8-K3)/$F8*100</f>
        <v>52.163691132172517</v>
      </c>
      <c r="AB8">
        <f>(L8-L3)/$F8*100</f>
        <v>51.796341194621995</v>
      </c>
      <c r="AC8">
        <f t="shared" si="14"/>
        <v>1.0636024973718583</v>
      </c>
      <c r="AD8">
        <f t="shared" si="15"/>
        <v>48.163309979535299</v>
      </c>
    </row>
    <row r="9" spans="1:30" x14ac:dyDescent="0.2">
      <c r="A9" s="19" t="s">
        <v>43</v>
      </c>
      <c r="B9" s="20">
        <v>42165</v>
      </c>
      <c r="C9" s="6">
        <f t="shared" si="1"/>
        <v>45.253551304495787</v>
      </c>
      <c r="D9" s="6">
        <f t="shared" si="4"/>
        <v>28.549418212461383</v>
      </c>
      <c r="E9" s="6">
        <f t="shared" si="2"/>
        <v>26.19703048304283</v>
      </c>
      <c r="F9" s="21">
        <v>45.58</v>
      </c>
      <c r="G9" s="5">
        <f t="shared" si="5"/>
        <v>25.7</v>
      </c>
      <c r="H9" s="16">
        <f t="shared" si="6"/>
        <v>25.7</v>
      </c>
      <c r="I9" s="5">
        <f t="shared" si="7"/>
        <v>25.6</v>
      </c>
      <c r="J9" s="5">
        <f t="shared" si="7"/>
        <v>25.6</v>
      </c>
      <c r="K9" s="23">
        <f>(28.5+28.5+29)/3</f>
        <v>28.666666666666668</v>
      </c>
      <c r="L9" s="22">
        <v>29</v>
      </c>
      <c r="M9" s="22">
        <v>22</v>
      </c>
      <c r="N9" s="22">
        <v>15</v>
      </c>
      <c r="O9" s="18">
        <f t="shared" si="3"/>
        <v>2.016829512636883E-4</v>
      </c>
      <c r="P9" s="18">
        <f t="shared" si="0"/>
        <v>2.016829512636883E-4</v>
      </c>
      <c r="Q9" s="18">
        <f t="shared" si="0"/>
        <v>2.0214046981468505E-4</v>
      </c>
      <c r="R9" s="18">
        <f t="shared" si="0"/>
        <v>2.0214046981468505E-4</v>
      </c>
      <c r="S9">
        <f t="shared" si="8"/>
        <v>5.275651304650637</v>
      </c>
      <c r="T9">
        <f t="shared" si="9"/>
        <v>1.3786522105168801</v>
      </c>
      <c r="U9">
        <f>(M9-M3)/$F9*100</f>
        <v>37.297060114085127</v>
      </c>
      <c r="V9">
        <f>(N9-N3)/$F9*100</f>
        <v>21.939447125932425</v>
      </c>
      <c r="W9">
        <f t="shared" si="10"/>
        <v>11.443860874390495</v>
      </c>
      <c r="X9">
        <f t="shared" si="11"/>
        <v>26.19703048304283</v>
      </c>
      <c r="Y9">
        <f t="shared" si="12"/>
        <v>67.509235496752467</v>
      </c>
      <c r="Z9">
        <f t="shared" si="13"/>
        <v>47.620616375776905</v>
      </c>
      <c r="AA9">
        <f>(K9-K3)/$F9*100</f>
        <v>54.117302910633327</v>
      </c>
      <c r="AB9">
        <f>(L9-L3)/$F9*100</f>
        <v>54.848617814831066</v>
      </c>
      <c r="AC9">
        <f t="shared" si="14"/>
        <v>-2.0954664274745016</v>
      </c>
      <c r="AD9">
        <f t="shared" si="15"/>
        <v>45.253551304495787</v>
      </c>
    </row>
    <row r="10" spans="1:30" x14ac:dyDescent="0.2">
      <c r="A10" s="19" t="s">
        <v>44</v>
      </c>
      <c r="B10" s="20">
        <v>42165</v>
      </c>
      <c r="C10" s="6">
        <f t="shared" si="1"/>
        <v>51.141981335468188</v>
      </c>
      <c r="D10" s="6">
        <f t="shared" si="4"/>
        <v>21.379243216880607</v>
      </c>
      <c r="E10" s="6">
        <f t="shared" si="2"/>
        <v>27.478775447651206</v>
      </c>
      <c r="F10" s="21">
        <v>45.11</v>
      </c>
      <c r="G10" s="5">
        <f t="shared" si="5"/>
        <v>25.7</v>
      </c>
      <c r="H10" s="16">
        <f t="shared" si="6"/>
        <v>25.7</v>
      </c>
      <c r="I10" s="5">
        <f t="shared" si="7"/>
        <v>25.6</v>
      </c>
      <c r="J10" s="5">
        <f t="shared" si="7"/>
        <v>25.6</v>
      </c>
      <c r="K10" s="23">
        <f>(26.5+26.5+26.5)/3</f>
        <v>26.5</v>
      </c>
      <c r="L10" s="22">
        <v>26</v>
      </c>
      <c r="M10" s="22">
        <v>21</v>
      </c>
      <c r="N10" s="22">
        <v>16</v>
      </c>
      <c r="O10" s="18">
        <f t="shared" si="3"/>
        <v>2.016829512636883E-4</v>
      </c>
      <c r="P10" s="18">
        <f t="shared" si="0"/>
        <v>2.016829512636883E-4</v>
      </c>
      <c r="Q10" s="18">
        <f t="shared" si="0"/>
        <v>2.0214046981468505E-4</v>
      </c>
      <c r="R10" s="18">
        <f t="shared" si="0"/>
        <v>2.0214046981468505E-4</v>
      </c>
      <c r="S10">
        <f t="shared" si="8"/>
        <v>5.3104464543359002</v>
      </c>
      <c r="T10">
        <f t="shared" si="9"/>
        <v>1.3702774770302577</v>
      </c>
      <c r="U10">
        <f>(M10-M3)/$F10*100</f>
        <v>35.468853912657949</v>
      </c>
      <c r="V10">
        <f>(N10-N3)/$F10*100</f>
        <v>24.38483706495234</v>
      </c>
      <c r="W10">
        <f t="shared" si="10"/>
        <v>8.1821232967137014</v>
      </c>
      <c r="X10">
        <f t="shared" si="11"/>
        <v>27.478775447651206</v>
      </c>
      <c r="Y10">
        <f t="shared" si="12"/>
        <v>68.562571626610136</v>
      </c>
      <c r="Z10">
        <f t="shared" si="13"/>
        <v>48.651321832306323</v>
      </c>
      <c r="AA10">
        <f>(K10-K3)/$F10*100</f>
        <v>49.878075814675235</v>
      </c>
      <c r="AB10">
        <f>(L10-L3)/$F10*100</f>
        <v>48.769674129904679</v>
      </c>
      <c r="AC10">
        <f t="shared" si="14"/>
        <v>3.2308531174774147</v>
      </c>
      <c r="AD10">
        <f t="shared" si="15"/>
        <v>51.141981335468188</v>
      </c>
    </row>
    <row r="11" spans="1:30" x14ac:dyDescent="0.2">
      <c r="A11" s="19" t="s">
        <v>45</v>
      </c>
      <c r="B11" s="20">
        <v>42165</v>
      </c>
      <c r="C11" s="6">
        <f t="shared" si="1"/>
        <v>51.467528755515417</v>
      </c>
      <c r="D11" s="6">
        <f t="shared" si="4"/>
        <v>24.736189283768304</v>
      </c>
      <c r="E11" s="6">
        <f t="shared" si="2"/>
        <v>23.796281960716279</v>
      </c>
      <c r="F11" s="21">
        <v>45.25</v>
      </c>
      <c r="G11" s="5">
        <f t="shared" si="5"/>
        <v>25.7</v>
      </c>
      <c r="H11" s="16">
        <f t="shared" si="6"/>
        <v>25.7</v>
      </c>
      <c r="I11" s="5">
        <f t="shared" si="7"/>
        <v>25.6</v>
      </c>
      <c r="J11" s="5">
        <f t="shared" si="7"/>
        <v>25.6</v>
      </c>
      <c r="K11" s="23">
        <f>(25.5+25.5+25.5)/3</f>
        <v>25.5</v>
      </c>
      <c r="L11" s="22">
        <v>26</v>
      </c>
      <c r="M11" s="22">
        <v>20.5</v>
      </c>
      <c r="N11" s="22">
        <v>14</v>
      </c>
      <c r="O11" s="18">
        <f t="shared" si="3"/>
        <v>2.016829512636883E-4</v>
      </c>
      <c r="P11" s="18">
        <f t="shared" si="0"/>
        <v>2.016829512636883E-4</v>
      </c>
      <c r="Q11" s="18">
        <f t="shared" si="0"/>
        <v>2.0214046981468505E-4</v>
      </c>
      <c r="R11" s="18">
        <f t="shared" si="0"/>
        <v>2.0214046981468505E-4</v>
      </c>
      <c r="S11">
        <f t="shared" si="8"/>
        <v>5.3277588132743121</v>
      </c>
      <c r="T11">
        <f t="shared" si="9"/>
        <v>1.3869763772572887</v>
      </c>
      <c r="U11">
        <f>(M11-M3)/$F11*100</f>
        <v>34.254143646408842</v>
      </c>
      <c r="V11">
        <f>(N11-N3)/$F11*100</f>
        <v>19.88950276243094</v>
      </c>
      <c r="W11">
        <f t="shared" si="10"/>
        <v>10.673645614371447</v>
      </c>
      <c r="X11">
        <f t="shared" si="11"/>
        <v>23.796281960716279</v>
      </c>
      <c r="Y11">
        <f t="shared" si="12"/>
        <v>69.043306960693414</v>
      </c>
      <c r="Z11">
        <f t="shared" si="13"/>
        <v>48.651321832306323</v>
      </c>
      <c r="AA11">
        <f>(K11-K3)/$F11*100</f>
        <v>47.513812154696133</v>
      </c>
      <c r="AB11">
        <f>(L11-L3)/$F11*100</f>
        <v>48.618784530386741</v>
      </c>
      <c r="AC11">
        <f t="shared" si="14"/>
        <v>-3.1565682021382027</v>
      </c>
      <c r="AD11">
        <f t="shared" si="15"/>
        <v>51.467528755515417</v>
      </c>
    </row>
    <row r="12" spans="1:30" x14ac:dyDescent="0.2">
      <c r="A12" s="19" t="s">
        <v>46</v>
      </c>
      <c r="B12" s="20">
        <v>42165</v>
      </c>
      <c r="C12" s="6">
        <f t="shared" si="1"/>
        <v>51.672100901667967</v>
      </c>
      <c r="D12" s="6">
        <f t="shared" si="4"/>
        <v>26.349155354713723</v>
      </c>
      <c r="E12" s="6">
        <f t="shared" si="2"/>
        <v>21.97874374361831</v>
      </c>
      <c r="F12" s="21">
        <v>46.65</v>
      </c>
      <c r="G12" s="5">
        <f t="shared" si="5"/>
        <v>25.7</v>
      </c>
      <c r="H12" s="16">
        <f t="shared" si="6"/>
        <v>25.7</v>
      </c>
      <c r="I12" s="5">
        <f t="shared" si="7"/>
        <v>25.6</v>
      </c>
      <c r="J12" s="5">
        <f t="shared" si="7"/>
        <v>25.6</v>
      </c>
      <c r="K12" s="23">
        <f>(27+27+27)/3</f>
        <v>27</v>
      </c>
      <c r="L12" s="22">
        <v>26.5</v>
      </c>
      <c r="M12" s="22">
        <v>20</v>
      </c>
      <c r="N12" s="22">
        <v>13.5</v>
      </c>
      <c r="O12" s="18">
        <f t="shared" si="3"/>
        <v>2.016829512636883E-4</v>
      </c>
      <c r="P12" s="18">
        <f t="shared" si="0"/>
        <v>2.016829512636883E-4</v>
      </c>
      <c r="Q12" s="18">
        <f t="shared" si="0"/>
        <v>2.0214046981468505E-4</v>
      </c>
      <c r="R12" s="18">
        <f t="shared" si="0"/>
        <v>2.0214046981468505E-4</v>
      </c>
      <c r="S12">
        <f t="shared" si="8"/>
        <v>5.3450150982457938</v>
      </c>
      <c r="T12">
        <f t="shared" si="9"/>
        <v>1.3911197819825183</v>
      </c>
      <c r="U12">
        <f>(M12-M3)/$F12*100</f>
        <v>32.154340836012864</v>
      </c>
      <c r="V12">
        <f>(N12-N3)/$F12*100</f>
        <v>18.220793140407288</v>
      </c>
      <c r="W12">
        <f t="shared" si="10"/>
        <v>10.351392844225641</v>
      </c>
      <c r="X12">
        <f t="shared" si="11"/>
        <v>21.97874374361831</v>
      </c>
      <c r="Y12">
        <f t="shared" si="12"/>
        <v>68.320935474031685</v>
      </c>
      <c r="Z12">
        <f t="shared" si="13"/>
        <v>48.48105933276441</v>
      </c>
      <c r="AA12">
        <f>(K12-K3)/$F12*100</f>
        <v>49.303322615219727</v>
      </c>
      <c r="AB12">
        <f>(L12-L3)/$F12*100</f>
        <v>48.231511254019296</v>
      </c>
      <c r="AC12">
        <f t="shared" si="14"/>
        <v>3.1244223220267613</v>
      </c>
      <c r="AD12">
        <f t="shared" si="15"/>
        <v>51.672100901667967</v>
      </c>
    </row>
    <row r="13" spans="1:30" s="33" customFormat="1" x14ac:dyDescent="0.2">
      <c r="A13" s="24" t="s">
        <v>47</v>
      </c>
      <c r="B13" s="25">
        <v>42165</v>
      </c>
      <c r="C13" s="26">
        <f t="shared" si="1"/>
        <v>52.559576345984112</v>
      </c>
      <c r="D13" s="26">
        <f t="shared" si="4"/>
        <v>19.772804595872053</v>
      </c>
      <c r="E13" s="26">
        <f t="shared" si="2"/>
        <v>27.667619058143835</v>
      </c>
      <c r="F13" s="27">
        <v>45.32</v>
      </c>
      <c r="G13" s="28">
        <f t="shared" si="5"/>
        <v>25.7</v>
      </c>
      <c r="H13" s="29">
        <f t="shared" si="6"/>
        <v>25.7</v>
      </c>
      <c r="I13" s="28">
        <f t="shared" si="7"/>
        <v>25.6</v>
      </c>
      <c r="J13" s="28">
        <f t="shared" si="7"/>
        <v>25.6</v>
      </c>
      <c r="K13" s="30">
        <f>(25+25.5+26)/3</f>
        <v>25.5</v>
      </c>
      <c r="L13" s="31">
        <v>25.5</v>
      </c>
      <c r="M13" s="31">
        <v>21.5</v>
      </c>
      <c r="N13" s="31">
        <v>16</v>
      </c>
      <c r="O13" s="32">
        <f t="shared" si="3"/>
        <v>2.016829512636883E-4</v>
      </c>
      <c r="P13" s="32">
        <f t="shared" si="0"/>
        <v>2.016829512636883E-4</v>
      </c>
      <c r="Q13" s="32">
        <f t="shared" si="0"/>
        <v>2.0214046981468505E-4</v>
      </c>
      <c r="R13" s="32">
        <f t="shared" si="0"/>
        <v>2.0214046981468505E-4</v>
      </c>
      <c r="S13" s="33">
        <f t="shared" si="8"/>
        <v>5.2930774712179822</v>
      </c>
      <c r="T13" s="33">
        <f t="shared" si="9"/>
        <v>1.3702774770302577</v>
      </c>
      <c r="U13" s="33">
        <f>(M13-M3)/$F13*100</f>
        <v>36.407766990291265</v>
      </c>
      <c r="V13" s="33">
        <f>(N13-N3)/$F13*100</f>
        <v>24.271844660194176</v>
      </c>
      <c r="W13" s="33">
        <f t="shared" si="10"/>
        <v>8.9803484669307156</v>
      </c>
      <c r="X13" s="33">
        <f t="shared" si="11"/>
        <v>27.667619058143835</v>
      </c>
      <c r="Y13" s="33">
        <f t="shared" si="12"/>
        <v>69.043306960693414</v>
      </c>
      <c r="Z13" s="33">
        <f t="shared" si="13"/>
        <v>48.820990547450677</v>
      </c>
      <c r="AA13" s="33">
        <f>(K13-K3)/$F13*100</f>
        <v>47.440423654015888</v>
      </c>
      <c r="AB13" s="33">
        <f>(L13-L3)/$F13*100</f>
        <v>47.440423654015888</v>
      </c>
      <c r="AC13" s="33">
        <f t="shared" si="14"/>
        <v>0</v>
      </c>
      <c r="AD13" s="33">
        <f t="shared" si="15"/>
        <v>52.559576345984112</v>
      </c>
    </row>
    <row r="14" spans="1:30" x14ac:dyDescent="0.2">
      <c r="A14" s="14" t="s">
        <v>4</v>
      </c>
      <c r="B14" s="20"/>
      <c r="C14" s="6"/>
      <c r="D14" s="6"/>
      <c r="E14" s="6"/>
      <c r="F14" s="15">
        <v>0</v>
      </c>
      <c r="G14" s="22">
        <v>23.5</v>
      </c>
      <c r="H14" s="22">
        <v>23.5</v>
      </c>
      <c r="I14" s="22">
        <v>23.5</v>
      </c>
      <c r="J14" s="22">
        <v>23</v>
      </c>
      <c r="K14" s="23">
        <v>5</v>
      </c>
      <c r="L14" s="22">
        <v>5</v>
      </c>
      <c r="M14" s="22">
        <v>5</v>
      </c>
      <c r="N14" s="22">
        <v>5.5</v>
      </c>
      <c r="O14" s="18">
        <f>30*((3.6*10^-6*G14^2-0.0003831*G14+0.01628)*(1+4.25*0.05))/(980*(2.65-((-4.8*10^-6*G14^2-1.77*10^-5*G14+1.0004638)*(1+0.63*0.05))))</f>
        <v>2.1212971427184019E-4</v>
      </c>
      <c r="P14" s="18">
        <f t="shared" ref="P14:P24" si="16">30*((3.6*10^-6*H14^2-0.0003831*H14+0.01628)*(1+4.25*0.05))/(980*(2.65-((-4.8*10^-6*H14^2-1.77*10^-5*H14+1.0004638)*(1+0.63*0.05))))</f>
        <v>2.1212971427184019E-4</v>
      </c>
      <c r="Q14" s="18">
        <f t="shared" ref="Q14:Q24" si="17">30*((3.6*10^-6*I14^2-0.0003831*I14+0.01628)*(1+4.25*0.05))/(980*(2.65-((-4.8*10^-6*I14^2-1.77*10^-5*I14+1.0004638)*(1+0.63*0.05))))</f>
        <v>2.1212971427184019E-4</v>
      </c>
      <c r="R14" s="18">
        <f t="shared" ref="R14:R24" si="18">30*((3.6*10^-6*J14^2-0.0003831*J14+0.01628)*(1+4.25*0.05))/(980*(2.65-((-4.8*10^-6*J14^2-1.77*10^-5*J14+1.0004638)*(1+0.63*0.05))))</f>
        <v>2.1461540882467014E-4</v>
      </c>
      <c r="S14" s="14">
        <f t="shared" si="8"/>
        <v>5.9815726867759214</v>
      </c>
      <c r="T14" s="14">
        <f t="shared" si="9"/>
        <v>1.5000609808055558</v>
      </c>
      <c r="U14" s="14"/>
      <c r="V14" s="14"/>
      <c r="W14" s="14"/>
      <c r="X14" s="14"/>
      <c r="Y14">
        <f t="shared" si="12"/>
        <v>80.251218839922103</v>
      </c>
      <c r="Z14">
        <f t="shared" si="13"/>
        <v>56.746181040194543</v>
      </c>
      <c r="AA14" s="14"/>
      <c r="AB14" s="14"/>
      <c r="AC14" s="14"/>
      <c r="AD14" s="14"/>
    </row>
    <row r="15" spans="1:30" x14ac:dyDescent="0.2">
      <c r="A15" s="19" t="s">
        <v>48</v>
      </c>
      <c r="B15" s="20">
        <v>42177</v>
      </c>
      <c r="C15" s="6">
        <f t="shared" ref="C15:C24" si="19">AD15</f>
        <v>53.575061071038128</v>
      </c>
      <c r="D15" s="6">
        <f t="shared" si="4"/>
        <v>24.606680581162713</v>
      </c>
      <c r="E15" s="6">
        <f t="shared" ref="E15:E24" si="20">X15</f>
        <v>21.818258347799159</v>
      </c>
      <c r="F15" s="21">
        <v>45.23</v>
      </c>
      <c r="G15" s="5">
        <f>G14</f>
        <v>23.5</v>
      </c>
      <c r="H15" s="5">
        <f t="shared" ref="H15:I24" si="21">H14</f>
        <v>23.5</v>
      </c>
      <c r="I15" s="5">
        <f t="shared" si="21"/>
        <v>23.5</v>
      </c>
      <c r="J15" s="5">
        <f>J14</f>
        <v>23</v>
      </c>
      <c r="K15" s="23">
        <f>AVERAGE(25,26,26)</f>
        <v>25.666666666666668</v>
      </c>
      <c r="L15" s="22">
        <v>26</v>
      </c>
      <c r="M15" s="22">
        <v>22</v>
      </c>
      <c r="N15" s="22">
        <v>13</v>
      </c>
      <c r="O15" s="18">
        <f t="shared" ref="O15:O24" si="22">30*((3.6*10^-6*G15^2-0.0003831*G15+0.01628)*(1+4.25*0.05))/(980*(2.65-((-4.8*10^-6*G15^2-1.77*10^-5*G15+1.0004638)*(1+0.63*0.05))))</f>
        <v>2.1212971427184019E-4</v>
      </c>
      <c r="P15" s="18">
        <f t="shared" si="16"/>
        <v>2.1212971427184019E-4</v>
      </c>
      <c r="Q15" s="18">
        <f t="shared" si="17"/>
        <v>2.1212971427184019E-4</v>
      </c>
      <c r="R15" s="18">
        <f t="shared" si="18"/>
        <v>2.1461540882467014E-4</v>
      </c>
      <c r="S15">
        <f>1000*(90^-0.5)*(Q15*(-0.164*M15+16))^0.5</f>
        <v>5.4044337962831177</v>
      </c>
      <c r="T15">
        <f>1000*(1440^-0.5)*(R15*(-0.164*N15+16))^0.5</f>
        <v>1.4376597712130135</v>
      </c>
      <c r="U15">
        <f>(M15-M14)/$F15*100</f>
        <v>37.585673225735135</v>
      </c>
      <c r="V15">
        <f>(N15-N14)/$F15*100</f>
        <v>16.581914658412558</v>
      </c>
      <c r="W15">
        <f>(U15-V15)/LN(S15/T15)</f>
        <v>15.861433373579136</v>
      </c>
      <c r="X15">
        <f>W15*LN(2/T15)+V15</f>
        <v>21.818258347799159</v>
      </c>
      <c r="Y15">
        <f t="shared" si="12"/>
        <v>70.726950324109268</v>
      </c>
      <c r="Z15">
        <f t="shared" si="13"/>
        <v>49.895433926305486</v>
      </c>
      <c r="AA15">
        <f>(K15-K14)/$F15*100</f>
        <v>45.692387058736834</v>
      </c>
      <c r="AB15">
        <f>(L15-L14)/$F15*100</f>
        <v>46.429361043555168</v>
      </c>
      <c r="AC15">
        <f>(AA15-AB15)/LN(Y15/Z15)</f>
        <v>-2.1122955047481065</v>
      </c>
      <c r="AD15">
        <f>100-(AC15*LN(50/Z15)+AB15)</f>
        <v>53.575061071038128</v>
      </c>
    </row>
    <row r="16" spans="1:30" x14ac:dyDescent="0.2">
      <c r="A16" s="19" t="s">
        <v>49</v>
      </c>
      <c r="B16" s="20">
        <v>42177</v>
      </c>
      <c r="C16" s="6">
        <f t="shared" si="19"/>
        <v>61.439239182733786</v>
      </c>
      <c r="D16" s="6">
        <f t="shared" si="4"/>
        <v>15.704272025144082</v>
      </c>
      <c r="E16" s="6">
        <f t="shared" si="20"/>
        <v>22.856488792122132</v>
      </c>
      <c r="F16" s="21">
        <v>45.41</v>
      </c>
      <c r="G16" s="5">
        <f t="shared" ref="G16:G24" si="23">G15</f>
        <v>23.5</v>
      </c>
      <c r="H16" s="5">
        <f t="shared" si="21"/>
        <v>23.5</v>
      </c>
      <c r="I16" s="5">
        <f t="shared" si="21"/>
        <v>23.5</v>
      </c>
      <c r="J16" s="5">
        <f t="shared" ref="J16:J24" si="24">J15</f>
        <v>23</v>
      </c>
      <c r="K16" s="23">
        <f>AVERAGE(22,22.5,22.5)</f>
        <v>22.333333333333332</v>
      </c>
      <c r="L16" s="22">
        <v>22.5</v>
      </c>
      <c r="M16" s="22">
        <v>18</v>
      </c>
      <c r="N16" s="22">
        <v>15</v>
      </c>
      <c r="O16" s="18">
        <f t="shared" si="22"/>
        <v>2.1212971427184019E-4</v>
      </c>
      <c r="P16" s="18">
        <f t="shared" si="16"/>
        <v>2.1212971427184019E-4</v>
      </c>
      <c r="Q16" s="18">
        <f t="shared" si="17"/>
        <v>2.1212971427184019E-4</v>
      </c>
      <c r="R16" s="18">
        <f t="shared" si="18"/>
        <v>2.1461540882467014E-4</v>
      </c>
      <c r="S16">
        <f t="shared" ref="S16:S24" si="25">1000*(90^-0.5)*(Q16*(-0.164*M16+16))^0.5</f>
        <v>5.5456374363788283</v>
      </c>
      <c r="T16">
        <f t="shared" ref="T16:T24" si="26">1000*(1440^-0.5)*(R16*(-0.164*N16+16))^0.5</f>
        <v>1.4205565799591726</v>
      </c>
      <c r="U16">
        <f>(M16-M14)/$F16*100</f>
        <v>28.628055494384498</v>
      </c>
      <c r="V16">
        <f>(N16-N14)/$F16*100</f>
        <v>20.92050209205021</v>
      </c>
      <c r="W16">
        <f t="shared" ref="W16:W24" si="27">(U16-V16)/LN(S16/T16)</f>
        <v>5.6591511140582966</v>
      </c>
      <c r="X16">
        <f t="shared" ref="X16:X24" si="28">W16*LN(2/T16)+V16</f>
        <v>22.856488792122132</v>
      </c>
      <c r="Y16">
        <f t="shared" si="12"/>
        <v>72.347978477307151</v>
      </c>
      <c r="Z16">
        <f t="shared" si="13"/>
        <v>51.101044829693585</v>
      </c>
      <c r="AA16">
        <f>(K16-K14)/$F16*100</f>
        <v>38.17074065917933</v>
      </c>
      <c r="AB16">
        <f>(L16-L14)/$F16*100</f>
        <v>38.537767011671441</v>
      </c>
      <c r="AC16">
        <f t="shared" ref="AC16:AC24" si="29">(AA16-AB16)/LN(Y16/Z16)</f>
        <v>-1.055636336788373</v>
      </c>
      <c r="AD16">
        <f t="shared" ref="AD16:AD24" si="30">100-(AC16*LN(50/Z16)+AB16)</f>
        <v>61.439239182733786</v>
      </c>
    </row>
    <row r="17" spans="1:30" x14ac:dyDescent="0.2">
      <c r="A17" s="19" t="s">
        <v>50</v>
      </c>
      <c r="B17" s="20">
        <v>42177</v>
      </c>
      <c r="C17" s="6">
        <f t="shared" si="19"/>
        <v>58.659629552633717</v>
      </c>
      <c r="D17" s="6">
        <f t="shared" si="4"/>
        <v>18.509533523761597</v>
      </c>
      <c r="E17" s="6">
        <f t="shared" si="20"/>
        <v>22.830836923604686</v>
      </c>
      <c r="F17" s="21">
        <v>47.15</v>
      </c>
      <c r="G17" s="5">
        <f t="shared" si="23"/>
        <v>23.5</v>
      </c>
      <c r="H17" s="5">
        <f t="shared" si="21"/>
        <v>23.5</v>
      </c>
      <c r="I17" s="5">
        <f t="shared" si="21"/>
        <v>23.5</v>
      </c>
      <c r="J17" s="5">
        <f t="shared" si="24"/>
        <v>23</v>
      </c>
      <c r="K17" s="23">
        <f>AVERAGE(24.5,25,25)</f>
        <v>24.833333333333332</v>
      </c>
      <c r="L17" s="22">
        <v>24.5</v>
      </c>
      <c r="M17" s="22">
        <v>19.5</v>
      </c>
      <c r="N17" s="22">
        <v>15</v>
      </c>
      <c r="O17" s="18">
        <f t="shared" si="22"/>
        <v>2.1212971427184019E-4</v>
      </c>
      <c r="P17" s="18">
        <f t="shared" si="16"/>
        <v>2.1212971427184019E-4</v>
      </c>
      <c r="Q17" s="18">
        <f t="shared" si="17"/>
        <v>2.1212971427184019E-4</v>
      </c>
      <c r="R17" s="18">
        <f t="shared" si="18"/>
        <v>2.1461540882467014E-4</v>
      </c>
      <c r="S17">
        <f t="shared" si="25"/>
        <v>5.4931114458707873</v>
      </c>
      <c r="T17">
        <f t="shared" si="26"/>
        <v>1.4205565799591726</v>
      </c>
      <c r="U17">
        <f>(M17-M14)/$F17*100</f>
        <v>30.752916224814424</v>
      </c>
      <c r="V17">
        <f>(N17-N14)/$F17*100</f>
        <v>20.148462354188759</v>
      </c>
      <c r="W17">
        <f t="shared" si="27"/>
        <v>7.8409438619944183</v>
      </c>
      <c r="X17">
        <f t="shared" si="28"/>
        <v>22.830836923604686</v>
      </c>
      <c r="Y17">
        <f t="shared" si="12"/>
        <v>71.135670546147168</v>
      </c>
      <c r="Z17">
        <f t="shared" si="13"/>
        <v>50.415654675955452</v>
      </c>
      <c r="AA17">
        <f>(K17-K14)/$F17*100</f>
        <v>42.064333686815125</v>
      </c>
      <c r="AB17">
        <f>(L17-L14)/$F17*100</f>
        <v>41.357370095440089</v>
      </c>
      <c r="AC17">
        <f t="shared" si="29"/>
        <v>2.0534125318309746</v>
      </c>
      <c r="AD17">
        <f t="shared" si="30"/>
        <v>58.659629552633717</v>
      </c>
    </row>
    <row r="18" spans="1:30" x14ac:dyDescent="0.2">
      <c r="A18" s="19" t="s">
        <v>51</v>
      </c>
      <c r="B18" s="20">
        <v>42177</v>
      </c>
      <c r="C18" s="6">
        <f t="shared" si="19"/>
        <v>61.066964932716452</v>
      </c>
      <c r="D18" s="6">
        <f t="shared" si="4"/>
        <v>15.731488383438794</v>
      </c>
      <c r="E18" s="6">
        <f t="shared" si="20"/>
        <v>23.201546683844754</v>
      </c>
      <c r="F18" s="21">
        <v>47.48</v>
      </c>
      <c r="G18" s="5">
        <f t="shared" si="23"/>
        <v>23.5</v>
      </c>
      <c r="H18" s="5">
        <f t="shared" si="21"/>
        <v>23.5</v>
      </c>
      <c r="I18" s="5">
        <f t="shared" si="21"/>
        <v>23.5</v>
      </c>
      <c r="J18" s="5">
        <f t="shared" si="24"/>
        <v>23</v>
      </c>
      <c r="K18" s="23">
        <f>AVERAGE(23.5,24,24)</f>
        <v>23.833333333333332</v>
      </c>
      <c r="L18" s="22">
        <v>23.5</v>
      </c>
      <c r="M18" s="22">
        <v>19</v>
      </c>
      <c r="N18" s="22">
        <v>15.5</v>
      </c>
      <c r="O18" s="18">
        <f t="shared" si="22"/>
        <v>2.1212971427184019E-4</v>
      </c>
      <c r="P18" s="18">
        <f t="shared" si="16"/>
        <v>2.1212971427184019E-4</v>
      </c>
      <c r="Q18" s="18">
        <f t="shared" si="17"/>
        <v>2.1212971427184019E-4</v>
      </c>
      <c r="R18" s="18">
        <f t="shared" si="18"/>
        <v>2.1461540882467014E-4</v>
      </c>
      <c r="S18">
        <f t="shared" si="25"/>
        <v>5.5106757386391862</v>
      </c>
      <c r="T18">
        <f t="shared" si="26"/>
        <v>1.4162485098458404</v>
      </c>
      <c r="U18">
        <f>(M18-M14)/$F18*100</f>
        <v>29.486099410278015</v>
      </c>
      <c r="V18">
        <f>(N18-N14)/$F18*100</f>
        <v>21.061499578770011</v>
      </c>
      <c r="W18">
        <f t="shared" si="27"/>
        <v>6.2005961970841321</v>
      </c>
      <c r="X18">
        <f t="shared" si="28"/>
        <v>23.201546683844754</v>
      </c>
      <c r="Y18">
        <f t="shared" si="12"/>
        <v>71.62305613649248</v>
      </c>
      <c r="Z18">
        <f t="shared" si="13"/>
        <v>50.759506592812457</v>
      </c>
      <c r="AA18">
        <f>(K18-K14)/$F18*100</f>
        <v>39.665824206683517</v>
      </c>
      <c r="AB18">
        <f>(L18-L14)/$F18*100</f>
        <v>38.963774220724517</v>
      </c>
      <c r="AC18">
        <f t="shared" si="29"/>
        <v>2.0389574636025061</v>
      </c>
      <c r="AD18">
        <f t="shared" si="30"/>
        <v>61.066964932716452</v>
      </c>
    </row>
    <row r="19" spans="1:30" x14ac:dyDescent="0.2">
      <c r="A19" s="19" t="s">
        <v>52</v>
      </c>
      <c r="B19" s="20">
        <v>42177</v>
      </c>
      <c r="C19" s="6">
        <f t="shared" si="19"/>
        <v>53.738461665547369</v>
      </c>
      <c r="D19" s="6">
        <f t="shared" si="4"/>
        <v>19.396361174267483</v>
      </c>
      <c r="E19" s="6">
        <f t="shared" si="20"/>
        <v>26.865177160185148</v>
      </c>
      <c r="F19" s="21">
        <v>48.69</v>
      </c>
      <c r="G19" s="5">
        <f t="shared" si="23"/>
        <v>23.5</v>
      </c>
      <c r="H19" s="5">
        <f t="shared" si="21"/>
        <v>23.5</v>
      </c>
      <c r="I19" s="5">
        <f t="shared" si="21"/>
        <v>23.5</v>
      </c>
      <c r="J19" s="5">
        <f t="shared" si="24"/>
        <v>23</v>
      </c>
      <c r="K19" s="23">
        <f>AVERAGE(28,28.5,28)</f>
        <v>28.166666666666668</v>
      </c>
      <c r="L19" s="22">
        <v>27.5</v>
      </c>
      <c r="M19" s="22">
        <v>22.5</v>
      </c>
      <c r="N19" s="22">
        <v>17</v>
      </c>
      <c r="O19" s="18">
        <f t="shared" si="22"/>
        <v>2.1212971427184019E-4</v>
      </c>
      <c r="P19" s="18">
        <f t="shared" si="16"/>
        <v>2.1212971427184019E-4</v>
      </c>
      <c r="Q19" s="18">
        <f t="shared" si="17"/>
        <v>2.1212971427184019E-4</v>
      </c>
      <c r="R19" s="18">
        <f t="shared" si="18"/>
        <v>2.1461540882467014E-4</v>
      </c>
      <c r="S19">
        <f t="shared" si="25"/>
        <v>5.386523082540096</v>
      </c>
      <c r="T19">
        <f t="shared" si="26"/>
        <v>1.4032449451062878</v>
      </c>
      <c r="U19">
        <f>(M19-M14)/$F19*100</f>
        <v>35.941671801191212</v>
      </c>
      <c r="V19">
        <f>(N19-N14)/$F19*100</f>
        <v>23.618812897925654</v>
      </c>
      <c r="W19">
        <f t="shared" si="27"/>
        <v>9.1612089998629997</v>
      </c>
      <c r="X19">
        <f t="shared" si="28"/>
        <v>26.865177160185148</v>
      </c>
      <c r="Y19">
        <f t="shared" si="12"/>
        <v>69.486366550900541</v>
      </c>
      <c r="Z19">
        <f t="shared" si="13"/>
        <v>49.369731789664847</v>
      </c>
      <c r="AA19">
        <f>(K19-K14)/$F19*100</f>
        <v>47.579927432053132</v>
      </c>
      <c r="AB19">
        <f>(L19-L14)/$F19*100</f>
        <v>46.210720887245841</v>
      </c>
      <c r="AC19">
        <f t="shared" si="29"/>
        <v>4.0059519900530738</v>
      </c>
      <c r="AD19">
        <f t="shared" si="30"/>
        <v>53.738461665547369</v>
      </c>
    </row>
    <row r="20" spans="1:30" x14ac:dyDescent="0.2">
      <c r="A20" s="19" t="s">
        <v>53</v>
      </c>
      <c r="B20" s="20">
        <v>42177</v>
      </c>
      <c r="C20" s="6">
        <f t="shared" si="19"/>
        <v>61.850890006273232</v>
      </c>
      <c r="D20" s="6">
        <f t="shared" si="4"/>
        <v>23.865571025238779</v>
      </c>
      <c r="E20" s="6">
        <f t="shared" si="20"/>
        <v>14.283538968487989</v>
      </c>
      <c r="F20" s="21">
        <v>45.9</v>
      </c>
      <c r="G20" s="5">
        <f t="shared" si="23"/>
        <v>23.5</v>
      </c>
      <c r="H20" s="5">
        <f t="shared" si="21"/>
        <v>23.5</v>
      </c>
      <c r="I20" s="5">
        <f t="shared" si="21"/>
        <v>23.5</v>
      </c>
      <c r="J20" s="5">
        <f t="shared" si="24"/>
        <v>23</v>
      </c>
      <c r="K20" s="23">
        <f>AVERAGE(22,22.5,22.5)</f>
        <v>22.333333333333332</v>
      </c>
      <c r="L20" s="22">
        <v>22.5</v>
      </c>
      <c r="M20" s="22">
        <v>15</v>
      </c>
      <c r="N20" s="22">
        <v>11</v>
      </c>
      <c r="O20" s="18">
        <f t="shared" si="22"/>
        <v>2.1212971427184019E-4</v>
      </c>
      <c r="P20" s="18">
        <f t="shared" si="16"/>
        <v>2.1212971427184019E-4</v>
      </c>
      <c r="Q20" s="18">
        <f t="shared" si="17"/>
        <v>2.1212971427184019E-4</v>
      </c>
      <c r="R20" s="18">
        <f t="shared" si="18"/>
        <v>2.1461540882467014E-4</v>
      </c>
      <c r="S20">
        <f t="shared" si="25"/>
        <v>5.6492244612677354</v>
      </c>
      <c r="T20">
        <f t="shared" si="26"/>
        <v>1.4545618717205557</v>
      </c>
      <c r="U20">
        <f>(M20-M14)/$F20*100</f>
        <v>21.786492374727668</v>
      </c>
      <c r="V20">
        <f>(N20-N14)/$F20*100</f>
        <v>11.982570806100219</v>
      </c>
      <c r="W20">
        <f t="shared" si="27"/>
        <v>7.2256955787050972</v>
      </c>
      <c r="X20">
        <f t="shared" si="28"/>
        <v>14.283538968487989</v>
      </c>
      <c r="Y20">
        <f t="shared" si="12"/>
        <v>72.347978477307151</v>
      </c>
      <c r="Z20">
        <f t="shared" si="13"/>
        <v>51.101044829693585</v>
      </c>
      <c r="AA20">
        <f>(K20-K14)/$F20*100</f>
        <v>37.763253449527959</v>
      </c>
      <c r="AB20">
        <f>(L20-L14)/$F20*100</f>
        <v>38.126361655773422</v>
      </c>
      <c r="AC20">
        <f t="shared" si="29"/>
        <v>-1.044367016417431</v>
      </c>
      <c r="AD20">
        <f t="shared" si="30"/>
        <v>61.850890006273232</v>
      </c>
    </row>
    <row r="21" spans="1:30" x14ac:dyDescent="0.2">
      <c r="A21" s="19" t="s">
        <v>54</v>
      </c>
      <c r="B21" s="20">
        <v>42177</v>
      </c>
      <c r="C21" s="6">
        <f t="shared" si="19"/>
        <v>48.543480153591176</v>
      </c>
      <c r="D21" s="6">
        <f t="shared" si="4"/>
        <v>20.205373010794123</v>
      </c>
      <c r="E21" s="6">
        <f t="shared" si="20"/>
        <v>31.251146835614701</v>
      </c>
      <c r="F21" s="21">
        <v>47.69</v>
      </c>
      <c r="G21" s="5">
        <f t="shared" si="23"/>
        <v>23.5</v>
      </c>
      <c r="H21" s="5">
        <f t="shared" si="21"/>
        <v>23.5</v>
      </c>
      <c r="I21" s="5">
        <f t="shared" si="21"/>
        <v>23.5</v>
      </c>
      <c r="J21" s="5">
        <f t="shared" si="24"/>
        <v>23</v>
      </c>
      <c r="K21" s="23">
        <f>AVERAGE(30,30,30)</f>
        <v>30</v>
      </c>
      <c r="L21" s="22">
        <v>29.5</v>
      </c>
      <c r="M21" s="22">
        <v>25</v>
      </c>
      <c r="N21" s="22">
        <v>18.5</v>
      </c>
      <c r="O21" s="18">
        <f t="shared" si="22"/>
        <v>2.1212971427184019E-4</v>
      </c>
      <c r="P21" s="18">
        <f t="shared" si="16"/>
        <v>2.1212971427184019E-4</v>
      </c>
      <c r="Q21" s="18">
        <f t="shared" si="17"/>
        <v>2.1212971427184019E-4</v>
      </c>
      <c r="R21" s="18">
        <f t="shared" si="18"/>
        <v>2.1461540882467014E-4</v>
      </c>
      <c r="S21">
        <f t="shared" si="25"/>
        <v>5.2960610098815666</v>
      </c>
      <c r="T21">
        <f t="shared" si="26"/>
        <v>1.3901197467456299</v>
      </c>
      <c r="U21">
        <f>(M21-M14)/$F21*100</f>
        <v>41.937513105472846</v>
      </c>
      <c r="V21">
        <f>(N21-N14)/$F21*100</f>
        <v>27.25938351855735</v>
      </c>
      <c r="W21">
        <f t="shared" si="27"/>
        <v>10.973699894026119</v>
      </c>
      <c r="X21">
        <f t="shared" si="28"/>
        <v>31.251146835614701</v>
      </c>
      <c r="Y21">
        <f t="shared" si="12"/>
        <v>68.562340014500506</v>
      </c>
      <c r="Z21">
        <f t="shared" si="13"/>
        <v>48.659961680033</v>
      </c>
      <c r="AA21">
        <f>(K21-K14)/$F21*100</f>
        <v>52.421891381841057</v>
      </c>
      <c r="AB21">
        <f>(L21-L14)/$F21*100</f>
        <v>51.373453554204239</v>
      </c>
      <c r="AC21">
        <f t="shared" si="29"/>
        <v>3.0576786864040191</v>
      </c>
      <c r="AD21">
        <f t="shared" si="30"/>
        <v>48.543480153591176</v>
      </c>
    </row>
    <row r="22" spans="1:30" x14ac:dyDescent="0.2">
      <c r="A22" s="19" t="s">
        <v>55</v>
      </c>
      <c r="B22" s="20">
        <v>42177</v>
      </c>
      <c r="C22" s="6">
        <f t="shared" si="19"/>
        <v>56.948881425124753</v>
      </c>
      <c r="D22" s="6">
        <f t="shared" si="4"/>
        <v>20.149341806102516</v>
      </c>
      <c r="E22" s="6">
        <f t="shared" si="20"/>
        <v>22.901776768772731</v>
      </c>
      <c r="F22" s="21">
        <v>46.44</v>
      </c>
      <c r="G22" s="5">
        <f t="shared" si="23"/>
        <v>23.5</v>
      </c>
      <c r="H22" s="5">
        <f t="shared" si="21"/>
        <v>23.5</v>
      </c>
      <c r="I22" s="5">
        <f t="shared" si="21"/>
        <v>23.5</v>
      </c>
      <c r="J22" s="5">
        <f t="shared" si="24"/>
        <v>23</v>
      </c>
      <c r="K22" s="23">
        <f>AVERAGE(25,25.5,26)</f>
        <v>25.5</v>
      </c>
      <c r="L22" s="22">
        <v>25</v>
      </c>
      <c r="M22" s="22">
        <v>19</v>
      </c>
      <c r="N22" s="22">
        <v>15</v>
      </c>
      <c r="O22" s="18">
        <f t="shared" si="22"/>
        <v>2.1212971427184019E-4</v>
      </c>
      <c r="P22" s="18">
        <f t="shared" si="16"/>
        <v>2.1212971427184019E-4</v>
      </c>
      <c r="Q22" s="18">
        <f t="shared" si="17"/>
        <v>2.1212971427184019E-4</v>
      </c>
      <c r="R22" s="18">
        <f t="shared" si="18"/>
        <v>2.1461540882467014E-4</v>
      </c>
      <c r="S22">
        <f t="shared" si="25"/>
        <v>5.5106757386391862</v>
      </c>
      <c r="T22">
        <f t="shared" si="26"/>
        <v>1.4205565799591726</v>
      </c>
      <c r="U22">
        <f>(M22-M14)/$F22*100</f>
        <v>30.146425495262708</v>
      </c>
      <c r="V22">
        <f>(N22-N14)/$F22*100</f>
        <v>20.45650301464255</v>
      </c>
      <c r="W22">
        <f t="shared" si="27"/>
        <v>7.1478660929588109</v>
      </c>
      <c r="X22">
        <f t="shared" si="28"/>
        <v>22.901776768772731</v>
      </c>
      <c r="Y22">
        <f t="shared" si="12"/>
        <v>70.808883104658648</v>
      </c>
      <c r="Z22">
        <f t="shared" si="13"/>
        <v>50.242846255311797</v>
      </c>
      <c r="AA22">
        <f>(K22-K14)/$F22*100</f>
        <v>44.142980189491823</v>
      </c>
      <c r="AB22">
        <f>(L22-L14)/$F22*100</f>
        <v>43.066322136089582</v>
      </c>
      <c r="AC22">
        <f t="shared" si="29"/>
        <v>3.1378809318866203</v>
      </c>
      <c r="AD22">
        <f t="shared" si="30"/>
        <v>56.948881425124753</v>
      </c>
    </row>
    <row r="23" spans="1:30" x14ac:dyDescent="0.2">
      <c r="A23" s="19"/>
      <c r="B23" s="20"/>
      <c r="C23" s="6" t="e">
        <f t="shared" si="19"/>
        <v>#DIV/0!</v>
      </c>
      <c r="D23" s="6" t="e">
        <f t="shared" si="4"/>
        <v>#DIV/0!</v>
      </c>
      <c r="E23" s="6" t="e">
        <f t="shared" si="20"/>
        <v>#DIV/0!</v>
      </c>
      <c r="F23" s="21"/>
      <c r="G23" s="5">
        <f t="shared" si="23"/>
        <v>23.5</v>
      </c>
      <c r="H23" s="5">
        <f t="shared" si="21"/>
        <v>23.5</v>
      </c>
      <c r="I23" s="5">
        <f t="shared" si="21"/>
        <v>23.5</v>
      </c>
      <c r="J23" s="5">
        <f t="shared" si="24"/>
        <v>23</v>
      </c>
      <c r="K23" s="23"/>
      <c r="L23" s="22"/>
      <c r="M23" s="22"/>
      <c r="N23" s="22"/>
      <c r="O23" s="18">
        <f t="shared" si="22"/>
        <v>2.1212971427184019E-4</v>
      </c>
      <c r="P23" s="18">
        <f t="shared" si="16"/>
        <v>2.1212971427184019E-4</v>
      </c>
      <c r="Q23" s="18">
        <f t="shared" si="17"/>
        <v>2.1212971427184019E-4</v>
      </c>
      <c r="R23" s="18">
        <f t="shared" si="18"/>
        <v>2.1461540882467014E-4</v>
      </c>
      <c r="S23">
        <f t="shared" si="25"/>
        <v>6.1410055531551757</v>
      </c>
      <c r="T23">
        <f t="shared" si="26"/>
        <v>1.5442200793952414</v>
      </c>
      <c r="U23" t="e">
        <f>(M23-M14)/$F23*100</f>
        <v>#DIV/0!</v>
      </c>
      <c r="V23" t="e">
        <f>(N23-N14)/$F23*100</f>
        <v>#DIV/0!</v>
      </c>
      <c r="W23" t="e">
        <f t="shared" si="27"/>
        <v>#DIV/0!</v>
      </c>
      <c r="X23" t="e">
        <f t="shared" si="28"/>
        <v>#DIV/0!</v>
      </c>
      <c r="Y23">
        <f t="shared" si="12"/>
        <v>82.390235202352017</v>
      </c>
      <c r="Z23">
        <f t="shared" si="13"/>
        <v>58.258694015137721</v>
      </c>
      <c r="AA23" t="e">
        <f>(K23-K14)/$F23*100</f>
        <v>#DIV/0!</v>
      </c>
      <c r="AB23" t="e">
        <f>(L23-L14)/$F23*100</f>
        <v>#DIV/0!</v>
      </c>
      <c r="AC23" t="e">
        <f t="shared" si="29"/>
        <v>#DIV/0!</v>
      </c>
      <c r="AD23" t="e">
        <f t="shared" si="30"/>
        <v>#DIV/0!</v>
      </c>
    </row>
    <row r="24" spans="1:30" x14ac:dyDescent="0.2">
      <c r="A24" s="19"/>
      <c r="B24" s="20"/>
      <c r="C24" s="6" t="e">
        <f t="shared" si="19"/>
        <v>#DIV/0!</v>
      </c>
      <c r="D24" s="6" t="e">
        <f t="shared" si="4"/>
        <v>#DIV/0!</v>
      </c>
      <c r="E24" s="6" t="e">
        <f t="shared" si="20"/>
        <v>#DIV/0!</v>
      </c>
      <c r="F24" s="21"/>
      <c r="G24" s="5">
        <f t="shared" si="23"/>
        <v>23.5</v>
      </c>
      <c r="H24" s="5">
        <f t="shared" si="21"/>
        <v>23.5</v>
      </c>
      <c r="I24" s="5">
        <f t="shared" si="21"/>
        <v>23.5</v>
      </c>
      <c r="J24" s="5">
        <f t="shared" si="24"/>
        <v>23</v>
      </c>
      <c r="K24" s="23"/>
      <c r="L24" s="22"/>
      <c r="M24" s="22"/>
      <c r="N24" s="22"/>
      <c r="O24" s="18">
        <f t="shared" si="22"/>
        <v>2.1212971427184019E-4</v>
      </c>
      <c r="P24" s="18">
        <f t="shared" si="16"/>
        <v>2.1212971427184019E-4</v>
      </c>
      <c r="Q24" s="18">
        <f t="shared" si="17"/>
        <v>2.1212971427184019E-4</v>
      </c>
      <c r="R24" s="18">
        <f t="shared" si="18"/>
        <v>2.1461540882467014E-4</v>
      </c>
      <c r="S24">
        <f t="shared" si="25"/>
        <v>6.1410055531551757</v>
      </c>
      <c r="T24">
        <f t="shared" si="26"/>
        <v>1.5442200793952414</v>
      </c>
      <c r="U24" t="e">
        <f>(M24-M14)/$F24*100</f>
        <v>#DIV/0!</v>
      </c>
      <c r="V24" t="e">
        <f>(N24-N14)/$F24*100</f>
        <v>#DIV/0!</v>
      </c>
      <c r="W24" t="e">
        <f t="shared" si="27"/>
        <v>#DIV/0!</v>
      </c>
      <c r="X24" t="e">
        <f t="shared" si="28"/>
        <v>#DIV/0!</v>
      </c>
      <c r="Y24">
        <f t="shared" si="12"/>
        <v>82.390235202352017</v>
      </c>
      <c r="Z24">
        <f t="shared" si="13"/>
        <v>58.258694015137721</v>
      </c>
      <c r="AA24" t="e">
        <f>(K24-K14)/$F24*100</f>
        <v>#DIV/0!</v>
      </c>
      <c r="AB24" t="e">
        <f>(L24-L14)/$F24*100</f>
        <v>#DIV/0!</v>
      </c>
      <c r="AC24" t="e">
        <f t="shared" si="29"/>
        <v>#DIV/0!</v>
      </c>
      <c r="AD24" t="e">
        <f t="shared" si="30"/>
        <v>#DIV/0!</v>
      </c>
    </row>
  </sheetData>
  <mergeCells count="5">
    <mergeCell ref="Y1:AD1"/>
    <mergeCell ref="G1:N1"/>
    <mergeCell ref="C1:E1"/>
    <mergeCell ref="O1:R1"/>
    <mergeCell ref="S1:X1"/>
  </mergeCells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P12" sqref="P12"/>
    </sheetView>
  </sheetViews>
  <sheetFormatPr defaultRowHeight="12.75" x14ac:dyDescent="0.2"/>
  <sheetData>
    <row r="1" spans="1:3" ht="25.5" x14ac:dyDescent="0.2">
      <c r="A1" s="2" t="s">
        <v>5</v>
      </c>
      <c r="B1" s="2" t="s">
        <v>6</v>
      </c>
      <c r="C1" s="2" t="s">
        <v>7</v>
      </c>
    </row>
    <row r="2" spans="1:3" x14ac:dyDescent="0.2">
      <c r="A2" s="2">
        <v>21</v>
      </c>
      <c r="B2" s="3">
        <v>0.99799199999999999</v>
      </c>
      <c r="C2" s="3">
        <v>9.8099999999999993E-3</v>
      </c>
    </row>
    <row r="3" spans="1:3" x14ac:dyDescent="0.2">
      <c r="A3" s="2">
        <f t="shared" ref="A3:A8" si="0">A2+0.5</f>
        <v>21.5</v>
      </c>
      <c r="B3" s="3">
        <f>(B2+B4)/2</f>
        <v>0.99788100000000002</v>
      </c>
      <c r="C3" s="3">
        <f>(C2+C4)/2</f>
        <v>9.6945E-3</v>
      </c>
    </row>
    <row r="4" spans="1:3" x14ac:dyDescent="0.2">
      <c r="A4" s="2">
        <f t="shared" si="0"/>
        <v>22</v>
      </c>
      <c r="B4" s="4">
        <v>0.99777000000000005</v>
      </c>
      <c r="C4" s="4">
        <v>9.5790000000000007E-3</v>
      </c>
    </row>
    <row r="5" spans="1:3" x14ac:dyDescent="0.2">
      <c r="A5" s="2">
        <f t="shared" si="0"/>
        <v>22.5</v>
      </c>
      <c r="B5" s="3">
        <f>(B4+B6)/2</f>
        <v>0.99765400000000004</v>
      </c>
      <c r="C5" s="3">
        <f>(C4+C6)/2</f>
        <v>9.4685000000000012E-3</v>
      </c>
    </row>
    <row r="6" spans="1:3" x14ac:dyDescent="0.2">
      <c r="A6" s="2">
        <f t="shared" si="0"/>
        <v>23</v>
      </c>
      <c r="B6" s="4">
        <v>0.99753800000000004</v>
      </c>
      <c r="C6" s="4">
        <v>9.358E-3</v>
      </c>
    </row>
    <row r="7" spans="1:3" x14ac:dyDescent="0.2">
      <c r="A7" s="2">
        <f t="shared" si="0"/>
        <v>23.5</v>
      </c>
      <c r="B7" s="3">
        <f>(B6+B8)/2</f>
        <v>0.997417</v>
      </c>
      <c r="C7" s="3">
        <f>(C6+C8)/2</f>
        <v>9.2500000000000013E-3</v>
      </c>
    </row>
    <row r="8" spans="1:3" x14ac:dyDescent="0.2">
      <c r="A8" s="2">
        <f t="shared" si="0"/>
        <v>24</v>
      </c>
      <c r="B8" s="4">
        <v>0.99729599999999996</v>
      </c>
      <c r="C8" s="4">
        <v>9.1420000000000008E-3</v>
      </c>
    </row>
    <row r="10" spans="1:3" x14ac:dyDescent="0.2">
      <c r="A10" t="s">
        <v>8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</dc:creator>
  <cp:lastModifiedBy>Heather Dang</cp:lastModifiedBy>
  <dcterms:created xsi:type="dcterms:W3CDTF">2012-08-07T18:28:55Z</dcterms:created>
  <dcterms:modified xsi:type="dcterms:W3CDTF">2015-06-30T21:43:30Z</dcterms:modified>
</cp:coreProperties>
</file>