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ganesan/Documents/GitHub/UAS-initial-sizing/source/"/>
    </mc:Choice>
  </mc:AlternateContent>
  <xr:revisionPtr revIDLastSave="0" documentId="13_ncr:1_{5481A9B6-7E45-D749-97EC-567F32CFCC3D}" xr6:coauthVersionLast="47" xr6:coauthVersionMax="47" xr10:uidLastSave="{00000000-0000-0000-0000-000000000000}"/>
  <bookViews>
    <workbookView xWindow="0" yWindow="0" windowWidth="28800" windowHeight="18000" tabRatio="892" xr2:uid="{75E880CC-D283-44CE-9BED-B0F8D7E5524F}"/>
  </bookViews>
  <sheets>
    <sheet name="Aircraft Sizing" sheetId="1" r:id="rId1"/>
    <sheet name="Market Research" sheetId="10" r:id="rId2"/>
    <sheet name="Tradeoff Studies" sheetId="2" r:id="rId3"/>
    <sheet name="Propeller Info" sheetId="3" r:id="rId4"/>
    <sheet name="UAV_Data " sheetId="7" r:id="rId5"/>
    <sheet name="Constraint_Diagram" sheetId="8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1" i="1"/>
  <c r="N34" i="8"/>
  <c r="K29" i="10"/>
  <c r="L29" i="10" s="1"/>
  <c r="H29" i="10"/>
  <c r="O19" i="10"/>
  <c r="O20" i="10"/>
  <c r="O21" i="10"/>
  <c r="O22" i="10"/>
  <c r="O23" i="10"/>
  <c r="O24" i="10"/>
  <c r="O25" i="10"/>
  <c r="O26" i="10"/>
  <c r="O27" i="10"/>
  <c r="O28" i="10"/>
  <c r="K28" i="10"/>
  <c r="L28" i="10"/>
  <c r="H28" i="10"/>
  <c r="K27" i="10"/>
  <c r="L27" i="10" s="1"/>
  <c r="H27" i="10"/>
  <c r="K26" i="10"/>
  <c r="L26" i="10" s="1"/>
  <c r="J26" i="10"/>
  <c r="Q26" i="10" s="1"/>
  <c r="H26" i="10"/>
  <c r="Q25" i="10"/>
  <c r="K25" i="10"/>
  <c r="L25" i="10" s="1"/>
  <c r="J25" i="10"/>
  <c r="H25" i="10"/>
  <c r="K24" i="10"/>
  <c r="N24" i="10" s="1"/>
  <c r="L24" i="10"/>
  <c r="J24" i="10"/>
  <c r="Q24" i="10" s="1"/>
  <c r="H24" i="10"/>
  <c r="K23" i="10"/>
  <c r="L23" i="10" s="1"/>
  <c r="N23" i="10"/>
  <c r="J23" i="10"/>
  <c r="Q23" i="10" s="1"/>
  <c r="H23" i="10"/>
  <c r="K22" i="10"/>
  <c r="L22" i="10" s="1"/>
  <c r="N22" i="10"/>
  <c r="J22" i="10"/>
  <c r="Q22" i="10"/>
  <c r="H22" i="10"/>
  <c r="K21" i="10"/>
  <c r="L21" i="10"/>
  <c r="N21" i="10"/>
  <c r="J21" i="10"/>
  <c r="Q21" i="10" s="1"/>
  <c r="H21" i="10"/>
  <c r="K20" i="10"/>
  <c r="L20" i="10" s="1"/>
  <c r="J20" i="10"/>
  <c r="Q20" i="10" s="1"/>
  <c r="H20" i="10"/>
  <c r="K19" i="10"/>
  <c r="M19" i="10" s="1"/>
  <c r="L19" i="10"/>
  <c r="N19" i="10"/>
  <c r="J19" i="10"/>
  <c r="Q19" i="10" s="1"/>
  <c r="I19" i="10"/>
  <c r="H19" i="10"/>
  <c r="K18" i="10"/>
  <c r="J18" i="10"/>
  <c r="I18" i="10"/>
  <c r="M18" i="10" s="1"/>
  <c r="H18" i="10"/>
  <c r="I17" i="10"/>
  <c r="M17" i="10" s="1"/>
  <c r="J17" i="10"/>
  <c r="K17" i="10"/>
  <c r="P17" i="10" s="1"/>
  <c r="H17" i="10"/>
  <c r="Q17" i="10" s="1"/>
  <c r="I16" i="10"/>
  <c r="M16" i="10" s="1"/>
  <c r="K16" i="10"/>
  <c r="J16" i="10"/>
  <c r="N16" i="10" s="1"/>
  <c r="H16" i="10"/>
  <c r="H15" i="10"/>
  <c r="L15" i="10" s="1"/>
  <c r="I15" i="10"/>
  <c r="M15" i="10" s="1"/>
  <c r="J15" i="10"/>
  <c r="N15" i="10" s="1"/>
  <c r="K15" i="10"/>
  <c r="O15" i="10" s="1"/>
  <c r="H14" i="10"/>
  <c r="I14" i="10"/>
  <c r="J14" i="10"/>
  <c r="K14" i="10"/>
  <c r="M14" i="10" s="1"/>
  <c r="O14" i="10"/>
  <c r="P14" i="10"/>
  <c r="Q14" i="10"/>
  <c r="Q13" i="10"/>
  <c r="P13" i="10"/>
  <c r="O13" i="10"/>
  <c r="N13" i="10"/>
  <c r="M13" i="10"/>
  <c r="L13" i="10"/>
  <c r="J13" i="10"/>
  <c r="K13" i="10"/>
  <c r="I13" i="10"/>
  <c r="H13" i="10"/>
  <c r="Q4" i="10"/>
  <c r="Q5" i="10"/>
  <c r="Q6" i="10"/>
  <c r="Q7" i="10"/>
  <c r="Q8" i="10"/>
  <c r="Q9" i="10"/>
  <c r="Q10" i="10"/>
  <c r="Q3" i="10"/>
  <c r="F10" i="10"/>
  <c r="F7" i="10"/>
  <c r="F5" i="10"/>
  <c r="F4" i="10"/>
  <c r="F3" i="10"/>
  <c r="C7" i="10"/>
  <c r="I7" i="10" s="1"/>
  <c r="H6" i="10"/>
  <c r="L6" i="10" s="1"/>
  <c r="I6" i="10"/>
  <c r="M6" i="10" s="1"/>
  <c r="J6" i="10"/>
  <c r="N6" i="10" s="1"/>
  <c r="K6" i="10"/>
  <c r="O6" i="10"/>
  <c r="P6" i="10"/>
  <c r="H7" i="10"/>
  <c r="J7" i="10"/>
  <c r="K7" i="10"/>
  <c r="O7" i="10" s="1"/>
  <c r="H8" i="10"/>
  <c r="L8" i="10" s="1"/>
  <c r="I8" i="10"/>
  <c r="J8" i="10"/>
  <c r="K8" i="10"/>
  <c r="N8" i="10" s="1"/>
  <c r="P8" i="10"/>
  <c r="H9" i="10"/>
  <c r="I9" i="10"/>
  <c r="J9" i="10"/>
  <c r="K9" i="10"/>
  <c r="O9" i="10" s="1"/>
  <c r="H10" i="10"/>
  <c r="I10" i="10"/>
  <c r="J10" i="10"/>
  <c r="K10" i="10"/>
  <c r="P10" i="10" s="1"/>
  <c r="H5" i="10"/>
  <c r="I5" i="10"/>
  <c r="J5" i="10"/>
  <c r="K5" i="10"/>
  <c r="O5" i="10" s="1"/>
  <c r="C5" i="10"/>
  <c r="H4" i="10"/>
  <c r="I4" i="10"/>
  <c r="J4" i="10"/>
  <c r="K4" i="10"/>
  <c r="L4" i="10"/>
  <c r="M4" i="10"/>
  <c r="N4" i="10"/>
  <c r="O4" i="10"/>
  <c r="P4" i="10"/>
  <c r="B3" i="10"/>
  <c r="H3" i="10" s="1"/>
  <c r="I3" i="10"/>
  <c r="J3" i="10"/>
  <c r="K3" i="10"/>
  <c r="P3" i="10" s="1"/>
  <c r="B5" i="1"/>
  <c r="N26" i="10" l="1"/>
  <c r="N25" i="10"/>
  <c r="N20" i="10"/>
  <c r="L16" i="10"/>
  <c r="Q16" i="10"/>
  <c r="P16" i="10"/>
  <c r="Q15" i="10"/>
  <c r="O16" i="10"/>
  <c r="P15" i="10"/>
  <c r="L17" i="10"/>
  <c r="N17" i="10"/>
  <c r="O17" i="10"/>
  <c r="L18" i="10"/>
  <c r="Q18" i="10"/>
  <c r="N18" i="10"/>
  <c r="P18" i="10"/>
  <c r="O18" i="10"/>
  <c r="N14" i="10"/>
  <c r="L14" i="10"/>
  <c r="N10" i="10"/>
  <c r="L10" i="10"/>
  <c r="M10" i="10"/>
  <c r="N9" i="10"/>
  <c r="L9" i="10"/>
  <c r="M9" i="10"/>
  <c r="O8" i="10"/>
  <c r="M8" i="10"/>
  <c r="N7" i="10"/>
  <c r="M7" i="10"/>
  <c r="L7" i="10"/>
  <c r="P9" i="10"/>
  <c r="P7" i="10"/>
  <c r="M5" i="10"/>
  <c r="L5" i="10"/>
  <c r="P5" i="10"/>
  <c r="N5" i="10"/>
  <c r="M3" i="10"/>
  <c r="N3" i="10"/>
  <c r="L3" i="10"/>
  <c r="O3" i="10"/>
  <c r="B6" i="1"/>
  <c r="E2" i="1"/>
  <c r="B14" i="1"/>
  <c r="E7" i="1"/>
  <c r="C98" i="8"/>
  <c r="C99" i="8"/>
  <c r="C85" i="8"/>
  <c r="C86" i="8"/>
  <c r="O56" i="8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 s="1"/>
  <c r="K83" i="1" s="1"/>
  <c r="K65" i="1"/>
  <c r="D9" i="7"/>
  <c r="B25" i="1" l="1"/>
  <c r="O59" i="8"/>
  <c r="C100" i="8"/>
  <c r="C87" i="8"/>
  <c r="E15" i="1"/>
  <c r="E13" i="1"/>
  <c r="E12" i="1"/>
  <c r="E6" i="1"/>
  <c r="E5" i="1"/>
  <c r="E4" i="1"/>
  <c r="E3" i="1"/>
  <c r="C101" i="8" l="1"/>
  <c r="C88" i="8"/>
  <c r="C102" i="8" l="1"/>
  <c r="C89" i="8"/>
  <c r="D10" i="7"/>
  <c r="C103" i="8" l="1"/>
  <c r="C90" i="8"/>
  <c r="T13" i="1"/>
  <c r="B9" i="1"/>
  <c r="E9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C104" i="8" l="1"/>
  <c r="C91" i="8"/>
  <c r="Z7" i="1"/>
  <c r="C105" i="8" l="1"/>
  <c r="C92" i="8"/>
  <c r="B26" i="1"/>
  <c r="S23" i="1"/>
  <c r="S24" i="1"/>
  <c r="S25" i="1"/>
  <c r="S26" i="1"/>
  <c r="S22" i="1"/>
  <c r="U9" i="1"/>
  <c r="V24" i="1" s="1"/>
  <c r="C26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D7" i="7"/>
  <c r="K13" i="8"/>
  <c r="D12" i="7" l="1"/>
  <c r="H98" i="8"/>
  <c r="H85" i="8"/>
  <c r="H99" i="8"/>
  <c r="H86" i="8"/>
  <c r="H100" i="8"/>
  <c r="H87" i="8"/>
  <c r="H101" i="8"/>
  <c r="H88" i="8"/>
  <c r="H102" i="8"/>
  <c r="H89" i="8"/>
  <c r="H90" i="8"/>
  <c r="H103" i="8"/>
  <c r="H91" i="8"/>
  <c r="H104" i="8"/>
  <c r="C106" i="8"/>
  <c r="H105" i="8"/>
  <c r="C93" i="8"/>
  <c r="H92" i="8"/>
  <c r="C56" i="8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107" i="8" l="1"/>
  <c r="H106" i="8"/>
  <c r="C94" i="8"/>
  <c r="H93" i="8"/>
  <c r="D6" i="7"/>
  <c r="C78" i="8"/>
  <c r="C79" i="8" s="1"/>
  <c r="C80" i="8" s="1"/>
  <c r="C81" i="8" s="1"/>
  <c r="C82" i="8" s="1"/>
  <c r="C83" i="8" s="1"/>
  <c r="C84" i="8" s="1"/>
  <c r="A44" i="1"/>
  <c r="B44" i="1" s="1"/>
  <c r="B39" i="1"/>
  <c r="I7" i="1"/>
  <c r="B29" i="1"/>
  <c r="B27" i="1"/>
  <c r="E17" i="1"/>
  <c r="D18" i="1" s="1"/>
  <c r="U10" i="1"/>
  <c r="V25" i="1" s="1"/>
  <c r="B19" i="1" l="1"/>
  <c r="I13" i="1" s="1"/>
  <c r="I8" i="1"/>
  <c r="L2" i="1"/>
  <c r="K7" i="1"/>
  <c r="D25" i="7"/>
  <c r="I98" i="8"/>
  <c r="I99" i="8"/>
  <c r="I85" i="8"/>
  <c r="I86" i="8"/>
  <c r="I87" i="8"/>
  <c r="I100" i="8"/>
  <c r="I88" i="8"/>
  <c r="I101" i="8"/>
  <c r="I102" i="8"/>
  <c r="I89" i="8"/>
  <c r="I90" i="8"/>
  <c r="I103" i="8"/>
  <c r="I91" i="8"/>
  <c r="I104" i="8"/>
  <c r="I105" i="8"/>
  <c r="I92" i="8"/>
  <c r="I93" i="8"/>
  <c r="I106" i="8"/>
  <c r="H107" i="8"/>
  <c r="I107" i="8"/>
  <c r="I94" i="8"/>
  <c r="C95" i="8"/>
  <c r="H94" i="8"/>
  <c r="T12" i="1"/>
  <c r="T10" i="1" s="1"/>
  <c r="D26" i="7"/>
  <c r="D107" i="8" s="1"/>
  <c r="K15" i="8"/>
  <c r="K94" i="8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C44" i="1"/>
  <c r="B28" i="1"/>
  <c r="B31" i="1" s="1"/>
  <c r="B30" i="1"/>
  <c r="K107" i="8" l="1"/>
  <c r="E94" i="8"/>
  <c r="F94" i="8" s="1"/>
  <c r="E107" i="8"/>
  <c r="F107" i="8" s="1"/>
  <c r="G107" i="8" s="1"/>
  <c r="D94" i="8"/>
  <c r="E86" i="8"/>
  <c r="F86" i="8" s="1"/>
  <c r="E99" i="8"/>
  <c r="F99" i="8" s="1"/>
  <c r="D86" i="8"/>
  <c r="D85" i="8"/>
  <c r="E85" i="8"/>
  <c r="F85" i="8" s="1"/>
  <c r="D98" i="8"/>
  <c r="E98" i="8"/>
  <c r="F98" i="8" s="1"/>
  <c r="D99" i="8"/>
  <c r="D87" i="8"/>
  <c r="E100" i="8"/>
  <c r="F100" i="8" s="1"/>
  <c r="D100" i="8"/>
  <c r="E87" i="8"/>
  <c r="F87" i="8" s="1"/>
  <c r="D101" i="8"/>
  <c r="E101" i="8"/>
  <c r="F101" i="8" s="1"/>
  <c r="D88" i="8"/>
  <c r="E88" i="8"/>
  <c r="F88" i="8" s="1"/>
  <c r="D102" i="8"/>
  <c r="E89" i="8"/>
  <c r="F89" i="8" s="1"/>
  <c r="E102" i="8"/>
  <c r="F102" i="8" s="1"/>
  <c r="D89" i="8"/>
  <c r="E103" i="8"/>
  <c r="F103" i="8" s="1"/>
  <c r="D103" i="8"/>
  <c r="E90" i="8"/>
  <c r="F90" i="8" s="1"/>
  <c r="D90" i="8"/>
  <c r="E91" i="8"/>
  <c r="F91" i="8" s="1"/>
  <c r="D104" i="8"/>
  <c r="E104" i="8"/>
  <c r="F104" i="8" s="1"/>
  <c r="D91" i="8"/>
  <c r="D105" i="8"/>
  <c r="E92" i="8"/>
  <c r="F92" i="8" s="1"/>
  <c r="E105" i="8"/>
  <c r="F105" i="8" s="1"/>
  <c r="D92" i="8"/>
  <c r="D106" i="8"/>
  <c r="E106" i="8"/>
  <c r="F106" i="8" s="1"/>
  <c r="E93" i="8"/>
  <c r="F93" i="8" s="1"/>
  <c r="D93" i="8"/>
  <c r="K91" i="8"/>
  <c r="K85" i="8"/>
  <c r="K100" i="8"/>
  <c r="K101" i="8"/>
  <c r="K102" i="8"/>
  <c r="K90" i="8"/>
  <c r="K98" i="8"/>
  <c r="K86" i="8"/>
  <c r="K99" i="8"/>
  <c r="K87" i="8"/>
  <c r="K88" i="8"/>
  <c r="K103" i="8"/>
  <c r="K104" i="8"/>
  <c r="K105" i="8"/>
  <c r="K89" i="8"/>
  <c r="K92" i="8"/>
  <c r="K106" i="8"/>
  <c r="K93" i="8"/>
  <c r="I95" i="8"/>
  <c r="D95" i="8"/>
  <c r="H95" i="8"/>
  <c r="K95" i="8"/>
  <c r="E95" i="8"/>
  <c r="F95" i="8" s="1"/>
  <c r="C96" i="8"/>
  <c r="I76" i="8"/>
  <c r="T14" i="1"/>
  <c r="T29" i="1" s="1"/>
  <c r="I79" i="8"/>
  <c r="H79" i="8"/>
  <c r="H24" i="8"/>
  <c r="D79" i="8"/>
  <c r="I27" i="8"/>
  <c r="H29" i="8"/>
  <c r="I77" i="8"/>
  <c r="H77" i="8"/>
  <c r="I29" i="8"/>
  <c r="H28" i="8"/>
  <c r="H25" i="8"/>
  <c r="I28" i="8"/>
  <c r="I26" i="8"/>
  <c r="K29" i="8"/>
  <c r="H26" i="8"/>
  <c r="K79" i="8"/>
  <c r="I78" i="8"/>
  <c r="I25" i="8"/>
  <c r="H78" i="8"/>
  <c r="H76" i="8"/>
  <c r="I24" i="8"/>
  <c r="E29" i="8"/>
  <c r="F29" i="8" s="1"/>
  <c r="T9" i="1"/>
  <c r="V9" i="1" s="1"/>
  <c r="S9" i="1" s="1"/>
  <c r="D30" i="8"/>
  <c r="E79" i="8"/>
  <c r="F79" i="8" s="1"/>
  <c r="V10" i="1"/>
  <c r="S10" i="1" s="1"/>
  <c r="U25" i="1"/>
  <c r="T25" i="1" s="1"/>
  <c r="H27" i="8"/>
  <c r="T23" i="1"/>
  <c r="T26" i="1"/>
  <c r="T22" i="1"/>
  <c r="B20" i="1"/>
  <c r="I14" i="1" s="1"/>
  <c r="I17" i="1" s="1"/>
  <c r="K76" i="8"/>
  <c r="K77" i="8"/>
  <c r="K27" i="8"/>
  <c r="K26" i="8"/>
  <c r="K78" i="8"/>
  <c r="K25" i="8"/>
  <c r="K24" i="8"/>
  <c r="K28" i="8"/>
  <c r="D76" i="8"/>
  <c r="E76" i="8"/>
  <c r="F76" i="8" s="1"/>
  <c r="D77" i="8"/>
  <c r="E77" i="8"/>
  <c r="F77" i="8" s="1"/>
  <c r="E25" i="8"/>
  <c r="F25" i="8" s="1"/>
  <c r="D28" i="8"/>
  <c r="D27" i="8"/>
  <c r="D26" i="8"/>
  <c r="D25" i="8"/>
  <c r="D24" i="8"/>
  <c r="E26" i="8"/>
  <c r="F26" i="8" s="1"/>
  <c r="E24" i="8"/>
  <c r="F24" i="8" s="1"/>
  <c r="E27" i="8"/>
  <c r="F27" i="8" s="1"/>
  <c r="D78" i="8"/>
  <c r="E78" i="8"/>
  <c r="F78" i="8" s="1"/>
  <c r="D29" i="8"/>
  <c r="E28" i="8"/>
  <c r="F28" i="8" s="1"/>
  <c r="E80" i="8"/>
  <c r="F80" i="8" s="1"/>
  <c r="H80" i="8"/>
  <c r="I80" i="8"/>
  <c r="K80" i="8"/>
  <c r="D80" i="8"/>
  <c r="I30" i="8"/>
  <c r="H30" i="8"/>
  <c r="D31" i="8"/>
  <c r="E30" i="8"/>
  <c r="F30" i="8" s="1"/>
  <c r="K30" i="8"/>
  <c r="B45" i="1"/>
  <c r="C45" i="1" s="1"/>
  <c r="B46" i="1"/>
  <c r="C46" i="1" s="1"/>
  <c r="G94" i="8" l="1"/>
  <c r="G91" i="8"/>
  <c r="G90" i="8"/>
  <c r="G99" i="8"/>
  <c r="G85" i="8"/>
  <c r="G101" i="8"/>
  <c r="G88" i="8"/>
  <c r="G105" i="8"/>
  <c r="G100" i="8"/>
  <c r="G103" i="8"/>
  <c r="G93" i="8"/>
  <c r="G89" i="8"/>
  <c r="G86" i="8"/>
  <c r="G92" i="8"/>
  <c r="G104" i="8"/>
  <c r="G98" i="8"/>
  <c r="G106" i="8"/>
  <c r="G102" i="8"/>
  <c r="G87" i="8"/>
  <c r="I96" i="8"/>
  <c r="C97" i="8"/>
  <c r="D96" i="8"/>
  <c r="E96" i="8"/>
  <c r="F96" i="8" s="1"/>
  <c r="K96" i="8"/>
  <c r="H96" i="8"/>
  <c r="G95" i="8"/>
  <c r="G29" i="8"/>
  <c r="G79" i="8"/>
  <c r="G77" i="8"/>
  <c r="G30" i="8"/>
  <c r="G25" i="8"/>
  <c r="U24" i="1"/>
  <c r="T24" i="1" s="1"/>
  <c r="T28" i="1" s="1"/>
  <c r="T30" i="1" s="1"/>
  <c r="G28" i="8"/>
  <c r="G78" i="8"/>
  <c r="G24" i="8"/>
  <c r="G26" i="8"/>
  <c r="G27" i="8"/>
  <c r="G76" i="8"/>
  <c r="G80" i="8"/>
  <c r="H81" i="8"/>
  <c r="D81" i="8"/>
  <c r="K81" i="8"/>
  <c r="I81" i="8"/>
  <c r="E81" i="8"/>
  <c r="F81" i="8" s="1"/>
  <c r="H31" i="8"/>
  <c r="D32" i="8"/>
  <c r="I31" i="8"/>
  <c r="E31" i="8"/>
  <c r="F31" i="8" s="1"/>
  <c r="G31" i="8" s="1"/>
  <c r="K31" i="8"/>
  <c r="B47" i="1"/>
  <c r="G96" i="8" l="1"/>
  <c r="D97" i="8"/>
  <c r="H97" i="8"/>
  <c r="I97" i="8"/>
  <c r="K97" i="8"/>
  <c r="E97" i="8"/>
  <c r="F97" i="8" s="1"/>
  <c r="D82" i="8"/>
  <c r="E82" i="8"/>
  <c r="F82" i="8" s="1"/>
  <c r="K82" i="8"/>
  <c r="H82" i="8"/>
  <c r="I82" i="8"/>
  <c r="G81" i="8"/>
  <c r="D33" i="8"/>
  <c r="H32" i="8"/>
  <c r="I32" i="8"/>
  <c r="E32" i="8"/>
  <c r="F32" i="8" s="1"/>
  <c r="G32" i="8" s="1"/>
  <c r="K32" i="8"/>
  <c r="C47" i="1"/>
  <c r="B48" i="1"/>
  <c r="G97" i="8" l="1"/>
  <c r="G82" i="8"/>
  <c r="D83" i="8"/>
  <c r="H83" i="8"/>
  <c r="I83" i="8"/>
  <c r="E83" i="8"/>
  <c r="F83" i="8" s="1"/>
  <c r="K83" i="8"/>
  <c r="I33" i="8"/>
  <c r="H33" i="8"/>
  <c r="D34" i="8"/>
  <c r="E33" i="8"/>
  <c r="F33" i="8" s="1"/>
  <c r="K33" i="8"/>
  <c r="C48" i="1"/>
  <c r="B49" i="1"/>
  <c r="K84" i="8" l="1"/>
  <c r="D84" i="8"/>
  <c r="I84" i="8"/>
  <c r="E84" i="8"/>
  <c r="F84" i="8" s="1"/>
  <c r="H84" i="8"/>
  <c r="G83" i="8"/>
  <c r="G33" i="8"/>
  <c r="D35" i="8"/>
  <c r="I34" i="8"/>
  <c r="H34" i="8"/>
  <c r="E34" i="8"/>
  <c r="F34" i="8" s="1"/>
  <c r="K34" i="8"/>
  <c r="B50" i="1"/>
  <c r="C49" i="1"/>
  <c r="G84" i="8" l="1"/>
  <c r="G34" i="8"/>
  <c r="D36" i="8"/>
  <c r="H35" i="8"/>
  <c r="I35" i="8"/>
  <c r="E35" i="8"/>
  <c r="F35" i="8" s="1"/>
  <c r="G35" i="8" s="1"/>
  <c r="K35" i="8"/>
  <c r="B51" i="1"/>
  <c r="C50" i="1"/>
  <c r="I36" i="8" l="1"/>
  <c r="H36" i="8"/>
  <c r="E36" i="8"/>
  <c r="F36" i="8" s="1"/>
  <c r="D37" i="8"/>
  <c r="K36" i="8"/>
  <c r="B52" i="1"/>
  <c r="C51" i="1"/>
  <c r="H37" i="8" l="1"/>
  <c r="I37" i="8"/>
  <c r="D38" i="8"/>
  <c r="E37" i="8"/>
  <c r="F37" i="8" s="1"/>
  <c r="G37" i="8" s="1"/>
  <c r="K37" i="8"/>
  <c r="G36" i="8"/>
  <c r="C52" i="1"/>
  <c r="B53" i="1"/>
  <c r="D39" i="8" l="1"/>
  <c r="I38" i="8"/>
  <c r="H38" i="8"/>
  <c r="E38" i="8"/>
  <c r="F38" i="8" s="1"/>
  <c r="K38" i="8"/>
  <c r="B54" i="1"/>
  <c r="C54" i="1" s="1"/>
  <c r="C53" i="1"/>
  <c r="G38" i="8" l="1"/>
  <c r="D40" i="8"/>
  <c r="H39" i="8"/>
  <c r="E39" i="8"/>
  <c r="F39" i="8" s="1"/>
  <c r="G39" i="8" s="1"/>
  <c r="I39" i="8"/>
  <c r="K39" i="8"/>
  <c r="B55" i="1"/>
  <c r="D41" i="8" l="1"/>
  <c r="I40" i="8"/>
  <c r="H40" i="8"/>
  <c r="E40" i="8"/>
  <c r="F40" i="8" s="1"/>
  <c r="G40" i="8" s="1"/>
  <c r="K40" i="8"/>
  <c r="C55" i="1"/>
  <c r="B56" i="1"/>
  <c r="D42" i="8" l="1"/>
  <c r="I41" i="8"/>
  <c r="H41" i="8"/>
  <c r="E41" i="8"/>
  <c r="F41" i="8" s="1"/>
  <c r="G41" i="8" s="1"/>
  <c r="K41" i="8"/>
  <c r="B57" i="1"/>
  <c r="C56" i="1"/>
  <c r="H42" i="8" l="1"/>
  <c r="D43" i="8"/>
  <c r="I42" i="8"/>
  <c r="E42" i="8"/>
  <c r="F42" i="8" s="1"/>
  <c r="K42" i="8"/>
  <c r="B58" i="1"/>
  <c r="C57" i="1"/>
  <c r="G42" i="8" l="1"/>
  <c r="D44" i="8"/>
  <c r="I43" i="8"/>
  <c r="H43" i="8"/>
  <c r="E43" i="8"/>
  <c r="F43" i="8" s="1"/>
  <c r="G43" i="8" s="1"/>
  <c r="K43" i="8"/>
  <c r="C58" i="1"/>
  <c r="B59" i="1"/>
  <c r="D45" i="8" l="1"/>
  <c r="I44" i="8"/>
  <c r="H44" i="8"/>
  <c r="E44" i="8"/>
  <c r="F44" i="8" s="1"/>
  <c r="G44" i="8" s="1"/>
  <c r="K44" i="8"/>
  <c r="C59" i="1"/>
  <c r="B60" i="1"/>
  <c r="I45" i="8" l="1"/>
  <c r="H45" i="8"/>
  <c r="D46" i="8"/>
  <c r="E45" i="8"/>
  <c r="F45" i="8" s="1"/>
  <c r="K45" i="8"/>
  <c r="C60" i="1"/>
  <c r="B61" i="1"/>
  <c r="D47" i="8" l="1"/>
  <c r="I46" i="8"/>
  <c r="H46" i="8"/>
  <c r="E46" i="8"/>
  <c r="F46" i="8" s="1"/>
  <c r="G46" i="8" s="1"/>
  <c r="K46" i="8"/>
  <c r="G45" i="8"/>
  <c r="B62" i="1"/>
  <c r="C61" i="1"/>
  <c r="H47" i="8" l="1"/>
  <c r="I47" i="8"/>
  <c r="D48" i="8"/>
  <c r="E47" i="8"/>
  <c r="F47" i="8" s="1"/>
  <c r="G47" i="8" s="1"/>
  <c r="K47" i="8"/>
  <c r="B63" i="1"/>
  <c r="C62" i="1"/>
  <c r="D49" i="8" l="1"/>
  <c r="I48" i="8"/>
  <c r="H48" i="8"/>
  <c r="E48" i="8"/>
  <c r="F48" i="8" s="1"/>
  <c r="G48" i="8" s="1"/>
  <c r="K48" i="8"/>
  <c r="B64" i="1"/>
  <c r="C63" i="1"/>
  <c r="I49" i="8" l="1"/>
  <c r="H49" i="8"/>
  <c r="D50" i="8"/>
  <c r="E49" i="8"/>
  <c r="F49" i="8" s="1"/>
  <c r="K49" i="8"/>
  <c r="C64" i="1"/>
  <c r="B65" i="1"/>
  <c r="G49" i="8" l="1"/>
  <c r="D51" i="8"/>
  <c r="I50" i="8"/>
  <c r="H50" i="8"/>
  <c r="E50" i="8"/>
  <c r="F50" i="8" s="1"/>
  <c r="G50" i="8" s="1"/>
  <c r="K50" i="8"/>
  <c r="B66" i="1"/>
  <c r="C66" i="1" s="1"/>
  <c r="C65" i="1"/>
  <c r="D52" i="8" l="1"/>
  <c r="I51" i="8"/>
  <c r="H51" i="8"/>
  <c r="E51" i="8"/>
  <c r="F51" i="8" s="1"/>
  <c r="G51" i="8" s="1"/>
  <c r="K51" i="8"/>
  <c r="B67" i="1"/>
  <c r="I52" i="8" l="1"/>
  <c r="H52" i="8"/>
  <c r="E52" i="8"/>
  <c r="F52" i="8" s="1"/>
  <c r="G52" i="8" s="1"/>
  <c r="D53" i="8"/>
  <c r="K52" i="8"/>
  <c r="C67" i="1"/>
  <c r="B68" i="1"/>
  <c r="C68" i="1" s="1"/>
  <c r="I53" i="8" l="1"/>
  <c r="H53" i="8"/>
  <c r="E53" i="8"/>
  <c r="F53" i="8" s="1"/>
  <c r="K53" i="8"/>
  <c r="B69" i="1"/>
  <c r="D54" i="8" l="1"/>
  <c r="G53" i="8"/>
  <c r="I54" i="8"/>
  <c r="H54" i="8"/>
  <c r="E54" i="8"/>
  <c r="F54" i="8" s="1"/>
  <c r="K54" i="8"/>
  <c r="B70" i="1"/>
  <c r="C70" i="1" s="1"/>
  <c r="C69" i="1"/>
  <c r="D55" i="8" l="1"/>
  <c r="E55" i="8"/>
  <c r="F55" i="8" s="1"/>
  <c r="K55" i="8"/>
  <c r="H55" i="8"/>
  <c r="I55" i="8"/>
  <c r="G54" i="8"/>
  <c r="B71" i="1"/>
  <c r="G55" i="8" l="1"/>
  <c r="I56" i="8"/>
  <c r="H56" i="8"/>
  <c r="K56" i="8"/>
  <c r="D56" i="8"/>
  <c r="E56" i="8"/>
  <c r="F56" i="8" s="1"/>
  <c r="C71" i="1"/>
  <c r="B72" i="1"/>
  <c r="G56" i="8" l="1"/>
  <c r="D57" i="8"/>
  <c r="K57" i="8"/>
  <c r="E57" i="8"/>
  <c r="F57" i="8" s="1"/>
  <c r="I57" i="8"/>
  <c r="H57" i="8"/>
  <c r="C72" i="1"/>
  <c r="B73" i="1"/>
  <c r="G57" i="8" l="1"/>
  <c r="K58" i="8"/>
  <c r="I58" i="8"/>
  <c r="D58" i="8"/>
  <c r="H58" i="8"/>
  <c r="E58" i="8"/>
  <c r="F58" i="8" s="1"/>
  <c r="B74" i="1"/>
  <c r="C74" i="1" s="1"/>
  <c r="C73" i="1"/>
  <c r="G58" i="8" l="1"/>
  <c r="D59" i="8"/>
  <c r="E59" i="8"/>
  <c r="F59" i="8" s="1"/>
  <c r="I59" i="8"/>
  <c r="H59" i="8"/>
  <c r="K59" i="8"/>
  <c r="E44" i="1" l="1"/>
  <c r="O2" i="1" s="1"/>
  <c r="G59" i="8"/>
  <c r="D60" i="8"/>
  <c r="E60" i="8"/>
  <c r="F60" i="8" s="1"/>
  <c r="K60" i="8"/>
  <c r="I60" i="8"/>
  <c r="H60" i="8"/>
  <c r="D49" i="1" l="1"/>
  <c r="E67" i="1"/>
  <c r="O25" i="1" s="1"/>
  <c r="E50" i="1"/>
  <c r="O8" i="1" s="1"/>
  <c r="E63" i="1"/>
  <c r="O21" i="1" s="1"/>
  <c r="D46" i="1"/>
  <c r="D65" i="1"/>
  <c r="D51" i="1"/>
  <c r="D63" i="1"/>
  <c r="E70" i="1"/>
  <c r="O28" i="1" s="1"/>
  <c r="E68" i="1"/>
  <c r="O26" i="1" s="1"/>
  <c r="E53" i="1"/>
  <c r="O11" i="1" s="1"/>
  <c r="D58" i="1"/>
  <c r="E52" i="1"/>
  <c r="O10" i="1" s="1"/>
  <c r="E51" i="1"/>
  <c r="O9" i="1" s="1"/>
  <c r="D55" i="1"/>
  <c r="D54" i="1"/>
  <c r="E61" i="1"/>
  <c r="O19" i="1" s="1"/>
  <c r="E58" i="1"/>
  <c r="O16" i="1" s="1"/>
  <c r="D64" i="1"/>
  <c r="E49" i="1"/>
  <c r="O7" i="1" s="1"/>
  <c r="E59" i="1"/>
  <c r="O17" i="1" s="1"/>
  <c r="D70" i="1"/>
  <c r="D59" i="1"/>
  <c r="D67" i="1"/>
  <c r="E69" i="1"/>
  <c r="O27" i="1" s="1"/>
  <c r="E56" i="1"/>
  <c r="O14" i="1" s="1"/>
  <c r="E57" i="1"/>
  <c r="O15" i="1" s="1"/>
  <c r="D44" i="1"/>
  <c r="D62" i="1"/>
  <c r="E54" i="1"/>
  <c r="O12" i="1" s="1"/>
  <c r="E46" i="1"/>
  <c r="O4" i="1" s="1"/>
  <c r="D74" i="1"/>
  <c r="E47" i="1"/>
  <c r="O5" i="1" s="1"/>
  <c r="D50" i="1"/>
  <c r="D57" i="1"/>
  <c r="D48" i="1"/>
  <c r="D47" i="1"/>
  <c r="E71" i="1"/>
  <c r="O29" i="1" s="1"/>
  <c r="E74" i="1"/>
  <c r="O32" i="1" s="1"/>
  <c r="E72" i="1"/>
  <c r="O30" i="1" s="1"/>
  <c r="E64" i="1"/>
  <c r="O22" i="1" s="1"/>
  <c r="E48" i="1"/>
  <c r="O6" i="1" s="1"/>
  <c r="D71" i="1"/>
  <c r="D53" i="1"/>
  <c r="E60" i="1"/>
  <c r="O18" i="1" s="1"/>
  <c r="D45" i="1"/>
  <c r="D73" i="1"/>
  <c r="E65" i="1"/>
  <c r="O23" i="1" s="1"/>
  <c r="E73" i="1"/>
  <c r="O31" i="1" s="1"/>
  <c r="D68" i="1"/>
  <c r="E66" i="1"/>
  <c r="O24" i="1" s="1"/>
  <c r="E55" i="1"/>
  <c r="O13" i="1" s="1"/>
  <c r="D66" i="1"/>
  <c r="D56" i="1"/>
  <c r="E62" i="1"/>
  <c r="O20" i="1" s="1"/>
  <c r="D69" i="1"/>
  <c r="D61" i="1"/>
  <c r="D72" i="1"/>
  <c r="D60" i="1"/>
  <c r="D52" i="1"/>
  <c r="E45" i="1"/>
  <c r="O3" i="1" s="1"/>
  <c r="P3" i="1" s="1"/>
  <c r="G60" i="8"/>
  <c r="D61" i="8"/>
  <c r="K61" i="8"/>
  <c r="E61" i="8"/>
  <c r="F61" i="8" s="1"/>
  <c r="H61" i="8"/>
  <c r="I61" i="8"/>
  <c r="P16" i="1" l="1"/>
  <c r="P24" i="1"/>
  <c r="P12" i="1"/>
  <c r="P8" i="1"/>
  <c r="P17" i="1"/>
  <c r="P20" i="1"/>
  <c r="P28" i="1"/>
  <c r="P14" i="1"/>
  <c r="P26" i="1"/>
  <c r="P4" i="1"/>
  <c r="P25" i="1"/>
  <c r="P32" i="1"/>
  <c r="P9" i="1"/>
  <c r="P31" i="1"/>
  <c r="P10" i="1"/>
  <c r="P22" i="1"/>
  <c r="P5" i="1"/>
  <c r="P7" i="1"/>
  <c r="P15" i="1"/>
  <c r="P18" i="1"/>
  <c r="P13" i="1"/>
  <c r="P29" i="1"/>
  <c r="P27" i="1"/>
  <c r="P19" i="1"/>
  <c r="P6" i="1"/>
  <c r="P30" i="1"/>
  <c r="P23" i="1"/>
  <c r="P11" i="1"/>
  <c r="P21" i="1"/>
  <c r="E62" i="8"/>
  <c r="F62" i="8" s="1"/>
  <c r="H62" i="8"/>
  <c r="K62" i="8"/>
  <c r="D62" i="8"/>
  <c r="I62" i="8"/>
  <c r="G61" i="8"/>
  <c r="E37" i="1" l="1"/>
  <c r="G62" i="8"/>
  <c r="H63" i="8"/>
  <c r="K63" i="8"/>
  <c r="I63" i="8"/>
  <c r="E63" i="8"/>
  <c r="F63" i="8" s="1"/>
  <c r="D63" i="8"/>
  <c r="N32" i="8" l="1"/>
  <c r="N35" i="8" s="1"/>
  <c r="F21" i="7"/>
  <c r="J14" i="8" s="1"/>
  <c r="G63" i="8"/>
  <c r="K64" i="8"/>
  <c r="E64" i="8"/>
  <c r="F64" i="8" s="1"/>
  <c r="H64" i="8"/>
  <c r="I64" i="8"/>
  <c r="D64" i="8"/>
  <c r="O54" i="8" l="1"/>
  <c r="N36" i="8"/>
  <c r="J64" i="8"/>
  <c r="J98" i="8"/>
  <c r="J85" i="8"/>
  <c r="J99" i="8"/>
  <c r="J86" i="8"/>
  <c r="J87" i="8"/>
  <c r="J100" i="8"/>
  <c r="J101" i="8"/>
  <c r="J88" i="8"/>
  <c r="J102" i="8"/>
  <c r="J89" i="8"/>
  <c r="J103" i="8"/>
  <c r="J90" i="8"/>
  <c r="J104" i="8"/>
  <c r="J91" i="8"/>
  <c r="J105" i="8"/>
  <c r="J92" i="8"/>
  <c r="J106" i="8"/>
  <c r="J93" i="8"/>
  <c r="J107" i="8"/>
  <c r="J94" i="8"/>
  <c r="J95" i="8"/>
  <c r="J96" i="8"/>
  <c r="J97" i="8"/>
  <c r="C40" i="2"/>
  <c r="J29" i="8"/>
  <c r="J30" i="8"/>
  <c r="J25" i="8"/>
  <c r="J80" i="8"/>
  <c r="J78" i="8"/>
  <c r="J28" i="8"/>
  <c r="J24" i="8"/>
  <c r="J26" i="8"/>
  <c r="J27" i="8"/>
  <c r="J79" i="8"/>
  <c r="J77" i="8"/>
  <c r="J76" i="8"/>
  <c r="J81" i="8"/>
  <c r="J31" i="8"/>
  <c r="J32" i="8"/>
  <c r="J82" i="8"/>
  <c r="J33" i="8"/>
  <c r="J83" i="8"/>
  <c r="J84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E7" i="8"/>
  <c r="E8" i="8" s="1"/>
  <c r="H36" i="7"/>
  <c r="O55" i="8"/>
  <c r="G64" i="8"/>
  <c r="H65" i="8"/>
  <c r="J65" i="8"/>
  <c r="D65" i="8"/>
  <c r="K65" i="8"/>
  <c r="E65" i="8"/>
  <c r="F65" i="8" s="1"/>
  <c r="I65" i="8"/>
  <c r="E9" i="8" l="1"/>
  <c r="D40" i="2"/>
  <c r="F41" i="2" s="1"/>
  <c r="H40" i="2" s="1"/>
  <c r="H41" i="2" s="1"/>
  <c r="G40" i="2"/>
  <c r="G41" i="2" s="1"/>
  <c r="I41" i="2"/>
  <c r="G65" i="8"/>
  <c r="H66" i="8"/>
  <c r="I66" i="8"/>
  <c r="D66" i="8"/>
  <c r="J66" i="8"/>
  <c r="K66" i="8"/>
  <c r="E66" i="8"/>
  <c r="F66" i="8" s="1"/>
  <c r="O52" i="8" l="1"/>
  <c r="O51" i="8"/>
  <c r="G66" i="8"/>
  <c r="H67" i="8"/>
  <c r="E67" i="8"/>
  <c r="F67" i="8" s="1"/>
  <c r="K67" i="8"/>
  <c r="J67" i="8"/>
  <c r="D67" i="8"/>
  <c r="I67" i="8"/>
  <c r="O57" i="8" l="1"/>
  <c r="O61" i="8" s="1"/>
  <c r="S56" i="8"/>
  <c r="Q56" i="8"/>
  <c r="G67" i="8"/>
  <c r="D68" i="8"/>
  <c r="H68" i="8"/>
  <c r="I68" i="8"/>
  <c r="J68" i="8"/>
  <c r="E68" i="8"/>
  <c r="F68" i="8" s="1"/>
  <c r="K68" i="8"/>
  <c r="O62" i="8" l="1"/>
  <c r="N40" i="8" s="1"/>
  <c r="K69" i="8"/>
  <c r="J69" i="8"/>
  <c r="E69" i="8"/>
  <c r="F69" i="8" s="1"/>
  <c r="D69" i="8"/>
  <c r="I69" i="8"/>
  <c r="H69" i="8"/>
  <c r="G68" i="8"/>
  <c r="G69" i="8" l="1"/>
  <c r="D70" i="8"/>
  <c r="I70" i="8"/>
  <c r="K70" i="8"/>
  <c r="E70" i="8"/>
  <c r="F70" i="8" s="1"/>
  <c r="H70" i="8"/>
  <c r="J70" i="8"/>
  <c r="I71" i="8" l="1"/>
  <c r="J71" i="8"/>
  <c r="K71" i="8"/>
  <c r="E71" i="8"/>
  <c r="F71" i="8" s="1"/>
  <c r="H71" i="8"/>
  <c r="D71" i="8"/>
  <c r="G70" i="8"/>
  <c r="L24" i="8" l="1"/>
  <c r="G71" i="8"/>
  <c r="K72" i="8"/>
  <c r="E72" i="8"/>
  <c r="F72" i="8" s="1"/>
  <c r="H72" i="8"/>
  <c r="I72" i="8"/>
  <c r="D72" i="8"/>
  <c r="J72" i="8"/>
  <c r="G72" i="8" l="1"/>
  <c r="J73" i="8"/>
  <c r="D73" i="8"/>
  <c r="H73" i="8"/>
  <c r="I73" i="8"/>
  <c r="E73" i="8"/>
  <c r="F73" i="8" s="1"/>
  <c r="K73" i="8"/>
  <c r="J74" i="8" l="1"/>
  <c r="D74" i="8"/>
  <c r="E74" i="8"/>
  <c r="F74" i="8" s="1"/>
  <c r="K74" i="8"/>
  <c r="I74" i="8"/>
  <c r="H74" i="8"/>
  <c r="G73" i="8"/>
  <c r="G74" i="8" l="1"/>
  <c r="E75" i="8"/>
  <c r="F75" i="8" s="1"/>
  <c r="H75" i="8"/>
  <c r="J75" i="8"/>
  <c r="K75" i="8"/>
  <c r="I75" i="8"/>
  <c r="D75" i="8"/>
  <c r="G75" i="8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<sst xmlns="http://schemas.openxmlformats.org/spreadsheetml/2006/main" count="316" uniqueCount="240">
  <si>
    <t>Mission Requirements</t>
  </si>
  <si>
    <t>Atmosphere</t>
  </si>
  <si>
    <t>delta</t>
  </si>
  <si>
    <t>first negative</t>
  </si>
  <si>
    <t>Cruise Range</t>
  </si>
  <si>
    <t>m</t>
  </si>
  <si>
    <t>ft</t>
  </si>
  <si>
    <t>Acceleration due to gravity</t>
  </si>
  <si>
    <t>m/s/s</t>
  </si>
  <si>
    <t>Dyn Visc</t>
  </si>
  <si>
    <t>Pa.s</t>
  </si>
  <si>
    <t>Estimated Cruise Velocity</t>
  </si>
  <si>
    <t>m/s</t>
  </si>
  <si>
    <t>knots</t>
  </si>
  <si>
    <t>Gas Constant</t>
  </si>
  <si>
    <t>J/K/kg</t>
  </si>
  <si>
    <t>cd0 calculation</t>
  </si>
  <si>
    <t>https://link.springer.com/article/10.1007/s13272-021-00522-w</t>
  </si>
  <si>
    <t>Maximum expendable payload mass</t>
  </si>
  <si>
    <t>kg</t>
  </si>
  <si>
    <t>lbs</t>
  </si>
  <si>
    <t>Density at sea level</t>
  </si>
  <si>
    <t>kg/m^3</t>
  </si>
  <si>
    <t>cfreq</t>
  </si>
  <si>
    <t>Maximum non-expendable payload mass</t>
  </si>
  <si>
    <t>Lapse Rate</t>
  </si>
  <si>
    <t>C/m</t>
  </si>
  <si>
    <t>swet</t>
  </si>
  <si>
    <t>Total payload mass</t>
  </si>
  <si>
    <t>Temperature at Sea level</t>
  </si>
  <si>
    <t>K</t>
  </si>
  <si>
    <t>sref</t>
  </si>
  <si>
    <t>Cruise Altitude</t>
  </si>
  <si>
    <t>Temperature at Cruise Altitude</t>
  </si>
  <si>
    <t>C</t>
  </si>
  <si>
    <t>cade test calcs</t>
  </si>
  <si>
    <t>cdo</t>
  </si>
  <si>
    <t>Loiter Endurance</t>
  </si>
  <si>
    <t>mins</t>
  </si>
  <si>
    <t>Density at cruise altitude</t>
  </si>
  <si>
    <t>wi/wi-1</t>
  </si>
  <si>
    <t>power (w)</t>
  </si>
  <si>
    <t>t (s)</t>
  </si>
  <si>
    <t>battery weight used(kg)</t>
  </si>
  <si>
    <t>Estimated Loiter Velocity</t>
  </si>
  <si>
    <t>Mision segments weight fraction</t>
  </si>
  <si>
    <r>
      <t>W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/W</t>
    </r>
    <r>
      <rPr>
        <b/>
        <vertAlign val="subscript"/>
        <sz val="10"/>
        <color rgb="FF000000"/>
        <rFont val="Arial"/>
        <family val="2"/>
      </rPr>
      <t>i-1</t>
    </r>
  </si>
  <si>
    <t>Aircraft Specs</t>
  </si>
  <si>
    <t>1. Engine start-up, warm-up and takeoff</t>
  </si>
  <si>
    <t>Wing Span</t>
  </si>
  <si>
    <t>2. Climb</t>
  </si>
  <si>
    <t>total mass</t>
  </si>
  <si>
    <t>Wing Area</t>
  </si>
  <si>
    <t>m^2</t>
  </si>
  <si>
    <t>ft^2</t>
  </si>
  <si>
    <t>3. Cruise to destination:</t>
  </si>
  <si>
    <t>S</t>
  </si>
  <si>
    <t>Aspect Ratio</t>
  </si>
  <si>
    <t>4. Loiter</t>
  </si>
  <si>
    <t>Battery capacity</t>
  </si>
  <si>
    <t>J</t>
  </si>
  <si>
    <t>Battery mass</t>
  </si>
  <si>
    <t>%https://www.overlander.co.uk/lipo-batteries/8500mah-11-1v-3s-20c-supersport-xl-lipo-battery.html</t>
  </si>
  <si>
    <t>5. Descend</t>
  </si>
  <si>
    <t>prop efficiency</t>
  </si>
  <si>
    <t>Battery Voltage</t>
  </si>
  <si>
    <t>V</t>
  </si>
  <si>
    <t>6. Land</t>
  </si>
  <si>
    <t>Battery Capacity</t>
  </si>
  <si>
    <t>Ah</t>
  </si>
  <si>
    <t>As</t>
  </si>
  <si>
    <t>Estimated Battery MF</t>
  </si>
  <si>
    <t>Battery Espec</t>
  </si>
  <si>
    <t>J/kg</t>
  </si>
  <si>
    <t>Wah</t>
  </si>
  <si>
    <t xml:space="preserve">BatteryMF - Cruise </t>
  </si>
  <si>
    <t>Non-expendable payload list</t>
  </si>
  <si>
    <t>BatteryMF- Loiter</t>
  </si>
  <si>
    <t>GPS tracker</t>
  </si>
  <si>
    <t>much more simple method</t>
  </si>
  <si>
    <t>Compound Efficiency</t>
  </si>
  <si>
    <t>DC motor</t>
  </si>
  <si>
    <t>item</t>
  </si>
  <si>
    <t>energy used (J)</t>
  </si>
  <si>
    <t>time (s)</t>
  </si>
  <si>
    <t>Usable Proportion Factor</t>
  </si>
  <si>
    <t xml:space="preserve">Radio Receiver </t>
  </si>
  <si>
    <t>Flysky FS-i6X 10CH 2.4GHz AFHDS RC Transmitter with FS-iA6B Receiver: Amazon.co.uk: Toys &amp; Games</t>
  </si>
  <si>
    <t>Cd0</t>
  </si>
  <si>
    <t>Servos</t>
  </si>
  <si>
    <t>e</t>
  </si>
  <si>
    <t>Accelerometer + Magnetometer</t>
  </si>
  <si>
    <t>k</t>
  </si>
  <si>
    <t>Clmd</t>
  </si>
  <si>
    <t>Cdmd</t>
  </si>
  <si>
    <t>Clmp</t>
  </si>
  <si>
    <t>used</t>
  </si>
  <si>
    <t>Cdmp</t>
  </si>
  <si>
    <t>available</t>
  </si>
  <si>
    <t>Clmd/Cdmd</t>
  </si>
  <si>
    <t>remaining</t>
  </si>
  <si>
    <t>Clmp/Cdmp</t>
  </si>
  <si>
    <t>A</t>
  </si>
  <si>
    <t>Kvs</t>
  </si>
  <si>
    <t>c</t>
  </si>
  <si>
    <t>Guess start</t>
  </si>
  <si>
    <t>Intercept</t>
  </si>
  <si>
    <t>Guess end</t>
  </si>
  <si>
    <t>Guess delta (don’t edit)</t>
  </si>
  <si>
    <t>Takeoff Weight Calculation</t>
  </si>
  <si>
    <r>
      <t>W</t>
    </r>
    <r>
      <rPr>
        <vertAlign val="subscript"/>
        <sz val="10"/>
        <color theme="1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Guess (kg)</t>
    </r>
  </si>
  <si>
    <r>
      <t>W</t>
    </r>
    <r>
      <rPr>
        <vertAlign val="subscript"/>
        <sz val="10"/>
        <color theme="1"/>
        <rFont val="Arial"/>
        <family val="2"/>
      </rPr>
      <t>e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0"/>
        <color theme="1"/>
        <rFont val="Arial"/>
        <family val="2"/>
      </rPr>
      <t>0</t>
    </r>
  </si>
  <si>
    <r>
      <t>W</t>
    </r>
    <r>
      <rPr>
        <vertAlign val="subscript"/>
        <sz val="10"/>
        <color theme="1"/>
        <rFont val="Arial"/>
        <family val="2"/>
      </rPr>
      <t>e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</si>
  <si>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vertAlign val="subscript"/>
        <sz val="10"/>
        <color theme="1"/>
        <rFont val="Arial"/>
        <family val="2"/>
      </rPr>
      <t>f</t>
    </r>
  </si>
  <si>
    <r>
      <t>W</t>
    </r>
    <r>
      <rPr>
        <vertAlign val="subscript"/>
        <sz val="10"/>
        <color theme="1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Calculated (kg)</t>
    </r>
  </si>
  <si>
    <t>Tradeoff Studies</t>
  </si>
  <si>
    <t>Range (km)</t>
  </si>
  <si>
    <t>Takeoff Mass (Kg)</t>
  </si>
  <si>
    <t>Endurance (mins)</t>
  </si>
  <si>
    <t>Payload (kg)</t>
  </si>
  <si>
    <t>Cruise Speed (m/s)</t>
  </si>
  <si>
    <t>AR</t>
  </si>
  <si>
    <t>Espec (J/kg)</t>
  </si>
  <si>
    <t>Aircraft Fractions Calculations Worksheet</t>
  </si>
  <si>
    <t>Name</t>
  </si>
  <si>
    <t>Empty Weight (kg)</t>
  </si>
  <si>
    <t>Fuel Weight (kg)</t>
  </si>
  <si>
    <t>Payload Weight (kg)</t>
  </si>
  <si>
    <t>Takeoff Weight (kg)</t>
  </si>
  <si>
    <t>Wing Area (m2)</t>
  </si>
  <si>
    <t>Power (Watts)</t>
  </si>
  <si>
    <t>Empty Weight (N)</t>
  </si>
  <si>
    <t>Fuel Weight (N)</t>
  </si>
  <si>
    <t>Payload Weight (N)</t>
  </si>
  <si>
    <t>Takeoff Weight (N)</t>
  </si>
  <si>
    <t>We/W0</t>
  </si>
  <si>
    <t>Wfuel/W0</t>
  </si>
  <si>
    <t>Wpayload/W0</t>
  </si>
  <si>
    <t>W0/S</t>
  </si>
  <si>
    <t>W0/P</t>
  </si>
  <si>
    <t>Payload/We</t>
  </si>
  <si>
    <r>
      <rPr>
        <b/>
        <sz val="11"/>
        <color theme="1"/>
        <rFont val="Calibri"/>
        <family val="2"/>
        <scheme val="minor"/>
      </rPr>
      <t>Albatross</t>
    </r>
    <r>
      <rPr>
        <sz val="11"/>
        <color theme="1"/>
        <rFont val="Calibri"/>
        <family val="2"/>
        <scheme val="minor"/>
      </rPr>
      <t xml:space="preserve"> (https://www.appliedaeronautics.com/albatross-uav)</t>
    </r>
  </si>
  <si>
    <t>NA</t>
  </si>
  <si>
    <t>HXCETUS-240 Load 1.6KG Pod 3.5Hours 10KG Weight VTOL UAV Mapping Inspection 3000m Flight Altitude Industrial Drone (https://www.industry-drones.com/sale-36337976-mapping-inspection-vertical-takeoff-and-landing-uav-10kg-payload-drone-load-1-6kg-pod-hxcetus-240.html)</t>
  </si>
  <si>
    <t>UAV VTOL Fixed Wing Drone 2KG Payload 4000M Max Takeoff Weight 90 Min Flight Time (https://www.industry-drones.com/sale-37378675-uav-vtol-fixed-wing-drone-2kg-payload-4000m-max-takeoff-weight-90-min-flight-time.html)</t>
  </si>
  <si>
    <t>20~ 27m/S Load 6.5kg Military UAV Drones 2-5h Cruise Time For Marine Inspection HXCG468-M (https://www.industry-drones.com/sale-35985945-20-27m-s-load-6-5kg-military-uav-drones-2-5h-cruise-time-for-marine-inspection-hxcg468-m.html)</t>
  </si>
  <si>
    <t>HXAYK-250 (https://www.industry-drones.com/sale-36417143-4800m-high-altitude-drone-military-vtol-drone-thermal-pod-13-5kg-take-off-weight-hxayk-250.html)</t>
  </si>
  <si>
    <t>HX330PRO (https://www.industry-drones.com/sale-36432879-3200m-altitude-oil-field-pipeline-inspection-drones-military-vtol-drone-3-5hours-hx330pro.html)</t>
  </si>
  <si>
    <t>RQ-35 HEIDRUN (https://enterpriseuav.co.uk/wp-content/uploads/2024/08/spec-sheet.pdf)</t>
  </si>
  <si>
    <r>
      <rPr>
        <sz val="10"/>
        <color theme="1"/>
        <rFont val="Var(--wd-entities-title-font)"/>
      </rPr>
      <t>GAOTek Portable Aerial Survey Aircraft Fixed-Wing Drone</t>
    </r>
    <r>
      <rPr>
        <b/>
        <sz val="10"/>
        <color theme="1"/>
        <rFont val="Var(--wd-entities-title-font)"/>
      </rPr>
      <t xml:space="preserve"> (https://gaotek.com/product/gaotek-portable-aerial-survey-aircraft-fixed-wing-drone/)</t>
    </r>
  </si>
  <si>
    <t>Fixed Wing UAVS (From IHS Jane's All The World's Aircraft Unmanned 2013-2014)</t>
  </si>
  <si>
    <t>CANA Guardian</t>
  </si>
  <si>
    <t>Nostromo Yarara</t>
  </si>
  <si>
    <t>Aerosonde Mk 4</t>
  </si>
  <si>
    <t>BAE Kingfisher Brumby Mk 3</t>
  </si>
  <si>
    <t>Alcore Biodrone</t>
  </si>
  <si>
    <t>Alcore Futura UCAV</t>
  </si>
  <si>
    <t>LUNA</t>
  </si>
  <si>
    <t>Trogon</t>
  </si>
  <si>
    <t>MiniFalcon 1</t>
  </si>
  <si>
    <t>Jordan Falcon</t>
  </si>
  <si>
    <t>Border Eagle Mk II</t>
  </si>
  <si>
    <t>Hawk Mk V</t>
  </si>
  <si>
    <t>Explorer</t>
  </si>
  <si>
    <t>Rover</t>
  </si>
  <si>
    <t>Vector Mk I</t>
  </si>
  <si>
    <t>Vision Mk I</t>
  </si>
  <si>
    <t>ZALA 421-08</t>
  </si>
  <si>
    <t>takeoff</t>
  </si>
  <si>
    <t>payload</t>
  </si>
  <si>
    <t>plot 1</t>
  </si>
  <si>
    <t>plot1</t>
  </si>
  <si>
    <t>plot 2</t>
  </si>
  <si>
    <t>plot2</t>
  </si>
  <si>
    <t>g =</t>
  </si>
  <si>
    <r>
      <t>m/s</t>
    </r>
    <r>
      <rPr>
        <vertAlign val="superscript"/>
        <sz val="10"/>
        <color indexed="30"/>
        <rFont val="Arial"/>
        <family val="2"/>
      </rPr>
      <t>2</t>
    </r>
  </si>
  <si>
    <t>k =</t>
  </si>
  <si>
    <r>
      <t>C</t>
    </r>
    <r>
      <rPr>
        <vertAlign val="subscript"/>
        <sz val="10"/>
        <color indexed="30"/>
        <rFont val="Arial"/>
        <family val="2"/>
      </rPr>
      <t>D0</t>
    </r>
    <r>
      <rPr>
        <sz val="10"/>
        <color indexed="30"/>
        <rFont val="Arial"/>
        <family val="2"/>
      </rPr>
      <t xml:space="preserve"> =</t>
    </r>
  </si>
  <si>
    <r>
      <rPr>
        <sz val="10"/>
        <color indexed="30"/>
        <rFont val="Symbol"/>
        <family val="1"/>
        <charset val="2"/>
      </rPr>
      <t xml:space="preserve">r </t>
    </r>
    <r>
      <rPr>
        <sz val="10"/>
        <color indexed="30"/>
        <rFont val="Arial"/>
        <family val="2"/>
      </rPr>
      <t>=</t>
    </r>
  </si>
  <si>
    <r>
      <t>kg/m</t>
    </r>
    <r>
      <rPr>
        <vertAlign val="superscript"/>
        <sz val="10"/>
        <color indexed="30"/>
        <rFont val="Arial"/>
        <family val="2"/>
      </rPr>
      <t>3</t>
    </r>
  </si>
  <si>
    <t>V =</t>
  </si>
  <si>
    <r>
      <t>V</t>
    </r>
    <r>
      <rPr>
        <vertAlign val="subscript"/>
        <sz val="10"/>
        <color indexed="30"/>
        <rFont val="Arial"/>
        <family val="2"/>
      </rPr>
      <t>Stall</t>
    </r>
    <r>
      <rPr>
        <sz val="10"/>
        <color indexed="30"/>
        <rFont val="Arial"/>
        <family val="2"/>
      </rPr>
      <t xml:space="preserve"> =</t>
    </r>
  </si>
  <si>
    <r>
      <t>Propeller efficiency (</t>
    </r>
    <r>
      <rPr>
        <sz val="10"/>
        <color indexed="30"/>
        <rFont val="Symbol"/>
        <family val="1"/>
        <charset val="2"/>
      </rPr>
      <t>h</t>
    </r>
    <r>
      <rPr>
        <vertAlign val="subscript"/>
        <sz val="10"/>
        <color indexed="30"/>
        <rFont val="Arial"/>
        <family val="2"/>
      </rPr>
      <t>p</t>
    </r>
    <r>
      <rPr>
        <sz val="10"/>
        <color indexed="30"/>
        <rFont val="Arial"/>
        <family val="2"/>
      </rPr>
      <t>) :</t>
    </r>
  </si>
  <si>
    <r>
      <t>C</t>
    </r>
    <r>
      <rPr>
        <vertAlign val="subscript"/>
        <sz val="10"/>
        <color indexed="30"/>
        <rFont val="Arial"/>
        <family val="2"/>
      </rPr>
      <t>DCruise</t>
    </r>
    <r>
      <rPr>
        <sz val="10"/>
        <color indexed="30"/>
        <rFont val="Arial"/>
        <family val="2"/>
      </rPr>
      <t xml:space="preserve"> =</t>
    </r>
  </si>
  <si>
    <r>
      <rPr>
        <sz val="10"/>
        <color indexed="30"/>
        <rFont val="Symbol"/>
        <family val="1"/>
        <charset val="2"/>
      </rPr>
      <t xml:space="preserve">m </t>
    </r>
    <r>
      <rPr>
        <sz val="10"/>
        <color indexed="30"/>
        <rFont val="Arial"/>
        <family val="2"/>
      </rPr>
      <t>=</t>
    </r>
  </si>
  <si>
    <r>
      <t>S</t>
    </r>
    <r>
      <rPr>
        <vertAlign val="subscript"/>
        <sz val="10"/>
        <color indexed="30"/>
        <rFont val="Arial"/>
        <family val="2"/>
      </rPr>
      <t>TO</t>
    </r>
    <r>
      <rPr>
        <sz val="10"/>
        <color indexed="30"/>
        <rFont val="Arial"/>
        <family val="2"/>
      </rPr>
      <t xml:space="preserve"> =</t>
    </r>
  </si>
  <si>
    <r>
      <t>S</t>
    </r>
    <r>
      <rPr>
        <vertAlign val="subscript"/>
        <sz val="10"/>
        <color indexed="30"/>
        <rFont val="Arial"/>
        <family val="2"/>
      </rPr>
      <t>LG</t>
    </r>
    <r>
      <rPr>
        <sz val="10"/>
        <color indexed="30"/>
        <rFont val="Arial"/>
        <family val="2"/>
      </rPr>
      <t xml:space="preserve"> =</t>
    </r>
  </si>
  <si>
    <r>
      <t xml:space="preserve"> n</t>
    </r>
    <r>
      <rPr>
        <i/>
        <vertAlign val="subscript"/>
        <sz val="10"/>
        <color indexed="30"/>
        <rFont val="Arial"/>
        <family val="2"/>
      </rPr>
      <t>TO</t>
    </r>
    <r>
      <rPr>
        <i/>
        <sz val="10"/>
        <color indexed="30"/>
        <rFont val="Arial"/>
        <family val="2"/>
      </rPr>
      <t xml:space="preserve"> =</t>
    </r>
  </si>
  <si>
    <r>
      <t xml:space="preserve"> n</t>
    </r>
    <r>
      <rPr>
        <i/>
        <vertAlign val="subscript"/>
        <sz val="10"/>
        <color indexed="30"/>
        <rFont val="Arial"/>
        <family val="2"/>
      </rPr>
      <t>A</t>
    </r>
    <r>
      <rPr>
        <i/>
        <sz val="10"/>
        <color indexed="30"/>
        <rFont val="Arial"/>
        <family val="2"/>
      </rPr>
      <t xml:space="preserve"> =</t>
    </r>
  </si>
  <si>
    <r>
      <t xml:space="preserve"> n</t>
    </r>
    <r>
      <rPr>
        <i/>
        <vertAlign val="subscript"/>
        <sz val="10"/>
        <color indexed="30"/>
        <rFont val="Arial"/>
        <family val="2"/>
      </rPr>
      <t>max</t>
    </r>
    <r>
      <rPr>
        <i/>
        <sz val="10"/>
        <color indexed="30"/>
        <rFont val="Arial"/>
        <family val="2"/>
      </rPr>
      <t xml:space="preserve"> =</t>
    </r>
  </si>
  <si>
    <t>(load factor)</t>
  </si>
  <si>
    <r>
      <t>h</t>
    </r>
    <r>
      <rPr>
        <i/>
        <vertAlign val="subscript"/>
        <sz val="10"/>
        <color indexed="30"/>
        <rFont val="Arial"/>
        <family val="2"/>
      </rPr>
      <t>abs</t>
    </r>
    <r>
      <rPr>
        <i/>
        <sz val="10"/>
        <color indexed="30"/>
        <rFont val="Arial"/>
        <family val="2"/>
      </rPr>
      <t xml:space="preserve"> =</t>
    </r>
  </si>
  <si>
    <t>h =</t>
  </si>
  <si>
    <r>
      <t>t</t>
    </r>
    <r>
      <rPr>
        <i/>
        <vertAlign val="subscript"/>
        <sz val="10"/>
        <color indexed="30"/>
        <rFont val="Arial"/>
        <family val="2"/>
      </rPr>
      <t>h</t>
    </r>
    <r>
      <rPr>
        <i/>
        <sz val="10"/>
        <color indexed="30"/>
        <rFont val="Arial"/>
        <family val="2"/>
      </rPr>
      <t xml:space="preserve"> =</t>
    </r>
  </si>
  <si>
    <t>min</t>
  </si>
  <si>
    <t>s</t>
  </si>
  <si>
    <r>
      <t>tan(</t>
    </r>
    <r>
      <rPr>
        <i/>
        <sz val="10"/>
        <color indexed="30"/>
        <rFont val="Symbol"/>
        <family val="1"/>
        <charset val="2"/>
      </rPr>
      <t>q</t>
    </r>
    <r>
      <rPr>
        <i/>
        <sz val="10"/>
        <color indexed="30"/>
        <rFont val="Arial"/>
        <family val="2"/>
      </rPr>
      <t>) =</t>
    </r>
  </si>
  <si>
    <t>gradient</t>
  </si>
  <si>
    <r>
      <t>C</t>
    </r>
    <r>
      <rPr>
        <vertAlign val="subscript"/>
        <sz val="10"/>
        <color indexed="30"/>
        <rFont val="Arial"/>
        <family val="2"/>
      </rPr>
      <t>LMaxClean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</si>
  <si>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LMaxFlap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</si>
  <si>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DMax_Clean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</si>
  <si>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DMax_Flap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</si>
  <si>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L</t>
    </r>
    <r>
      <rPr>
        <sz val="10"/>
        <color indexed="30"/>
        <rFont val="Arial"/>
        <family val="2"/>
      </rPr>
      <t xml:space="preserve"> =</t>
    </r>
  </si>
  <si>
    <t>Stall Speed Requirements</t>
  </si>
  <si>
    <r>
      <t>V</t>
    </r>
    <r>
      <rPr>
        <vertAlign val="subscript"/>
        <sz val="10"/>
        <color indexed="8"/>
        <rFont val="Arial"/>
        <family val="2"/>
      </rPr>
      <t>SMax</t>
    </r>
    <r>
      <rPr>
        <sz val="11"/>
        <color theme="1"/>
        <rFont val="Calibri"/>
        <family val="2"/>
        <scheme val="minor"/>
      </rPr>
      <t xml:space="preserve"> =</t>
    </r>
  </si>
  <si>
    <r>
      <t>W/S</t>
    </r>
    <r>
      <rPr>
        <b/>
        <vertAlign val="subscript"/>
        <sz val="10"/>
        <color indexed="8"/>
        <rFont val="Arial"/>
        <family val="2"/>
      </rPr>
      <t>Clean</t>
    </r>
  </si>
  <si>
    <r>
      <t>N/m</t>
    </r>
    <r>
      <rPr>
        <vertAlign val="superscript"/>
        <sz val="10"/>
        <color indexed="8"/>
        <rFont val="Arial"/>
        <family val="2"/>
      </rPr>
      <t>2</t>
    </r>
  </si>
  <si>
    <r>
      <t>W/S</t>
    </r>
    <r>
      <rPr>
        <b/>
        <vertAlign val="subscript"/>
        <sz val="10"/>
        <color indexed="8"/>
        <rFont val="Arial"/>
        <family val="2"/>
      </rPr>
      <t>Flap</t>
    </r>
  </si>
  <si>
    <t>CLc =</t>
  </si>
  <si>
    <r>
      <t>R/C</t>
    </r>
    <r>
      <rPr>
        <b/>
        <vertAlign val="subscript"/>
        <sz val="10"/>
        <color indexed="30"/>
        <rFont val="Arial"/>
        <family val="2"/>
      </rPr>
      <t>0</t>
    </r>
  </si>
  <si>
    <t>CD =</t>
  </si>
  <si>
    <t>W/S</t>
  </si>
  <si>
    <t>W/P (Take-Off)</t>
  </si>
  <si>
    <t>Cruise Speed</t>
  </si>
  <si>
    <t>Manoeuvring</t>
  </si>
  <si>
    <t>Rate of Climb</t>
  </si>
  <si>
    <t>Climb Gradient</t>
  </si>
  <si>
    <t xml:space="preserve">Landing Distance </t>
  </si>
  <si>
    <t>Aircraft Takeoff mass (kg)</t>
  </si>
  <si>
    <t>Power (W)</t>
  </si>
  <si>
    <t>S (Wing area)</t>
  </si>
  <si>
    <t>W/P</t>
  </si>
  <si>
    <t>Reynolds Number</t>
  </si>
  <si>
    <t>Selected Loadings</t>
  </si>
  <si>
    <t>W/P =</t>
  </si>
  <si>
    <t>N/W</t>
  </si>
  <si>
    <t>W/S =</t>
  </si>
  <si>
    <r>
      <t>M</t>
    </r>
    <r>
      <rPr>
        <b/>
        <vertAlign val="subscript"/>
        <sz val="10"/>
        <color indexed="8"/>
        <rFont val="Arial"/>
        <family val="2"/>
      </rPr>
      <t>TO</t>
    </r>
    <r>
      <rPr>
        <b/>
        <sz val="10"/>
        <color indexed="8"/>
        <rFont val="Arial"/>
        <family val="2"/>
      </rPr>
      <t xml:space="preserve"> =</t>
    </r>
  </si>
  <si>
    <r>
      <t>W</t>
    </r>
    <r>
      <rPr>
        <b/>
        <vertAlign val="subscript"/>
        <sz val="10"/>
        <color indexed="8"/>
        <rFont val="Arial"/>
        <family val="2"/>
      </rPr>
      <t>TO</t>
    </r>
    <r>
      <rPr>
        <b/>
        <sz val="10"/>
        <color indexed="8"/>
        <rFont val="Arial"/>
        <family val="2"/>
      </rPr>
      <t xml:space="preserve"> =</t>
    </r>
  </si>
  <si>
    <t>N</t>
  </si>
  <si>
    <t>P=</t>
  </si>
  <si>
    <t>W</t>
  </si>
  <si>
    <t>kW</t>
  </si>
  <si>
    <t>hp</t>
  </si>
  <si>
    <t>S=</t>
  </si>
  <si>
    <r>
      <t>m</t>
    </r>
    <r>
      <rPr>
        <vertAlign val="superscript"/>
        <sz val="10"/>
        <color indexed="8"/>
        <rFont val="Arial"/>
        <family val="2"/>
      </rPr>
      <t>2</t>
    </r>
  </si>
  <si>
    <t>Aspect ratio AR :</t>
  </si>
  <si>
    <t>b =</t>
  </si>
  <si>
    <t>c=</t>
  </si>
  <si>
    <t>For graph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</si>
</sst>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00"/>
    <numFmt numFmtId="165" formatCode="0.0000"/>
    <numFmt numFmtId="166" formatCode="0.0"/>
    <numFmt numFmtId="167" formatCode="0.000"/>
    <numFmt numFmtId="168" formatCode="0.00000"/>
    <numFmt numFmtId="169" formatCode="_(* #,##0_);_(* \(#,##0\);_(* &quot;-&quot;??_);_(@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1"/>
      <color theme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70C0"/>
      <name val="Arial"/>
      <family val="2"/>
    </font>
    <font>
      <vertAlign val="superscript"/>
      <sz val="10"/>
      <color indexed="30"/>
      <name val="Arial"/>
      <family val="2"/>
    </font>
    <font>
      <vertAlign val="subscript"/>
      <sz val="10"/>
      <color indexed="30"/>
      <name val="Arial"/>
      <family val="2"/>
    </font>
    <font>
      <sz val="10"/>
      <color indexed="30"/>
      <name val="Arial"/>
      <family val="2"/>
    </font>
    <font>
      <sz val="10"/>
      <color indexed="30"/>
      <name val="Symbol"/>
      <family val="1"/>
      <charset val="2"/>
    </font>
    <font>
      <i/>
      <sz val="10"/>
      <color rgb="FF0070C0"/>
      <name val="Arial"/>
      <family val="2"/>
    </font>
    <font>
      <i/>
      <vertAlign val="subscript"/>
      <sz val="10"/>
      <color indexed="30"/>
      <name val="Arial"/>
      <family val="2"/>
    </font>
    <font>
      <i/>
      <sz val="10"/>
      <color indexed="30"/>
      <name val="Arial"/>
      <family val="2"/>
    </font>
    <font>
      <i/>
      <sz val="10"/>
      <color indexed="30"/>
      <name val="Symbol"/>
      <family val="1"/>
      <charset val="2"/>
    </font>
    <font>
      <b/>
      <sz val="10"/>
      <color rgb="FFFF0000"/>
      <name val="Arial"/>
      <family val="2"/>
    </font>
    <font>
      <b/>
      <shadow/>
      <sz val="10"/>
      <color rgb="FF000005"/>
      <name val="Arial"/>
      <family val="2"/>
    </font>
    <font>
      <sz val="10"/>
      <color theme="1"/>
      <name val="Arial"/>
      <family val="2"/>
    </font>
    <font>
      <vertAlign val="sub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rgb="FF0070C0"/>
      <name val="Arial"/>
      <family val="2"/>
    </font>
    <font>
      <b/>
      <vertAlign val="subscript"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8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name val="Arial"/>
      <family val="2"/>
    </font>
    <font>
      <b/>
      <sz val="10"/>
      <color theme="1"/>
      <name val="Var(--wd-entities-title-font)"/>
    </font>
    <font>
      <sz val="10"/>
      <color theme="1"/>
      <name val="Var(--wd-entities-title-font)"/>
    </font>
  </fonts>
  <fills count="16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0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224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2" fillId="2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7" fillId="0" borderId="12" xfId="0" applyFont="1" applyBorder="1" applyAlignment="1">
      <alignment horizontal="center" vertical="center"/>
    </xf>
    <xf numFmtId="165" fontId="7" fillId="0" borderId="12" xfId="0" applyNumberFormat="1" applyFont="1" applyBorder="1"/>
    <xf numFmtId="0" fontId="7" fillId="0" borderId="12" xfId="0" applyFont="1" applyBorder="1"/>
    <xf numFmtId="166" fontId="7" fillId="0" borderId="12" xfId="0" applyNumberFormat="1" applyFont="1" applyBorder="1"/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5" xfId="0" applyFont="1" applyBorder="1"/>
    <xf numFmtId="0" fontId="20" fillId="0" borderId="0" xfId="1"/>
    <xf numFmtId="0" fontId="20" fillId="0" borderId="0" xfId="1" applyAlignment="1">
      <alignment horizontal="left"/>
    </xf>
    <xf numFmtId="0" fontId="9" fillId="0" borderId="17" xfId="1" applyFont="1" applyBorder="1" applyAlignment="1">
      <alignment horizontal="right" vertical="center"/>
    </xf>
    <xf numFmtId="0" fontId="9" fillId="0" borderId="19" xfId="1" applyFont="1" applyBorder="1" applyAlignment="1">
      <alignment horizontal="left" vertical="center"/>
    </xf>
    <xf numFmtId="0" fontId="9" fillId="0" borderId="20" xfId="1" applyFont="1" applyBorder="1" applyAlignment="1">
      <alignment horizontal="right" vertical="center"/>
    </xf>
    <xf numFmtId="0" fontId="9" fillId="0" borderId="22" xfId="1" applyFont="1" applyBorder="1" applyAlignment="1">
      <alignment horizontal="left" vertical="center"/>
    </xf>
    <xf numFmtId="0" fontId="18" fillId="0" borderId="0" xfId="1" applyFont="1"/>
    <xf numFmtId="0" fontId="20" fillId="0" borderId="0" xfId="1" applyAlignment="1" applyProtection="1">
      <alignment horizontal="center" vertical="center"/>
      <protection locked="0"/>
    </xf>
    <xf numFmtId="0" fontId="20" fillId="0" borderId="0" xfId="1" applyAlignment="1">
      <alignment horizontal="right"/>
    </xf>
    <xf numFmtId="0" fontId="9" fillId="0" borderId="20" xfId="1" applyFont="1" applyBorder="1" applyAlignment="1">
      <alignment horizontal="right"/>
    </xf>
    <xf numFmtId="0" fontId="20" fillId="0" borderId="0" xfId="1" applyAlignment="1">
      <alignment horizontal="right" vertical="center"/>
    </xf>
    <xf numFmtId="0" fontId="20" fillId="0" borderId="0" xfId="1" applyAlignment="1">
      <alignment horizontal="center" vertical="center"/>
    </xf>
    <xf numFmtId="2" fontId="20" fillId="0" borderId="0" xfId="1" applyNumberFormat="1" applyAlignment="1">
      <alignment horizontal="center" vertical="center"/>
    </xf>
    <xf numFmtId="0" fontId="20" fillId="0" borderId="22" xfId="1" applyBorder="1" applyAlignment="1">
      <alignment horizontal="left"/>
    </xf>
    <xf numFmtId="0" fontId="14" fillId="0" borderId="20" xfId="1" applyFont="1" applyBorder="1" applyAlignment="1">
      <alignment horizontal="right"/>
    </xf>
    <xf numFmtId="0" fontId="9" fillId="0" borderId="22" xfId="1" applyFont="1" applyBorder="1" applyAlignment="1">
      <alignment horizontal="left"/>
    </xf>
    <xf numFmtId="0" fontId="9" fillId="0" borderId="0" xfId="1" applyFont="1" applyAlignment="1">
      <alignment horizontal="left" vertical="center"/>
    </xf>
    <xf numFmtId="0" fontId="9" fillId="0" borderId="0" xfId="1" applyFont="1"/>
    <xf numFmtId="0" fontId="14" fillId="0" borderId="23" xfId="1" applyFont="1" applyBorder="1" applyAlignment="1">
      <alignment horizontal="right"/>
    </xf>
    <xf numFmtId="0" fontId="9" fillId="0" borderId="25" xfId="1" applyFont="1" applyBorder="1" applyAlignment="1">
      <alignment horizontal="left"/>
    </xf>
    <xf numFmtId="0" fontId="9" fillId="5" borderId="1" xfId="1" applyFont="1" applyFill="1" applyBorder="1" applyAlignment="1">
      <alignment horizontal="right" vertical="center"/>
    </xf>
    <xf numFmtId="0" fontId="20" fillId="5" borderId="3" xfId="1" applyFill="1" applyBorder="1" applyAlignment="1">
      <alignment horizontal="left" vertical="center"/>
    </xf>
    <xf numFmtId="0" fontId="9" fillId="5" borderId="4" xfId="1" applyFont="1" applyFill="1" applyBorder="1" applyAlignment="1">
      <alignment horizontal="right" vertical="center"/>
    </xf>
    <xf numFmtId="0" fontId="20" fillId="5" borderId="5" xfId="1" applyFill="1" applyBorder="1" applyAlignment="1">
      <alignment horizontal="left"/>
    </xf>
    <xf numFmtId="0" fontId="9" fillId="6" borderId="1" xfId="1" applyFont="1" applyFill="1" applyBorder="1" applyAlignment="1">
      <alignment horizontal="right" vertical="center"/>
    </xf>
    <xf numFmtId="0" fontId="20" fillId="6" borderId="3" xfId="1" applyFill="1" applyBorder="1" applyAlignment="1">
      <alignment horizontal="left"/>
    </xf>
    <xf numFmtId="0" fontId="9" fillId="6" borderId="6" xfId="1" applyFont="1" applyFill="1" applyBorder="1" applyAlignment="1">
      <alignment horizontal="right" vertical="center"/>
    </xf>
    <xf numFmtId="0" fontId="20" fillId="6" borderId="8" xfId="1" applyFill="1" applyBorder="1" applyAlignment="1">
      <alignment horizontal="left"/>
    </xf>
    <xf numFmtId="0" fontId="9" fillId="7" borderId="9" xfId="1" applyFont="1" applyFill="1" applyBorder="1" applyAlignment="1">
      <alignment horizontal="right"/>
    </xf>
    <xf numFmtId="0" fontId="20" fillId="7" borderId="11" xfId="1" applyFill="1" applyBorder="1" applyAlignment="1">
      <alignment horizontal="left"/>
    </xf>
    <xf numFmtId="0" fontId="20" fillId="0" borderId="0" xfId="1" applyAlignment="1">
      <alignment horizontal="left" vertical="center"/>
    </xf>
    <xf numFmtId="0" fontId="20" fillId="0" borderId="4" xfId="1" applyBorder="1" applyAlignment="1">
      <alignment horizontal="right" vertical="center"/>
    </xf>
    <xf numFmtId="0" fontId="20" fillId="0" borderId="5" xfId="1" applyBorder="1" applyAlignment="1">
      <alignment horizontal="center" vertical="center"/>
    </xf>
    <xf numFmtId="0" fontId="5" fillId="6" borderId="1" xfId="1" applyFont="1" applyFill="1" applyBorder="1" applyAlignment="1">
      <alignment horizontal="right" vertical="center"/>
    </xf>
    <xf numFmtId="0" fontId="20" fillId="6" borderId="3" xfId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right" vertical="center"/>
    </xf>
    <xf numFmtId="166" fontId="5" fillId="6" borderId="7" xfId="1" applyNumberFormat="1" applyFont="1" applyFill="1" applyBorder="1" applyAlignment="1">
      <alignment horizontal="center" vertical="center"/>
    </xf>
    <xf numFmtId="0" fontId="20" fillId="6" borderId="8" xfId="1" applyFill="1" applyBorder="1" applyAlignment="1">
      <alignment horizontal="center" vertical="center"/>
    </xf>
    <xf numFmtId="0" fontId="24" fillId="6" borderId="16" xfId="1" applyFont="1" applyFill="1" applyBorder="1" applyAlignment="1">
      <alignment horizontal="center" vertical="center"/>
    </xf>
    <xf numFmtId="0" fontId="24" fillId="6" borderId="26" xfId="1" applyFont="1" applyFill="1" applyBorder="1" applyAlignment="1">
      <alignment horizontal="center" vertical="center"/>
    </xf>
    <xf numFmtId="2" fontId="24" fillId="6" borderId="26" xfId="1" applyNumberFormat="1" applyFont="1" applyFill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6" fontId="20" fillId="0" borderId="0" xfId="1" applyNumberFormat="1" applyAlignment="1">
      <alignment horizontal="center" vertical="center"/>
    </xf>
    <xf numFmtId="167" fontId="20" fillId="0" borderId="0" xfId="1" applyNumberFormat="1" applyAlignment="1">
      <alignment horizontal="center" vertical="center"/>
    </xf>
    <xf numFmtId="165" fontId="20" fillId="0" borderId="0" xfId="1" applyNumberFormat="1" applyAlignment="1">
      <alignment horizontal="center" vertical="center"/>
    </xf>
    <xf numFmtId="0" fontId="20" fillId="9" borderId="4" xfId="1" applyFill="1" applyBorder="1" applyAlignment="1">
      <alignment horizontal="center" vertical="center"/>
    </xf>
    <xf numFmtId="0" fontId="20" fillId="9" borderId="0" xfId="1" applyFill="1" applyAlignment="1">
      <alignment horizontal="center" vertical="center"/>
    </xf>
    <xf numFmtId="0" fontId="20" fillId="9" borderId="5" xfId="1" applyFill="1" applyBorder="1" applyAlignment="1">
      <alignment horizontal="center" vertical="center"/>
    </xf>
    <xf numFmtId="0" fontId="20" fillId="9" borderId="6" xfId="1" applyFill="1" applyBorder="1" applyAlignment="1">
      <alignment horizontal="center" vertical="center"/>
    </xf>
    <xf numFmtId="0" fontId="20" fillId="9" borderId="8" xfId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right" vertical="center"/>
    </xf>
    <xf numFmtId="0" fontId="20" fillId="10" borderId="2" xfId="1" applyFill="1" applyBorder="1" applyAlignment="1">
      <alignment horizontal="center" vertical="center"/>
    </xf>
    <xf numFmtId="0" fontId="20" fillId="10" borderId="2" xfId="1" applyFill="1" applyBorder="1" applyAlignment="1">
      <alignment horizontal="left" vertical="center"/>
    </xf>
    <xf numFmtId="0" fontId="20" fillId="10" borderId="3" xfId="1" applyFill="1" applyBorder="1" applyAlignment="1">
      <alignment horizontal="center" vertical="center"/>
    </xf>
    <xf numFmtId="0" fontId="5" fillId="10" borderId="4" xfId="1" applyFont="1" applyFill="1" applyBorder="1" applyAlignment="1">
      <alignment horizontal="right" vertical="center"/>
    </xf>
    <xf numFmtId="0" fontId="20" fillId="10" borderId="0" xfId="1" applyFill="1" applyAlignment="1">
      <alignment horizontal="center" vertical="center"/>
    </xf>
    <xf numFmtId="0" fontId="20" fillId="10" borderId="0" xfId="1" applyFill="1" applyAlignment="1">
      <alignment horizontal="left" vertical="center"/>
    </xf>
    <xf numFmtId="0" fontId="20" fillId="10" borderId="5" xfId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right" vertical="center"/>
    </xf>
    <xf numFmtId="0" fontId="20" fillId="10" borderId="7" xfId="1" applyFill="1" applyBorder="1" applyAlignment="1">
      <alignment horizontal="left" vertical="center"/>
    </xf>
    <xf numFmtId="0" fontId="20" fillId="10" borderId="7" xfId="1" applyFill="1" applyBorder="1" applyAlignment="1">
      <alignment horizontal="center" vertical="center"/>
    </xf>
    <xf numFmtId="0" fontId="20" fillId="10" borderId="8" xfId="1" applyFill="1" applyBorder="1" applyAlignment="1">
      <alignment horizontal="center" vertical="center"/>
    </xf>
    <xf numFmtId="0" fontId="20" fillId="10" borderId="9" xfId="1" applyFill="1" applyBorder="1" applyAlignment="1">
      <alignment horizontal="right"/>
    </xf>
    <xf numFmtId="0" fontId="20" fillId="10" borderId="1" xfId="1" applyFill="1" applyBorder="1" applyAlignment="1">
      <alignment horizontal="right" vertical="center"/>
    </xf>
    <xf numFmtId="0" fontId="20" fillId="10" borderId="6" xfId="1" applyFill="1" applyBorder="1" applyAlignment="1">
      <alignment horizontal="right" vertical="center"/>
    </xf>
    <xf numFmtId="0" fontId="27" fillId="11" borderId="0" xfId="1" applyFont="1" applyFill="1" applyAlignment="1">
      <alignment horizontal="right" vertical="center"/>
    </xf>
    <xf numFmtId="0" fontId="27" fillId="11" borderId="0" xfId="1" applyFont="1" applyFill="1" applyAlignment="1">
      <alignment horizontal="center" vertical="center"/>
    </xf>
    <xf numFmtId="0" fontId="20" fillId="3" borderId="0" xfId="1" applyFill="1" applyAlignment="1">
      <alignment horizontal="center" vertical="center"/>
    </xf>
    <xf numFmtId="165" fontId="20" fillId="10" borderId="0" xfId="1" applyNumberFormat="1" applyFill="1" applyAlignment="1">
      <alignment horizontal="center" vertical="center"/>
    </xf>
    <xf numFmtId="168" fontId="20" fillId="10" borderId="7" xfId="1" applyNumberFormat="1" applyFill="1" applyBorder="1" applyAlignment="1">
      <alignment horizontal="center" vertical="center"/>
    </xf>
    <xf numFmtId="168" fontId="20" fillId="0" borderId="0" xfId="1" applyNumberFormat="1" applyAlignment="1">
      <alignment horizontal="center" vertical="center"/>
    </xf>
    <xf numFmtId="167" fontId="20" fillId="10" borderId="2" xfId="1" applyNumberFormat="1" applyFill="1" applyBorder="1" applyAlignment="1">
      <alignment horizontal="center" vertical="center"/>
    </xf>
    <xf numFmtId="43" fontId="0" fillId="0" borderId="0" xfId="2" applyFont="1" applyBorder="1"/>
    <xf numFmtId="2" fontId="0" fillId="0" borderId="0" xfId="0" applyNumberFormat="1"/>
    <xf numFmtId="169" fontId="0" fillId="0" borderId="0" xfId="2" applyNumberFormat="1" applyFont="1" applyBorder="1"/>
    <xf numFmtId="169" fontId="0" fillId="0" borderId="0" xfId="0" applyNumberFormat="1"/>
    <xf numFmtId="0" fontId="0" fillId="12" borderId="0" xfId="0" applyFill="1"/>
    <xf numFmtId="0" fontId="29" fillId="0" borderId="5" xfId="3" applyBorder="1" applyAlignment="1">
      <alignment wrapText="1"/>
    </xf>
    <xf numFmtId="0" fontId="30" fillId="0" borderId="10" xfId="0" applyFont="1" applyBorder="1"/>
    <xf numFmtId="0" fontId="30" fillId="0" borderId="4" xfId="0" applyFont="1" applyBorder="1"/>
    <xf numFmtId="0" fontId="30" fillId="0" borderId="0" xfId="0" applyFont="1"/>
    <xf numFmtId="0" fontId="30" fillId="0" borderId="6" xfId="0" applyFont="1" applyBorder="1"/>
    <xf numFmtId="0" fontId="30" fillId="0" borderId="7" xfId="0" applyFont="1" applyBorder="1"/>
    <xf numFmtId="0" fontId="9" fillId="12" borderId="21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9" fillId="12" borderId="0" xfId="1" applyFont="1" applyFill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165" fontId="5" fillId="6" borderId="2" xfId="1" applyNumberFormat="1" applyFont="1" applyFill="1" applyBorder="1" applyAlignment="1">
      <alignment horizontal="center" vertical="center"/>
    </xf>
    <xf numFmtId="167" fontId="20" fillId="10" borderId="7" xfId="1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29" fillId="0" borderId="0" xfId="3" applyBorder="1"/>
    <xf numFmtId="0" fontId="0" fillId="3" borderId="0" xfId="0" applyFill="1"/>
    <xf numFmtId="2" fontId="0" fillId="3" borderId="7" xfId="0" applyNumberFormat="1" applyFill="1" applyBorder="1"/>
    <xf numFmtId="167" fontId="0" fillId="3" borderId="11" xfId="0" applyNumberFormat="1" applyFill="1" applyBorder="1" applyAlignment="1">
      <alignment horizontal="center"/>
    </xf>
    <xf numFmtId="167" fontId="0" fillId="3" borderId="0" xfId="0" applyNumberFormat="1" applyFill="1"/>
    <xf numFmtId="2" fontId="0" fillId="3" borderId="0" xfId="0" applyNumberFormat="1" applyFill="1"/>
    <xf numFmtId="0" fontId="30" fillId="0" borderId="16" xfId="0" applyFont="1" applyBorder="1"/>
    <xf numFmtId="0" fontId="30" fillId="0" borderId="26" xfId="0" applyFont="1" applyBorder="1"/>
    <xf numFmtId="0" fontId="30" fillId="0" borderId="13" xfId="0" applyFont="1" applyBorder="1"/>
    <xf numFmtId="1" fontId="0" fillId="0" borderId="0" xfId="0" applyNumberFormat="1"/>
    <xf numFmtId="0" fontId="32" fillId="0" borderId="0" xfId="0" applyFont="1"/>
    <xf numFmtId="0" fontId="33" fillId="0" borderId="0" xfId="0" applyFont="1"/>
    <xf numFmtId="0" fontId="5" fillId="0" borderId="12" xfId="1" applyFont="1" applyBorder="1" applyAlignment="1">
      <alignment horizontal="center" vertical="center"/>
    </xf>
    <xf numFmtId="0" fontId="20" fillId="0" borderId="12" xfId="1" applyBorder="1" applyAlignment="1">
      <alignment horizontal="center" vertical="center"/>
    </xf>
    <xf numFmtId="0" fontId="32" fillId="0" borderId="12" xfId="0" applyFont="1" applyBorder="1" applyAlignment="1">
      <alignment horizontal="center"/>
    </xf>
    <xf numFmtId="2" fontId="0" fillId="0" borderId="7" xfId="0" applyNumberFormat="1" applyBorder="1"/>
    <xf numFmtId="165" fontId="0" fillId="3" borderId="0" xfId="0" applyNumberFormat="1" applyFill="1"/>
    <xf numFmtId="166" fontId="0" fillId="12" borderId="0" xfId="0" applyNumberFormat="1" applyFill="1"/>
    <xf numFmtId="1" fontId="0" fillId="3" borderId="0" xfId="0" applyNumberFormat="1" applyFill="1"/>
    <xf numFmtId="1" fontId="9" fillId="12" borderId="21" xfId="1" applyNumberFormat="1" applyFont="1" applyFill="1" applyBorder="1" applyAlignment="1">
      <alignment horizontal="center" vertical="center"/>
    </xf>
    <xf numFmtId="167" fontId="20" fillId="0" borderId="12" xfId="1" applyNumberFormat="1" applyBorder="1" applyAlignment="1">
      <alignment horizontal="center" vertical="center"/>
    </xf>
    <xf numFmtId="2" fontId="20" fillId="0" borderId="12" xfId="1" applyNumberFormat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30" fillId="0" borderId="3" xfId="0" applyNumberFormat="1" applyFont="1" applyBorder="1"/>
    <xf numFmtId="2" fontId="30" fillId="0" borderId="5" xfId="0" applyNumberFormat="1" applyFont="1" applyBorder="1"/>
    <xf numFmtId="2" fontId="30" fillId="0" borderId="8" xfId="0" applyNumberFormat="1" applyFont="1" applyBorder="1"/>
    <xf numFmtId="2" fontId="30" fillId="0" borderId="9" xfId="0" applyNumberFormat="1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12" borderId="7" xfId="0" applyFill="1" applyBorder="1"/>
    <xf numFmtId="2" fontId="20" fillId="10" borderId="2" xfId="1" applyNumberFormat="1" applyFill="1" applyBorder="1" applyAlignment="1">
      <alignment horizontal="center" vertical="center"/>
    </xf>
    <xf numFmtId="0" fontId="29" fillId="0" borderId="0" xfId="3"/>
    <xf numFmtId="11" fontId="20" fillId="0" borderId="0" xfId="1" applyNumberFormat="1" applyAlignment="1">
      <alignment horizontal="center" vertical="center"/>
    </xf>
    <xf numFmtId="0" fontId="0" fillId="14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 wrapText="1"/>
    </xf>
    <xf numFmtId="0" fontId="0" fillId="13" borderId="0" xfId="0" applyFill="1"/>
    <xf numFmtId="0" fontId="37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vertical="center" wrapText="1"/>
    </xf>
    <xf numFmtId="0" fontId="37" fillId="0" borderId="4" xfId="0" applyFont="1" applyBorder="1" applyAlignment="1">
      <alignment wrapText="1"/>
    </xf>
    <xf numFmtId="0" fontId="36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39" fillId="0" borderId="6" xfId="0" applyFont="1" applyBorder="1" applyAlignment="1">
      <alignment horizontal="left" vertical="center" wrapText="1"/>
    </xf>
    <xf numFmtId="0" fontId="0" fillId="14" borderId="7" xfId="0" applyFill="1" applyBorder="1"/>
    <xf numFmtId="2" fontId="0" fillId="14" borderId="7" xfId="0" applyNumberFormat="1" applyFill="1" applyBorder="1"/>
    <xf numFmtId="2" fontId="20" fillId="10" borderId="11" xfId="1" applyNumberFormat="1" applyFill="1" applyBorder="1" applyAlignment="1" applyProtection="1">
      <alignment horizontal="center" vertical="center"/>
      <protection locked="0"/>
    </xf>
    <xf numFmtId="11" fontId="0" fillId="0" borderId="16" xfId="0" applyNumberFormat="1" applyBorder="1"/>
    <xf numFmtId="11" fontId="0" fillId="0" borderId="26" xfId="0" applyNumberFormat="1" applyBorder="1"/>
    <xf numFmtId="11" fontId="0" fillId="0" borderId="0" xfId="0" applyNumberFormat="1"/>
    <xf numFmtId="0" fontId="4" fillId="15" borderId="12" xfId="0" applyFont="1" applyFill="1" applyBorder="1" applyAlignment="1">
      <alignment horizontal="center" vertical="center"/>
    </xf>
    <xf numFmtId="167" fontId="4" fillId="3" borderId="12" xfId="0" applyNumberFormat="1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9" fillId="3" borderId="18" xfId="1" applyFont="1" applyFill="1" applyBorder="1" applyAlignment="1">
      <alignment horizontal="center" vertical="center"/>
    </xf>
    <xf numFmtId="167" fontId="9" fillId="3" borderId="2" xfId="1" applyNumberFormat="1" applyFont="1" applyFill="1" applyBorder="1" applyAlignment="1">
      <alignment horizontal="center" vertical="center"/>
    </xf>
    <xf numFmtId="167" fontId="9" fillId="3" borderId="7" xfId="1" applyNumberFormat="1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0" fontId="9" fillId="12" borderId="24" xfId="1" applyFont="1" applyFill="1" applyBorder="1" applyAlignment="1">
      <alignment horizontal="center" vertical="center"/>
    </xf>
    <xf numFmtId="0" fontId="4" fillId="3" borderId="0" xfId="0" applyFont="1" applyFill="1"/>
    <xf numFmtId="2" fontId="0" fillId="3" borderId="10" xfId="0" applyNumberFormat="1" applyFill="1" applyBorder="1"/>
    <xf numFmtId="0" fontId="0" fillId="12" borderId="3" xfId="0" applyFill="1" applyBorder="1"/>
    <xf numFmtId="0" fontId="0" fillId="12" borderId="5" xfId="0" applyFill="1" applyBorder="1"/>
    <xf numFmtId="165" fontId="0" fillId="3" borderId="8" xfId="0" applyNumberFormat="1" applyFill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8" borderId="9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11" xfId="1" applyFont="1" applyFill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Normal 2" xfId="1" xr:uid="{72254188-9BB2-4235-B3C0-193DC707CFBF}"/>
  </cellStyles>
  <dxfs count="0"/>
  <tableStyles count="0" defaultTableStyle="TableStyleMedium2" defaultPivotStyle="PivotStyleLight16"/>
  <colors>
    <mruColors>
      <color rgb="FF00FFFF"/>
      <color rgb="FF66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8092984163495"/>
          <c:y val="3.3639143730886847E-2"/>
          <c:w val="0.66115540859358868"/>
          <c:h val="0.83057092634062946"/>
        </c:manualLayout>
      </c:layout>
      <c:scatterChart>
        <c:scatterStyle val="smoothMarker"/>
        <c:varyColors val="0"/>
        <c:ser>
          <c:idx val="0"/>
          <c:order val="0"/>
          <c:tx>
            <c:v>Estimated 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'Aircraft Sizing'!$A$44:$A$74</c:f>
              <c:numCache>
                <c:formatCode>#,##0.0000</c:formatCode>
                <c:ptCount val="31"/>
                <c:pt idx="0">
                  <c:v>2</c:v>
                </c:pt>
                <c:pt idx="1">
                  <c:v>2.2666666666666666</c:v>
                </c:pt>
                <c:pt idx="2">
                  <c:v>2.5333333333333332</c:v>
                </c:pt>
                <c:pt idx="3">
                  <c:v>2.8</c:v>
                </c:pt>
                <c:pt idx="4">
                  <c:v>3.0666666666666664</c:v>
                </c:pt>
                <c:pt idx="5">
                  <c:v>3.333333333333333</c:v>
                </c:pt>
                <c:pt idx="6">
                  <c:v>3.5999999999999996</c:v>
                </c:pt>
                <c:pt idx="7">
                  <c:v>3.8666666666666663</c:v>
                </c:pt>
                <c:pt idx="8">
                  <c:v>4.1333333333333329</c:v>
                </c:pt>
                <c:pt idx="9">
                  <c:v>4.3999999999999995</c:v>
                </c:pt>
                <c:pt idx="10">
                  <c:v>4.6666666666666661</c:v>
                </c:pt>
                <c:pt idx="11">
                  <c:v>4.9333333333333327</c:v>
                </c:pt>
                <c:pt idx="12">
                  <c:v>5.1999999999999993</c:v>
                </c:pt>
                <c:pt idx="13">
                  <c:v>5.4666666666666659</c:v>
                </c:pt>
                <c:pt idx="14">
                  <c:v>5.7333333333333325</c:v>
                </c:pt>
                <c:pt idx="15">
                  <c:v>5.9999999999999991</c:v>
                </c:pt>
                <c:pt idx="16">
                  <c:v>6.2666666666666657</c:v>
                </c:pt>
                <c:pt idx="17">
                  <c:v>6.5333333333333323</c:v>
                </c:pt>
                <c:pt idx="18">
                  <c:v>6.7999999999999989</c:v>
                </c:pt>
                <c:pt idx="19">
                  <c:v>7.0666666666666655</c:v>
                </c:pt>
                <c:pt idx="20">
                  <c:v>7.3333333333333321</c:v>
                </c:pt>
                <c:pt idx="21">
                  <c:v>7.5999999999999988</c:v>
                </c:pt>
                <c:pt idx="22">
                  <c:v>7.8666666666666654</c:v>
                </c:pt>
                <c:pt idx="23">
                  <c:v>8.1333333333333329</c:v>
                </c:pt>
                <c:pt idx="24">
                  <c:v>8.4</c:v>
                </c:pt>
                <c:pt idx="25">
                  <c:v>8.6666666666666679</c:v>
                </c:pt>
                <c:pt idx="26">
                  <c:v>8.9333333333333353</c:v>
                </c:pt>
                <c:pt idx="27">
                  <c:v>9.2000000000000028</c:v>
                </c:pt>
                <c:pt idx="28">
                  <c:v>9.4666666666666703</c:v>
                </c:pt>
                <c:pt idx="29">
                  <c:v>9.7333333333333378</c:v>
                </c:pt>
                <c:pt idx="30">
                  <c:v>10.000000000000005</c:v>
                </c:pt>
              </c:numCache>
            </c:numRef>
          </c:xVal>
          <c:yVal>
            <c:numRef>
              <c:f>'Aircraft Sizing'!$A$44:$A$74</c:f>
              <c:numCache>
                <c:formatCode>#,##0.0000</c:formatCode>
                <c:ptCount val="31"/>
                <c:pt idx="0">
                  <c:v>2</c:v>
                </c:pt>
                <c:pt idx="1">
                  <c:v>2.2666666666666666</c:v>
                </c:pt>
                <c:pt idx="2">
                  <c:v>2.5333333333333332</c:v>
                </c:pt>
                <c:pt idx="3">
                  <c:v>2.8</c:v>
                </c:pt>
                <c:pt idx="4">
                  <c:v>3.0666666666666664</c:v>
                </c:pt>
                <c:pt idx="5">
                  <c:v>3.333333333333333</c:v>
                </c:pt>
                <c:pt idx="6">
                  <c:v>3.5999999999999996</c:v>
                </c:pt>
                <c:pt idx="7">
                  <c:v>3.8666666666666663</c:v>
                </c:pt>
                <c:pt idx="8">
                  <c:v>4.1333333333333329</c:v>
                </c:pt>
                <c:pt idx="9">
                  <c:v>4.3999999999999995</c:v>
                </c:pt>
                <c:pt idx="10">
                  <c:v>4.6666666666666661</c:v>
                </c:pt>
                <c:pt idx="11">
                  <c:v>4.9333333333333327</c:v>
                </c:pt>
                <c:pt idx="12">
                  <c:v>5.1999999999999993</c:v>
                </c:pt>
                <c:pt idx="13">
                  <c:v>5.4666666666666659</c:v>
                </c:pt>
                <c:pt idx="14">
                  <c:v>5.7333333333333325</c:v>
                </c:pt>
                <c:pt idx="15">
                  <c:v>5.9999999999999991</c:v>
                </c:pt>
                <c:pt idx="16">
                  <c:v>6.2666666666666657</c:v>
                </c:pt>
                <c:pt idx="17">
                  <c:v>6.5333333333333323</c:v>
                </c:pt>
                <c:pt idx="18">
                  <c:v>6.7999999999999989</c:v>
                </c:pt>
                <c:pt idx="19">
                  <c:v>7.0666666666666655</c:v>
                </c:pt>
                <c:pt idx="20">
                  <c:v>7.3333333333333321</c:v>
                </c:pt>
                <c:pt idx="21">
                  <c:v>7.5999999999999988</c:v>
                </c:pt>
                <c:pt idx="22">
                  <c:v>7.8666666666666654</c:v>
                </c:pt>
                <c:pt idx="23">
                  <c:v>8.1333333333333329</c:v>
                </c:pt>
                <c:pt idx="24">
                  <c:v>8.4</c:v>
                </c:pt>
                <c:pt idx="25">
                  <c:v>8.6666666666666679</c:v>
                </c:pt>
                <c:pt idx="26">
                  <c:v>8.9333333333333353</c:v>
                </c:pt>
                <c:pt idx="27">
                  <c:v>9.2000000000000028</c:v>
                </c:pt>
                <c:pt idx="28">
                  <c:v>9.4666666666666703</c:v>
                </c:pt>
                <c:pt idx="29">
                  <c:v>9.7333333333333378</c:v>
                </c:pt>
                <c:pt idx="30">
                  <c:v>10.000000000000005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3-4D58-9D79-47BA67E356A2}"/>
            </c:ext>
          </c:extLst>
        </c:ser>
        <c:ser>
          <c:idx val="1"/>
          <c:order val="1"/>
          <c:tx>
            <c:v>Calculated 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'Aircraft Sizing'!$A$44:$A$74</c:f>
              <c:numCache>
                <c:formatCode>#,##0.0000</c:formatCode>
                <c:ptCount val="31"/>
                <c:pt idx="0">
                  <c:v>2</c:v>
                </c:pt>
                <c:pt idx="1">
                  <c:v>2.2666666666666666</c:v>
                </c:pt>
                <c:pt idx="2">
                  <c:v>2.5333333333333332</c:v>
                </c:pt>
                <c:pt idx="3">
                  <c:v>2.8</c:v>
                </c:pt>
                <c:pt idx="4">
                  <c:v>3.0666666666666664</c:v>
                </c:pt>
                <c:pt idx="5">
                  <c:v>3.333333333333333</c:v>
                </c:pt>
                <c:pt idx="6">
                  <c:v>3.5999999999999996</c:v>
                </c:pt>
                <c:pt idx="7">
                  <c:v>3.8666666666666663</c:v>
                </c:pt>
                <c:pt idx="8">
                  <c:v>4.1333333333333329</c:v>
                </c:pt>
                <c:pt idx="9">
                  <c:v>4.3999999999999995</c:v>
                </c:pt>
                <c:pt idx="10">
                  <c:v>4.6666666666666661</c:v>
                </c:pt>
                <c:pt idx="11">
                  <c:v>4.9333333333333327</c:v>
                </c:pt>
                <c:pt idx="12">
                  <c:v>5.1999999999999993</c:v>
                </c:pt>
                <c:pt idx="13">
                  <c:v>5.4666666666666659</c:v>
                </c:pt>
                <c:pt idx="14">
                  <c:v>5.7333333333333325</c:v>
                </c:pt>
                <c:pt idx="15">
                  <c:v>5.9999999999999991</c:v>
                </c:pt>
                <c:pt idx="16">
                  <c:v>6.2666666666666657</c:v>
                </c:pt>
                <c:pt idx="17">
                  <c:v>6.5333333333333323</c:v>
                </c:pt>
                <c:pt idx="18">
                  <c:v>6.7999999999999989</c:v>
                </c:pt>
                <c:pt idx="19">
                  <c:v>7.0666666666666655</c:v>
                </c:pt>
                <c:pt idx="20">
                  <c:v>7.3333333333333321</c:v>
                </c:pt>
                <c:pt idx="21">
                  <c:v>7.5999999999999988</c:v>
                </c:pt>
                <c:pt idx="22">
                  <c:v>7.8666666666666654</c:v>
                </c:pt>
                <c:pt idx="23">
                  <c:v>8.1333333333333329</c:v>
                </c:pt>
                <c:pt idx="24">
                  <c:v>8.4</c:v>
                </c:pt>
                <c:pt idx="25">
                  <c:v>8.6666666666666679</c:v>
                </c:pt>
                <c:pt idx="26">
                  <c:v>8.9333333333333353</c:v>
                </c:pt>
                <c:pt idx="27">
                  <c:v>9.2000000000000028</c:v>
                </c:pt>
                <c:pt idx="28">
                  <c:v>9.4666666666666703</c:v>
                </c:pt>
                <c:pt idx="29">
                  <c:v>9.7333333333333378</c:v>
                </c:pt>
                <c:pt idx="30">
                  <c:v>10.000000000000005</c:v>
                </c:pt>
              </c:numCache>
            </c:numRef>
          </c:xVal>
          <c:yVal>
            <c:numRef>
              <c:f>'Aircraft Sizing'!$E$44:$E$74</c:f>
              <c:numCache>
                <c:formatCode>0.0000</c:formatCode>
                <c:ptCount val="31"/>
                <c:pt idx="0">
                  <c:v>6.8216903761013041</c:v>
                </c:pt>
                <c:pt idx="1">
                  <c:v>6.7148381943630886</c:v>
                </c:pt>
                <c:pt idx="2">
                  <c:v>6.6233188863034851</c:v>
                </c:pt>
                <c:pt idx="3">
                  <c:v>6.5435918276084211</c:v>
                </c:pt>
                <c:pt idx="4">
                  <c:v>6.473184137709465</c:v>
                </c:pt>
                <c:pt idx="5">
                  <c:v>6.4103061236346583</c:v>
                </c:pt>
                <c:pt idx="6">
                  <c:v>6.3536242418597917</c:v>
                </c:pt>
                <c:pt idx="7">
                  <c:v>6.3021203897583389</c:v>
                </c:pt>
                <c:pt idx="8">
                  <c:v>6.2550011203061864</c:v>
                </c:pt>
                <c:pt idx="9">
                  <c:v>6.2116370466143387</c:v>
                </c:pt>
                <c:pt idx="10">
                  <c:v>6.1715212070933978</c:v>
                </c:pt>
                <c:pt idx="11">
                  <c:v>6.1342397317881092</c:v>
                </c:pt>
                <c:pt idx="12">
                  <c:v>6.0994507174932169</c:v>
                </c:pt>
                <c:pt idx="13">
                  <c:v>6.0668687177060896</c:v>
                </c:pt>
                <c:pt idx="14">
                  <c:v>6.0362531579093437</c:v>
                </c:pt>
                <c:pt idx="15">
                  <c:v>6.0073995489141421</c:v>
                </c:pt>
                <c:pt idx="16">
                  <c:v>5.9801327297760096</c:v>
                </c:pt>
                <c:pt idx="17">
                  <c:v>5.9543016061659024</c:v>
                </c:pt>
                <c:pt idx="18">
                  <c:v>5.9297750064387156</c:v>
                </c:pt>
                <c:pt idx="19">
                  <c:v>5.9064383839621506</c:v>
                </c:pt>
                <c:pt idx="20">
                  <c:v>5.8841911678277405</c:v>
                </c:pt>
                <c:pt idx="21">
                  <c:v>5.8629446157695355</c:v>
                </c:pt>
                <c:pt idx="22">
                  <c:v>5.8426200599889802</c:v>
                </c:pt>
                <c:pt idx="23">
                  <c:v>5.8231474632343856</c:v>
                </c:pt>
                <c:pt idx="24">
                  <c:v>5.8044642219833102</c:v>
                </c:pt>
                <c:pt idx="25">
                  <c:v>5.786514168008515</c:v>
                </c:pt>
                <c:pt idx="26">
                  <c:v>5.7692467304036645</c:v>
                </c:pt>
                <c:pt idx="27">
                  <c:v>5.752616228300389</c:v>
                </c:pt>
                <c:pt idx="28">
                  <c:v>5.7365812707264654</c:v>
                </c:pt>
                <c:pt idx="29">
                  <c:v>5.7211042448370684</c:v>
                </c:pt>
                <c:pt idx="30">
                  <c:v>5.7061508774586622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3-4D58-9D79-47BA67E356A2}"/>
            </c:ext>
          </c:extLst>
        </c:ser>
        <c:ser>
          <c:idx val="2"/>
          <c:order val="2"/>
          <c:tx>
            <c:strRef>
              <c:f>'Aircraft Sizing'!$D$37</c:f>
              <c:strCache>
                <c:ptCount val="1"/>
                <c:pt idx="0">
                  <c:v>Intercept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0A-4894-893F-E30FB18DD073}"/>
              </c:ext>
            </c:extLst>
          </c:dPt>
          <c:xVal>
            <c:numRef>
              <c:f>'Aircraft Sizing'!$E$37</c:f>
              <c:numCache>
                <c:formatCode>0.00</c:formatCode>
                <c:ptCount val="1"/>
                <c:pt idx="0">
                  <c:v>6.0635497363392048</c:v>
                </c:pt>
              </c:numCache>
            </c:numRef>
          </c:xVal>
          <c:yVal>
            <c:numRef>
              <c:f>'Aircraft Sizing'!$E$37</c:f>
              <c:numCache>
                <c:formatCode>0.00</c:formatCode>
                <c:ptCount val="1"/>
                <c:pt idx="0">
                  <c:v>6.0635497363392048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A-4894-893F-E30FB18D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38511"/>
        <c:axId val="1893619279"/>
      </c:scatterChart>
      <c:valAx>
        <c:axId val="17967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 Weight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19279"/>
        <c:crosses val="autoZero"/>
        <c:crossBetween val="midCat"/>
      </c:valAx>
      <c:valAx>
        <c:axId val="18936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</a:t>
                </a:r>
                <a:r>
                  <a:rPr lang="en-GB" baseline="0"/>
                  <a:t> Weight Kg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4544826633514"/>
          <c:y val="0.33524428712465987"/>
          <c:w val="0.15800584824215855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(Constraint_Diagram!$O$63,Constraint_Diagram!$O$61,Constraint_Diagram!$O$61,Constraint_Diagram!$O$63)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2.9</c:v>
                </c:pt>
                <c:pt idx="2">
                  <c:v>2.9</c:v>
                </c:pt>
                <c:pt idx="3" formatCode="General">
                  <c:v>0</c:v>
                </c:pt>
              </c:numCache>
            </c:numRef>
          </c:xVal>
          <c:yVal>
            <c:numRef>
              <c:f>(Constraint_Diagram!$O$63,Constraint_Diagram!$O$63,Constraint_Diagram!$O$62,Constraint_Diagram!$O$62)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0">
                  <c:v>0.48275862068965508</c:v>
                </c:pt>
                <c:pt idx="3" formatCode="0.000">
                  <c:v>0.48275862068965508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B-49A6-903C-E1BC5EEB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09935"/>
        <c:axId val="1"/>
      </c:scatterChart>
      <c:valAx>
        <c:axId val="209280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Wing Span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Wing Chord Length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809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Fixed Wing UAVs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563399402660868E-2"/>
                  <c:y val="-0.214284157876491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0.6169x</a:t>
                    </a:r>
                    <a:r>
                      <a:rPr lang="en-US" sz="1400" baseline="30000"/>
                      <a:t>-0.062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'Market Research'!$E$13:$E$29</c:f>
              <c:numCache>
                <c:formatCode>General</c:formatCode>
                <c:ptCount val="17"/>
                <c:pt idx="0">
                  <c:v>77</c:v>
                </c:pt>
                <c:pt idx="1">
                  <c:v>30</c:v>
                </c:pt>
                <c:pt idx="2">
                  <c:v>15</c:v>
                </c:pt>
                <c:pt idx="3">
                  <c:v>45</c:v>
                </c:pt>
                <c:pt idx="4">
                  <c:v>9</c:v>
                </c:pt>
                <c:pt idx="5">
                  <c:v>70</c:v>
                </c:pt>
                <c:pt idx="6">
                  <c:v>40</c:v>
                </c:pt>
                <c:pt idx="7">
                  <c:v>2.25</c:v>
                </c:pt>
                <c:pt idx="8">
                  <c:v>90</c:v>
                </c:pt>
                <c:pt idx="9">
                  <c:v>60</c:v>
                </c:pt>
                <c:pt idx="10">
                  <c:v>15</c:v>
                </c:pt>
                <c:pt idx="11">
                  <c:v>65</c:v>
                </c:pt>
                <c:pt idx="12">
                  <c:v>20</c:v>
                </c:pt>
                <c:pt idx="13">
                  <c:v>5</c:v>
                </c:pt>
                <c:pt idx="14">
                  <c:v>105</c:v>
                </c:pt>
                <c:pt idx="15">
                  <c:v>35</c:v>
                </c:pt>
                <c:pt idx="16">
                  <c:v>1.9</c:v>
                </c:pt>
              </c:numCache>
            </c:numRef>
          </c:xVal>
          <c:yVal>
            <c:numRef>
              <c:f>'Market Research'!$L$13:$L$29</c:f>
              <c:numCache>
                <c:formatCode>General</c:formatCode>
                <c:ptCount val="17"/>
                <c:pt idx="0">
                  <c:v>0.57142857142857151</c:v>
                </c:pt>
                <c:pt idx="1">
                  <c:v>0.51666666666666672</c:v>
                </c:pt>
                <c:pt idx="2">
                  <c:v>0.6333333333333333</c:v>
                </c:pt>
                <c:pt idx="3">
                  <c:v>0.55555555555555547</c:v>
                </c:pt>
                <c:pt idx="4">
                  <c:v>0.66666666666666663</c:v>
                </c:pt>
                <c:pt idx="5">
                  <c:v>0.2857142857142857</c:v>
                </c:pt>
                <c:pt idx="6">
                  <c:v>0.5</c:v>
                </c:pt>
                <c:pt idx="7">
                  <c:v>0.44444444444444442</c:v>
                </c:pt>
                <c:pt idx="8">
                  <c:v>0.33333333333333331</c:v>
                </c:pt>
                <c:pt idx="9">
                  <c:v>0.66666666666666674</c:v>
                </c:pt>
                <c:pt idx="10">
                  <c:v>0.6</c:v>
                </c:pt>
                <c:pt idx="11">
                  <c:v>0.38461538461538464</c:v>
                </c:pt>
                <c:pt idx="12">
                  <c:v>0.45</c:v>
                </c:pt>
                <c:pt idx="13">
                  <c:v>0.5</c:v>
                </c:pt>
                <c:pt idx="14">
                  <c:v>0.62857142857142867</c:v>
                </c:pt>
                <c:pt idx="15">
                  <c:v>0.51428571428571423</c:v>
                </c:pt>
                <c:pt idx="16">
                  <c:v>0.89473684210526316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8-4E19-AF4C-A04F13288168}"/>
            </c:ext>
          </c:extLst>
        </c:ser>
        <c:ser>
          <c:idx val="0"/>
          <c:order val="1"/>
          <c:tx>
            <c:v>Quadcopter/Fixed Wing 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724137931034483"/>
                  <c:y val="0.101558625926476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0.532x</a:t>
                    </a:r>
                    <a:r>
                      <a:rPr lang="en-US" sz="1200" baseline="30000"/>
                      <a:t>-0.048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('Market Research'!$E$3:$E$6,'Market Research'!$E$8)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4.5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('Market Research'!$L$3:$L$6,'Market Research'!$L$8)</c:f>
              <c:numCache>
                <c:formatCode>General</c:formatCode>
                <c:ptCount val="5"/>
                <c:pt idx="0">
                  <c:v>0.55999999999999994</c:v>
                </c:pt>
                <c:pt idx="1">
                  <c:v>0.5099999999999999</c:v>
                </c:pt>
                <c:pt idx="2">
                  <c:v>0.44444444444444442</c:v>
                </c:pt>
                <c:pt idx="3">
                  <c:v>0.45833333333333337</c:v>
                </c:pt>
                <c:pt idx="4">
                  <c:v>0.41666666666666669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8-48B4-A41C-4EA69F4B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01616"/>
        <c:axId val="1512605936"/>
      </c:scatterChart>
      <c:valAx>
        <c:axId val="15126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</a:t>
                </a:r>
                <a:r>
                  <a:rPr lang="en-GB" baseline="0"/>
                  <a:t>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5936"/>
        <c:crosses val="autoZero"/>
        <c:crossBetween val="midCat"/>
      </c:valAx>
      <c:valAx>
        <c:axId val="15126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Empty</a:t>
                </a:r>
                <a:r>
                  <a:rPr lang="en-GB" baseline="0"/>
                  <a:t> Weight Mass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15666062246951E-3"/>
                  <c:y val="0.36408681408681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Sizing'!$G$64:$G$83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'Aircraft Sizing'!$H$64:$H$83</c:f>
              <c:numCache>
                <c:formatCode>0.00</c:formatCode>
                <c:ptCount val="20"/>
                <c:pt idx="0">
                  <c:v>15.52</c:v>
                </c:pt>
                <c:pt idx="1">
                  <c:v>15.79</c:v>
                </c:pt>
                <c:pt idx="2">
                  <c:v>16.07</c:v>
                </c:pt>
                <c:pt idx="3">
                  <c:v>16.23</c:v>
                </c:pt>
                <c:pt idx="4">
                  <c:v>16.510000000000002</c:v>
                </c:pt>
                <c:pt idx="5">
                  <c:v>16.8</c:v>
                </c:pt>
                <c:pt idx="6">
                  <c:v>17.100000000000001</c:v>
                </c:pt>
                <c:pt idx="7">
                  <c:v>17.399999999999999</c:v>
                </c:pt>
                <c:pt idx="8">
                  <c:v>17.579999999999998</c:v>
                </c:pt>
                <c:pt idx="9">
                  <c:v>17.89</c:v>
                </c:pt>
                <c:pt idx="10">
                  <c:v>18.21</c:v>
                </c:pt>
                <c:pt idx="11">
                  <c:v>18.53</c:v>
                </c:pt>
                <c:pt idx="12">
                  <c:v>18.86</c:v>
                </c:pt>
                <c:pt idx="13">
                  <c:v>19.2</c:v>
                </c:pt>
                <c:pt idx="14">
                  <c:v>19.54</c:v>
                </c:pt>
                <c:pt idx="15">
                  <c:v>19.89</c:v>
                </c:pt>
                <c:pt idx="16">
                  <c:v>20.309999999999999</c:v>
                </c:pt>
                <c:pt idx="17">
                  <c:v>20.79</c:v>
                </c:pt>
                <c:pt idx="18">
                  <c:v>21.05</c:v>
                </c:pt>
                <c:pt idx="19">
                  <c:v>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9-4CCF-A084-2851DE74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302655"/>
        <c:axId val="944828879"/>
      </c:scatterChart>
      <c:valAx>
        <c:axId val="189530265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28879"/>
        <c:crosses val="autoZero"/>
        <c:crossBetween val="midCat"/>
      </c:valAx>
      <c:valAx>
        <c:axId val="944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</a:t>
                </a:r>
                <a:r>
                  <a:rPr lang="en-GB" baseline="0"/>
                  <a:t>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026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Endurance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5310384023124594E-2"/>
                  <c:y val="0.5345421730251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Sizing'!$I$64:$I$83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'Aircraft Sizing'!$J$64:$J$83</c:f>
              <c:numCache>
                <c:formatCode>0.00</c:formatCode>
                <c:ptCount val="20"/>
                <c:pt idx="0">
                  <c:v>15.65</c:v>
                </c:pt>
                <c:pt idx="1">
                  <c:v>15.79</c:v>
                </c:pt>
                <c:pt idx="2">
                  <c:v>16.2</c:v>
                </c:pt>
                <c:pt idx="3">
                  <c:v>16.36</c:v>
                </c:pt>
                <c:pt idx="4">
                  <c:v>16.52</c:v>
                </c:pt>
                <c:pt idx="5">
                  <c:v>16.93</c:v>
                </c:pt>
                <c:pt idx="6">
                  <c:v>17.11</c:v>
                </c:pt>
                <c:pt idx="7">
                  <c:v>17.53</c:v>
                </c:pt>
                <c:pt idx="8">
                  <c:v>17.71</c:v>
                </c:pt>
                <c:pt idx="9">
                  <c:v>18.149999999999999</c:v>
                </c:pt>
                <c:pt idx="10">
                  <c:v>18.34</c:v>
                </c:pt>
                <c:pt idx="11">
                  <c:v>18.79</c:v>
                </c:pt>
                <c:pt idx="12">
                  <c:v>19</c:v>
                </c:pt>
                <c:pt idx="13">
                  <c:v>19.45</c:v>
                </c:pt>
                <c:pt idx="14">
                  <c:v>19.68</c:v>
                </c:pt>
                <c:pt idx="15">
                  <c:v>20.149999999999999</c:v>
                </c:pt>
                <c:pt idx="16">
                  <c:v>20.39</c:v>
                </c:pt>
                <c:pt idx="17">
                  <c:v>20.87</c:v>
                </c:pt>
                <c:pt idx="18">
                  <c:v>21.14</c:v>
                </c:pt>
                <c:pt idx="19">
                  <c:v>21.64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3-4755-B531-0813B71F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Endurance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  <c:majorUnit val="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Payload vs Takeoff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Payload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0131233595800528E-3"/>
                  <c:y val="0.49678076609616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Sizing'!$K$64:$K$83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'Aircraft Sizing'!$L$64:$L$83</c:f>
              <c:numCache>
                <c:formatCode>General</c:formatCode>
                <c:ptCount val="20"/>
                <c:pt idx="0">
                  <c:v>4.28</c:v>
                </c:pt>
                <c:pt idx="1">
                  <c:v>7.01</c:v>
                </c:pt>
                <c:pt idx="2">
                  <c:v>9.7899999999999991</c:v>
                </c:pt>
                <c:pt idx="3">
                  <c:v>12.53</c:v>
                </c:pt>
                <c:pt idx="4">
                  <c:v>13.98</c:v>
                </c:pt>
                <c:pt idx="5">
                  <c:v>16.600000000000001</c:v>
                </c:pt>
                <c:pt idx="6">
                  <c:v>19.21</c:v>
                </c:pt>
                <c:pt idx="7">
                  <c:v>20.53</c:v>
                </c:pt>
                <c:pt idx="8">
                  <c:v>23.09</c:v>
                </c:pt>
                <c:pt idx="9">
                  <c:v>25.64</c:v>
                </c:pt>
                <c:pt idx="10">
                  <c:v>26.88</c:v>
                </c:pt>
                <c:pt idx="11">
                  <c:v>29.39</c:v>
                </c:pt>
                <c:pt idx="12">
                  <c:v>30.6</c:v>
                </c:pt>
                <c:pt idx="13">
                  <c:v>33.090000000000003</c:v>
                </c:pt>
                <c:pt idx="14">
                  <c:v>35.58</c:v>
                </c:pt>
                <c:pt idx="15">
                  <c:v>36.75</c:v>
                </c:pt>
                <c:pt idx="16">
                  <c:v>39.22</c:v>
                </c:pt>
                <c:pt idx="17">
                  <c:v>40.36</c:v>
                </c:pt>
                <c:pt idx="18">
                  <c:v>42.82</c:v>
                </c:pt>
                <c:pt idx="19">
                  <c:v>45.27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5-4D9A-8B99-A05C781980A8}"/>
            </c:ext>
          </c:extLst>
        </c:ser>
        <c:ser>
          <c:idx val="1"/>
          <c:order val="1"/>
          <c:tx>
            <c:v>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'Tradeoff Studies'!$F$40:$F$41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'Tradeoff Studies'!$G$40:$G$41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7-4241-B16B-233A75E80422}"/>
            </c:ext>
          </c:extLst>
        </c:ser>
        <c:ser>
          <c:idx val="2"/>
          <c:order val="2"/>
          <c:tx>
            <c:v>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'Tradeoff Studies'!$H$40:$H$41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'Tradeoff Studies'!$I$40:$I$41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7-4241-B16B-233A75E8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 vs Takeoff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 vs Takeoff Weight</c:v>
          </c:tx>
          <c:spPr>
            <a:ln w="2540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'Aircraft Sizing'!$O$64:$O$83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'Aircraft Sizing'!$P$64:$P$83</c:f>
              <c:numCache>
                <c:formatCode>0.00</c:formatCode>
                <c:ptCount val="20"/>
                <c:pt idx="0">
                  <c:v>20.88</c:v>
                </c:pt>
                <c:pt idx="1">
                  <c:v>18.32</c:v>
                </c:pt>
                <c:pt idx="2">
                  <c:v>17.52</c:v>
                </c:pt>
                <c:pt idx="3">
                  <c:v>16.989999999999998</c:v>
                </c:pt>
                <c:pt idx="4">
                  <c:v>16.809999999999999</c:v>
                </c:pt>
                <c:pt idx="5">
                  <c:v>16.43</c:v>
                </c:pt>
                <c:pt idx="6">
                  <c:v>16.34</c:v>
                </c:pt>
                <c:pt idx="7">
                  <c:v>16.27</c:v>
                </c:pt>
                <c:pt idx="8">
                  <c:v>16.21</c:v>
                </c:pt>
                <c:pt idx="9">
                  <c:v>16.16</c:v>
                </c:pt>
                <c:pt idx="10">
                  <c:v>15.83</c:v>
                </c:pt>
                <c:pt idx="11">
                  <c:v>15.78</c:v>
                </c:pt>
                <c:pt idx="12">
                  <c:v>15.73</c:v>
                </c:pt>
                <c:pt idx="13">
                  <c:v>15.69</c:v>
                </c:pt>
                <c:pt idx="14">
                  <c:v>15.66</c:v>
                </c:pt>
                <c:pt idx="15">
                  <c:v>15.64</c:v>
                </c:pt>
                <c:pt idx="16">
                  <c:v>15.62</c:v>
                </c:pt>
                <c:pt idx="17">
                  <c:v>15.6</c:v>
                </c:pt>
                <c:pt idx="18">
                  <c:v>15.58</c:v>
                </c:pt>
                <c:pt idx="19">
                  <c:v>15.57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0-4E27-871F-BDC01576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Aspect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  <c:majorUnit val="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Cruise Speed vs Takeoff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Cruise Speed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07712992931103E-2"/>
                  <c:y val="0.36403044362730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Sizing'!$M$64:$M$83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</c:numCache>
            </c:numRef>
          </c:xVal>
          <c:yVal>
            <c:numRef>
              <c:f>'Aircraft Sizing'!$N$64:$N$83</c:f>
              <c:numCache>
                <c:formatCode>General</c:formatCode>
                <c:ptCount val="20"/>
                <c:pt idx="0">
                  <c:v>15.57</c:v>
                </c:pt>
                <c:pt idx="1">
                  <c:v>15.62</c:v>
                </c:pt>
                <c:pt idx="2">
                  <c:v>15.64</c:v>
                </c:pt>
                <c:pt idx="3">
                  <c:v>15.69</c:v>
                </c:pt>
                <c:pt idx="4">
                  <c:v>15.71</c:v>
                </c:pt>
                <c:pt idx="5">
                  <c:v>15.76</c:v>
                </c:pt>
                <c:pt idx="6">
                  <c:v>15.78</c:v>
                </c:pt>
                <c:pt idx="7">
                  <c:v>15.83</c:v>
                </c:pt>
                <c:pt idx="8">
                  <c:v>15.85</c:v>
                </c:pt>
                <c:pt idx="9">
                  <c:v>15.9</c:v>
                </c:pt>
                <c:pt idx="10">
                  <c:v>15.92</c:v>
                </c:pt>
                <c:pt idx="11">
                  <c:v>15.97</c:v>
                </c:pt>
                <c:pt idx="12">
                  <c:v>16.02</c:v>
                </c:pt>
                <c:pt idx="13">
                  <c:v>16.04</c:v>
                </c:pt>
                <c:pt idx="14">
                  <c:v>16.09</c:v>
                </c:pt>
                <c:pt idx="15">
                  <c:v>16.11</c:v>
                </c:pt>
                <c:pt idx="16">
                  <c:v>16.16</c:v>
                </c:pt>
                <c:pt idx="17">
                  <c:v>16.18</c:v>
                </c:pt>
                <c:pt idx="18">
                  <c:v>16.23</c:v>
                </c:pt>
                <c:pt idx="19">
                  <c:v>16.25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E-4610-A3F4-42A1D994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Cruise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Espec vs Takeoff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'Aircraft Sizing'!$R$64:$R$83</c:f>
              <c:numCache>
                <c:formatCode>General</c:formatCode>
                <c:ptCount val="20"/>
                <c:pt idx="0">
                  <c:v>23.04</c:v>
                </c:pt>
                <c:pt idx="1">
                  <c:v>15.49</c:v>
                </c:pt>
                <c:pt idx="2">
                  <c:v>12.98</c:v>
                </c:pt>
                <c:pt idx="3">
                  <c:v>11.95</c:v>
                </c:pt>
                <c:pt idx="4">
                  <c:v>11.6</c:v>
                </c:pt>
                <c:pt idx="5">
                  <c:v>10.95</c:v>
                </c:pt>
                <c:pt idx="6">
                  <c:v>10.79</c:v>
                </c:pt>
                <c:pt idx="7">
                  <c:v>10.66</c:v>
                </c:pt>
                <c:pt idx="8">
                  <c:v>10.15</c:v>
                </c:pt>
                <c:pt idx="9">
                  <c:v>10.08</c:v>
                </c:pt>
                <c:pt idx="10">
                  <c:v>10.01</c:v>
                </c:pt>
                <c:pt idx="11">
                  <c:v>9.9600000000000009</c:v>
                </c:pt>
                <c:pt idx="12">
                  <c:v>9.92</c:v>
                </c:pt>
                <c:pt idx="13">
                  <c:v>9.89</c:v>
                </c:pt>
                <c:pt idx="14">
                  <c:v>9.85</c:v>
                </c:pt>
                <c:pt idx="15">
                  <c:v>9.83</c:v>
                </c:pt>
                <c:pt idx="16">
                  <c:v>9.8000000000000007</c:v>
                </c:pt>
                <c:pt idx="17">
                  <c:v>9.7799999999999994</c:v>
                </c:pt>
                <c:pt idx="18">
                  <c:v>9.76</c:v>
                </c:pt>
                <c:pt idx="19">
                  <c:v>9.74</c:v>
                </c:pt>
              </c:numCache>
            </c:numRef>
          </c:xVal>
          <c:yVal>
            <c:numRef>
              <c:f>'Aircraft Sizing'!$Q$64:$Q$83</c:f>
              <c:numCache>
                <c:formatCode>0.00E+00</c:formatCode>
                <c:ptCount val="2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77-45FD-A7D4-927C7B7D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67999"/>
        <c:axId val="616772799"/>
      </c:scatterChart>
      <c:valAx>
        <c:axId val="61676799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 Weight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2799"/>
        <c:crosses val="autoZero"/>
        <c:crossBetween val="midCat"/>
        <c:majorUnit val="1"/>
      </c:valAx>
      <c:valAx>
        <c:axId val="6167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Espec (J/kg)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6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2187226596671E-2"/>
          <c:y val="5.1358579055758601E-2"/>
          <c:w val="0.87071303587051618"/>
          <c:h val="0.86248756431372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Constraint_Diagram!$G$23</c:f>
              <c:strCache>
                <c:ptCount val="1"/>
                <c:pt idx="0">
                  <c:v>W/P (Take-Off)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Constraint_Diagram!$G$24:$G$96</c:f>
              <c:numCache>
                <c:formatCode>0.0</c:formatCode>
                <c:ptCount val="73"/>
                <c:pt idx="0">
                  <c:v>4.4716014565429401</c:v>
                </c:pt>
                <c:pt idx="1">
                  <c:v>3.1618997126851558</c:v>
                </c:pt>
                <c:pt idx="2">
                  <c:v>2.2358007098385255</c:v>
                </c:pt>
                <c:pt idx="3">
                  <c:v>1.8255162001732443</c:v>
                </c:pt>
                <c:pt idx="4">
                  <c:v>1.5808063077611449</c:v>
                </c:pt>
                <c:pt idx="5">
                  <c:v>1.413218638605708</c:v>
                </c:pt>
                <c:pt idx="6">
                  <c:v>1.2882324400406442</c:v>
                </c:pt>
                <c:pt idx="7">
                  <c:v>1.1892280068646359</c:v>
                </c:pt>
                <c:pt idx="8">
                  <c:v>1.1072480613519537</c:v>
                </c:pt>
                <c:pt idx="9">
                  <c:v>1.0371236151574592</c:v>
                </c:pt>
                <c:pt idx="10">
                  <c:v>0.97571583775545634</c:v>
                </c:pt>
                <c:pt idx="11">
                  <c:v>0.92102925891448617</c:v>
                </c:pt>
                <c:pt idx="12">
                  <c:v>0.87173659071524257</c:v>
                </c:pt>
                <c:pt idx="13">
                  <c:v>0.82691415523354084</c:v>
                </c:pt>
                <c:pt idx="14">
                  <c:v>0.7858902670272746</c:v>
                </c:pt>
                <c:pt idx="15">
                  <c:v>0.74815611571162421</c:v>
                </c:pt>
                <c:pt idx="16">
                  <c:v>0.71331207065268343</c:v>
                </c:pt>
                <c:pt idx="17">
                  <c:v>0.6810344869024354</c:v>
                </c:pt>
                <c:pt idx="18">
                  <c:v>0.65105461642952323</c:v>
                </c:pt>
                <c:pt idx="19">
                  <c:v>0.62314481245615705</c:v>
                </c:pt>
                <c:pt idx="20">
                  <c:v>0.59710922061093574</c:v>
                </c:pt>
                <c:pt idx="21">
                  <c:v>0.57277729237026653</c:v>
                </c:pt>
                <c:pt idx="22">
                  <c:v>0.54999911644258925</c:v>
                </c:pt>
                <c:pt idx="23">
                  <c:v>0.52864195130061098</c:v>
                </c:pt>
                <c:pt idx="24">
                  <c:v>0.50858757299508572</c:v>
                </c:pt>
                <c:pt idx="25">
                  <c:v>0.48973019206196272</c:v>
                </c:pt>
                <c:pt idx="26">
                  <c:v>0.47197477911983843</c:v>
                </c:pt>
                <c:pt idx="27">
                  <c:v>0.45523569228011646</c:v>
                </c:pt>
                <c:pt idx="28">
                  <c:v>0.43943553344800756</c:v>
                </c:pt>
                <c:pt idx="29">
                  <c:v>0.42450418251558231</c:v>
                </c:pt>
                <c:pt idx="30">
                  <c:v>0.41037797287011413</c:v>
                </c:pt>
                <c:pt idx="31">
                  <c:v>0.3969989813196409</c:v>
                </c:pt>
                <c:pt idx="32">
                  <c:v>0.38431441217161866</c:v>
                </c:pt>
                <c:pt idx="33">
                  <c:v>0.37227605984882467</c:v>
                </c:pt>
                <c:pt idx="34">
                  <c:v>0.36083983775796336</c:v>
                </c:pt>
                <c:pt idx="35">
                  <c:v>0.34996536356843694</c:v>
                </c:pt>
                <c:pt idx="36">
                  <c:v>0.3396155928887582</c:v>
                </c:pt>
                <c:pt idx="37">
                  <c:v>0.3297564947285227</c:v>
                </c:pt>
                <c:pt idx="38">
                  <c:v>0.32035676322656009</c:v>
                </c:pt>
                <c:pt idx="39">
                  <c:v>0.31138756099354026</c:v>
                </c:pt>
                <c:pt idx="40">
                  <c:v>0.30282229011705819</c:v>
                </c:pt>
                <c:pt idx="41">
                  <c:v>0.29463638744920723</c:v>
                </c:pt>
                <c:pt idx="42">
                  <c:v>0.2868071412696459</c:v>
                </c:pt>
                <c:pt idx="43">
                  <c:v>0.27931352681216393</c:v>
                </c:pt>
                <c:pt idx="44">
                  <c:v>0.27213605847536082</c:v>
                </c:pt>
                <c:pt idx="45">
                  <c:v>0.26525665682009636</c:v>
                </c:pt>
                <c:pt idx="46">
                  <c:v>0.25865852869694356</c:v>
                </c:pt>
                <c:pt idx="47">
                  <c:v>0.252326059053114</c:v>
                </c:pt>
                <c:pt idx="48">
                  <c:v>0.24624471314586932</c:v>
                </c:pt>
                <c:pt idx="49">
                  <c:v>0.24040094804285328</c:v>
                </c:pt>
                <c:pt idx="50">
                  <c:v>0.23478213242276183</c:v>
                </c:pt>
                <c:pt idx="51">
                  <c:v>0.20967537956524607</c:v>
                </c:pt>
                <c:pt idx="52">
                  <c:v>0.188711292775947</c:v>
                </c:pt>
                <c:pt idx="53">
                  <c:v>0.17099924427765692</c:v>
                </c:pt>
                <c:pt idx="54">
                  <c:v>0.15587876712580415</c:v>
                </c:pt>
                <c:pt idx="55">
                  <c:v>0.14285131855754421</c:v>
                </c:pt>
                <c:pt idx="56">
                  <c:v>0.13153456389002721</c:v>
                </c:pt>
                <c:pt idx="57">
                  <c:v>0.12163107753139743</c:v>
                </c:pt>
                <c:pt idx="58">
                  <c:v>0.11290648892115859</c:v>
                </c:pt>
                <c:pt idx="59">
                  <c:v>0.10517394783020192</c:v>
                </c:pt>
                <c:pt idx="60">
                  <c:v>9.8282900100114229E-2</c:v>
                </c:pt>
                <c:pt idx="61">
                  <c:v>9.2110855948240269E-2</c:v>
                </c:pt>
                <c:pt idx="62">
                  <c:v>8.6557269872604467E-2</c:v>
                </c:pt>
                <c:pt idx="63">
                  <c:v>8.1538932943163722E-2</c:v>
                </c:pt>
                <c:pt idx="64">
                  <c:v>7.6986463322352969E-2</c:v>
                </c:pt>
                <c:pt idx="65">
                  <c:v>7.2841604486290734E-2</c:v>
                </c:pt>
                <c:pt idx="66">
                  <c:v>6.905512452143274E-2</c:v>
                </c:pt>
                <c:pt idx="67">
                  <c:v>6.5585167655349233E-2</c:v>
                </c:pt>
                <c:pt idx="68">
                  <c:v>6.2395949522682549E-2</c:v>
                </c:pt>
                <c:pt idx="69">
                  <c:v>5.945671619365659E-2</c:v>
                </c:pt>
                <c:pt idx="70">
                  <c:v>5.6740907405044269E-2</c:v>
                </c:pt>
                <c:pt idx="71">
                  <c:v>5.4225479203645628E-2</c:v>
                </c:pt>
                <c:pt idx="72">
                  <c:v>5.189035201195015E-2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B-49A0-B682-EA01AAE210B7}"/>
            </c:ext>
          </c:extLst>
        </c:ser>
        <c:ser>
          <c:idx val="1"/>
          <c:order val="1"/>
          <c:tx>
            <c:strRef>
              <c:f>Constraint_Diagram!$D$8</c:f>
              <c:strCache>
                <c:ptCount val="1"/>
                <c:pt idx="0">
                  <c:v>W/SClean</c:v>
                </c:pt>
              </c:strCache>
            </c:strRef>
          </c:tx>
          <c:marker>
            <c:symbol val="none"/>
          </c:marker>
          <c:xVal>
            <c:numRef>
              <c:f>(Constraint_Diagram!$E$8,Constraint_Diagram!$E$8)</c:f>
              <c:numCache>
                <c:formatCode>0.0000</c:formatCode>
                <c:ptCount val="2"/>
                <c:pt idx="0">
                  <c:v>22.98</c:v>
                </c:pt>
                <c:pt idx="1">
                  <c:v>22.98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3B-49A0-B682-EA01AAE210B7}"/>
            </c:ext>
          </c:extLst>
        </c:ser>
        <c:ser>
          <c:idx val="2"/>
          <c:order val="2"/>
          <c:tx>
            <c:strRef>
              <c:f>Constraint_Diagram!$D$9</c:f>
              <c:strCache>
                <c:ptCount val="1"/>
                <c:pt idx="0">
                  <c:v>W/SFlap</c:v>
                </c:pt>
              </c:strCache>
            </c:strRef>
          </c:tx>
          <c:marker>
            <c:symbol val="none"/>
          </c:marker>
          <c:xVal>
            <c:numRef>
              <c:f>(Constraint_Diagram!$E$9,Constraint_Diagram!$E$9)</c:f>
              <c:numCache>
                <c:formatCode>0.0</c:formatCode>
                <c:ptCount val="2"/>
                <c:pt idx="0">
                  <c:v>26.044</c:v>
                </c:pt>
                <c:pt idx="1">
                  <c:v>26.044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3B-49A0-B682-EA01AAE210B7}"/>
            </c:ext>
          </c:extLst>
        </c:ser>
        <c:ser>
          <c:idx val="3"/>
          <c:order val="3"/>
          <c:tx>
            <c:strRef>
              <c:f>Constraint_Diagram!$H$23</c:f>
              <c:strCache>
                <c:ptCount val="1"/>
                <c:pt idx="0">
                  <c:v>Cruise Speed</c:v>
                </c:pt>
              </c:strCache>
            </c:strRef>
          </c:tx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Constraint_Diagram!$H$24:$H$96</c:f>
              <c:numCache>
                <c:formatCode>0.000</c:formatCode>
                <c:ptCount val="73"/>
                <c:pt idx="0">
                  <c:v>3.2142574570773005E-2</c:v>
                </c:pt>
                <c:pt idx="1">
                  <c:v>6.4285149141546011E-2</c:v>
                </c:pt>
                <c:pt idx="2">
                  <c:v>0.12857029828309202</c:v>
                </c:pt>
                <c:pt idx="3">
                  <c:v>0.19285544742463803</c:v>
                </c:pt>
                <c:pt idx="4">
                  <c:v>0.25714059656618404</c:v>
                </c:pt>
                <c:pt idx="5">
                  <c:v>0.32142574570773003</c:v>
                </c:pt>
                <c:pt idx="6">
                  <c:v>0.38571089484927606</c:v>
                </c:pt>
                <c:pt idx="7">
                  <c:v>0.44999604399082205</c:v>
                </c:pt>
                <c:pt idx="8">
                  <c:v>0.51428119313236809</c:v>
                </c:pt>
                <c:pt idx="9">
                  <c:v>0.57856634227391412</c:v>
                </c:pt>
                <c:pt idx="10">
                  <c:v>0.64285149141546005</c:v>
                </c:pt>
                <c:pt idx="11">
                  <c:v>0.70713664055700609</c:v>
                </c:pt>
                <c:pt idx="12">
                  <c:v>0.77142178969855213</c:v>
                </c:pt>
                <c:pt idx="13">
                  <c:v>0.83570693884009817</c:v>
                </c:pt>
                <c:pt idx="14">
                  <c:v>0.8999920879816441</c:v>
                </c:pt>
                <c:pt idx="15">
                  <c:v>0.96427723712319013</c:v>
                </c:pt>
                <c:pt idx="16">
                  <c:v>1.0285623862647362</c:v>
                </c:pt>
                <c:pt idx="17">
                  <c:v>1.0928475354062821</c:v>
                </c:pt>
                <c:pt idx="18">
                  <c:v>1.1571326845478282</c:v>
                </c:pt>
                <c:pt idx="19">
                  <c:v>1.2214178336893742</c:v>
                </c:pt>
                <c:pt idx="20">
                  <c:v>1.2857029828309201</c:v>
                </c:pt>
                <c:pt idx="21">
                  <c:v>1.3499881319724663</c:v>
                </c:pt>
                <c:pt idx="22">
                  <c:v>1.4142732811140122</c:v>
                </c:pt>
                <c:pt idx="23">
                  <c:v>1.4785584302555583</c:v>
                </c:pt>
                <c:pt idx="24">
                  <c:v>1.5428435793971043</c:v>
                </c:pt>
                <c:pt idx="25">
                  <c:v>1.6071287285386502</c:v>
                </c:pt>
                <c:pt idx="26">
                  <c:v>1.6714138776801963</c:v>
                </c:pt>
                <c:pt idx="27">
                  <c:v>1.7356990268217423</c:v>
                </c:pt>
                <c:pt idx="28">
                  <c:v>1.7999841759632882</c:v>
                </c:pt>
                <c:pt idx="29">
                  <c:v>1.8642693251048343</c:v>
                </c:pt>
                <c:pt idx="30">
                  <c:v>1.9285544742463803</c:v>
                </c:pt>
                <c:pt idx="31">
                  <c:v>1.9928396233879264</c:v>
                </c:pt>
                <c:pt idx="32">
                  <c:v>2.0571247725294723</c:v>
                </c:pt>
                <c:pt idx="33">
                  <c:v>2.1214099216710181</c:v>
                </c:pt>
                <c:pt idx="34">
                  <c:v>2.1856950708125642</c:v>
                </c:pt>
                <c:pt idx="35">
                  <c:v>2.2499802199541103</c:v>
                </c:pt>
                <c:pt idx="36">
                  <c:v>2.3142653690956565</c:v>
                </c:pt>
                <c:pt idx="37">
                  <c:v>2.3785505182372022</c:v>
                </c:pt>
                <c:pt idx="38">
                  <c:v>2.4428356673787484</c:v>
                </c:pt>
                <c:pt idx="39">
                  <c:v>2.5071208165202945</c:v>
                </c:pt>
                <c:pt idx="40">
                  <c:v>2.5714059656618402</c:v>
                </c:pt>
                <c:pt idx="41">
                  <c:v>2.6356911148033864</c:v>
                </c:pt>
                <c:pt idx="42">
                  <c:v>2.6999762639449325</c:v>
                </c:pt>
                <c:pt idx="43">
                  <c:v>2.7642614130864782</c:v>
                </c:pt>
                <c:pt idx="44">
                  <c:v>2.8285465622280244</c:v>
                </c:pt>
                <c:pt idx="45">
                  <c:v>2.8928317113695705</c:v>
                </c:pt>
                <c:pt idx="46">
                  <c:v>2.9571168605111167</c:v>
                </c:pt>
                <c:pt idx="47">
                  <c:v>3.0214020096526624</c:v>
                </c:pt>
                <c:pt idx="48">
                  <c:v>3.0856871587942085</c:v>
                </c:pt>
                <c:pt idx="49">
                  <c:v>3.1499723079357547</c:v>
                </c:pt>
                <c:pt idx="50">
                  <c:v>3.2142574570773004</c:v>
                </c:pt>
                <c:pt idx="51">
                  <c:v>3.5356832027850302</c:v>
                </c:pt>
                <c:pt idx="52">
                  <c:v>3.8571089484927605</c:v>
                </c:pt>
                <c:pt idx="53">
                  <c:v>4.1785346942004908</c:v>
                </c:pt>
                <c:pt idx="54">
                  <c:v>4.4999604399082207</c:v>
                </c:pt>
                <c:pt idx="55">
                  <c:v>4.8213861856159506</c:v>
                </c:pt>
                <c:pt idx="56">
                  <c:v>5.1428119313236804</c:v>
                </c:pt>
                <c:pt idx="57">
                  <c:v>5.4642376770314103</c:v>
                </c:pt>
                <c:pt idx="58">
                  <c:v>5.785663422739141</c:v>
                </c:pt>
                <c:pt idx="59">
                  <c:v>6.1070891684468709</c:v>
                </c:pt>
                <c:pt idx="60">
                  <c:v>6.4285149141546007</c:v>
                </c:pt>
                <c:pt idx="61">
                  <c:v>6.7499406598623306</c:v>
                </c:pt>
                <c:pt idx="62">
                  <c:v>7.0713664055700605</c:v>
                </c:pt>
                <c:pt idx="63">
                  <c:v>7.3927921512777912</c:v>
                </c:pt>
                <c:pt idx="64">
                  <c:v>7.7142178969855211</c:v>
                </c:pt>
                <c:pt idx="65">
                  <c:v>8.03564364269325</c:v>
                </c:pt>
                <c:pt idx="66">
                  <c:v>8.3570693884009817</c:v>
                </c:pt>
                <c:pt idx="67">
                  <c:v>8.6784951341087115</c:v>
                </c:pt>
                <c:pt idx="68">
                  <c:v>8.9999208798164414</c:v>
                </c:pt>
                <c:pt idx="69">
                  <c:v>9.3213466255241713</c:v>
                </c:pt>
                <c:pt idx="70">
                  <c:v>9.6427723712319011</c:v>
                </c:pt>
                <c:pt idx="71">
                  <c:v>9.964198116939631</c:v>
                </c:pt>
                <c:pt idx="72">
                  <c:v>10.285623862647361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B-49A0-B682-EA01AAE210B7}"/>
            </c:ext>
          </c:extLst>
        </c:ser>
        <c:ser>
          <c:idx val="4"/>
          <c:order val="4"/>
          <c:tx>
            <c:strRef>
              <c:f>Constraint_Diagram!$I$23</c:f>
              <c:strCache>
                <c:ptCount val="1"/>
                <c:pt idx="0">
                  <c:v>Manoeuvring</c:v>
                </c:pt>
              </c:strCache>
            </c:strRef>
          </c:tx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Constraint_Diagram!$I$24:$I$96</c:f>
              <c:numCache>
                <c:formatCode>0.0000</c:formatCode>
                <c:ptCount val="73"/>
                <c:pt idx="0">
                  <c:v>3.5325029470331171E-2</c:v>
                </c:pt>
                <c:pt idx="1">
                  <c:v>7.0459928281879275E-2</c:v>
                </c:pt>
                <c:pt idx="2">
                  <c:v>0.13941906020709283</c:v>
                </c:pt>
                <c:pt idx="3">
                  <c:v>0.20548129756021705</c:v>
                </c:pt>
                <c:pt idx="4">
                  <c:v>0.26744496575177651</c:v>
                </c:pt>
                <c:pt idx="5">
                  <c:v>0.32436615549072539</c:v>
                </c:pt>
                <c:pt idx="6">
                  <c:v>0.37559014359884363</c:v>
                </c:pt>
                <c:pt idx="7">
                  <c:v>0.4207516412229465</c:v>
                </c:pt>
                <c:pt idx="8">
                  <c:v>0.45974958646353886</c:v>
                </c:pt>
                <c:pt idx="9">
                  <c:v>0.49270489756801239</c:v>
                </c:pt>
                <c:pt idx="10">
                  <c:v>0.5199099900802725</c:v>
                </c:pt>
                <c:pt idx="11">
                  <c:v>0.54177754512498688</c:v>
                </c:pt>
                <c:pt idx="12">
                  <c:v>0.55879384279211064</c:v>
                </c:pt>
                <c:pt idx="13">
                  <c:v>0.57147968920755787</c:v>
                </c:pt>
                <c:pt idx="14">
                  <c:v>0.58036004516856066</c:v>
                </c:pt>
                <c:pt idx="15">
                  <c:v>0.58594210697619897</c:v>
                </c:pt>
                <c:pt idx="16">
                  <c:v>0.58870079292253419</c:v>
                </c:pt>
                <c:pt idx="17">
                  <c:v>0.58907024119395723</c:v>
                </c:pt>
                <c:pt idx="18">
                  <c:v>0.58743988451642071</c:v>
                </c:pt>
                <c:pt idx="19">
                  <c:v>0.58415380468824474</c:v>
                </c:pt>
                <c:pt idx="20">
                  <c:v>0.57951228900874441</c:v>
                </c:pt>
                <c:pt idx="21">
                  <c:v>0.57377474702377418</c:v>
                </c:pt>
                <c:pt idx="22">
                  <c:v>0.56716336420427649</c:v>
                </c:pt>
                <c:pt idx="23">
                  <c:v>0.55986705293773598</c:v>
                </c:pt>
                <c:pt idx="24">
                  <c:v>0.55204540649806377</c:v>
                </c:pt>
                <c:pt idx="25">
                  <c:v>0.54383247103206322</c:v>
                </c:pt>
                <c:pt idx="26">
                  <c:v>0.53534022955461469</c:v>
                </c:pt>
                <c:pt idx="27">
                  <c:v>0.5266617467166903</c:v>
                </c:pt>
                <c:pt idx="28">
                  <c:v>0.51787395953458992</c:v>
                </c:pt>
                <c:pt idx="29">
                  <c:v>0.50904012228751372</c:v>
                </c:pt>
                <c:pt idx="30">
                  <c:v>0.50021192733609154</c:v>
                </c:pt>
                <c:pt idx="31">
                  <c:v>0.49143133067944889</c:v>
                </c:pt>
                <c:pt idx="32">
                  <c:v>0.48273211385274645</c:v>
                </c:pt>
                <c:pt idx="33">
                  <c:v>0.47414121384149127</c:v>
                </c:pt>
                <c:pt idx="34">
                  <c:v>0.46567985114495825</c:v>
                </c:pt>
                <c:pt idx="35">
                  <c:v>0.45736448369741489</c:v>
                </c:pt>
                <c:pt idx="36">
                  <c:v>0.44920761153769517</c:v>
                </c:pt>
                <c:pt idx="37">
                  <c:v>0.44121845421237588</c:v>
                </c:pt>
                <c:pt idx="38">
                  <c:v>0.43340352009065269</c:v>
                </c:pt>
                <c:pt idx="39">
                  <c:v>0.42576708416333903</c:v>
                </c:pt>
                <c:pt idx="40">
                  <c:v>0.41831158854402029</c:v>
                </c:pt>
                <c:pt idx="41">
                  <c:v>0.4110379778030816</c:v>
                </c:pt>
                <c:pt idx="42">
                  <c:v>0.40394597944031174</c:v>
                </c:pt>
                <c:pt idx="43">
                  <c:v>0.39703433822256268</c:v>
                </c:pt>
                <c:pt idx="44">
                  <c:v>0.39030101175711374</c:v>
                </c:pt>
                <c:pt idx="45">
                  <c:v>0.38374333351433049</c:v>
                </c:pt>
                <c:pt idx="46">
                  <c:v>0.37735814853033606</c:v>
                </c:pt>
                <c:pt idx="47">
                  <c:v>0.37114192618845881</c:v>
                </c:pt>
                <c:pt idx="48">
                  <c:v>0.36509085377591</c:v>
                </c:pt>
                <c:pt idx="49">
                  <c:v>0.35920091392049264</c:v>
                </c:pt>
                <c:pt idx="50">
                  <c:v>0.35346794851445645</c:v>
                </c:pt>
                <c:pt idx="51">
                  <c:v>0.32700823708789484</c:v>
                </c:pt>
                <c:pt idx="52">
                  <c:v>0.30383792480878202</c:v>
                </c:pt>
                <c:pt idx="53">
                  <c:v>0.28346871099283805</c:v>
                </c:pt>
                <c:pt idx="54">
                  <c:v>0.2654763374328164</c:v>
                </c:pt>
                <c:pt idx="55">
                  <c:v>0.2495026207536778</c:v>
                </c:pt>
                <c:pt idx="56">
                  <c:v>0.23524887665508884</c:v>
                </c:pt>
                <c:pt idx="57">
                  <c:v>0.22246707748367886</c:v>
                </c:pt>
                <c:pt idx="58">
                  <c:v>0.21095122447540093</c:v>
                </c:pt>
                <c:pt idx="59">
                  <c:v>0.20052978329995991</c:v>
                </c:pt>
                <c:pt idx="60">
                  <c:v>0.19105935824912809</c:v>
                </c:pt>
                <c:pt idx="61">
                  <c:v>0.18241952149667301</c:v>
                </c:pt>
                <c:pt idx="62">
                  <c:v>0.17450863182455509</c:v>
                </c:pt>
                <c:pt idx="63">
                  <c:v>0.16724046783027946</c:v>
                </c:pt>
                <c:pt idx="64">
                  <c:v>0.16054151831749133</c:v>
                </c:pt>
                <c:pt idx="65">
                  <c:v>0.15434879780322608</c:v>
                </c:pt>
                <c:pt idx="66">
                  <c:v>0.14860807993437006</c:v>
                </c:pt>
                <c:pt idx="67">
                  <c:v>0.14327246329114401</c:v>
                </c:pt>
                <c:pt idx="68">
                  <c:v>0.13830120194840409</c:v>
                </c:pt>
                <c:pt idx="69">
                  <c:v>0.1336587475126228</c:v>
                </c:pt>
                <c:pt idx="70">
                  <c:v>0.12931396068228099</c:v>
                </c:pt>
                <c:pt idx="71">
                  <c:v>0.12523945925709273</c:v>
                </c:pt>
                <c:pt idx="72">
                  <c:v>0.12141107645436336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B-49A0-B682-EA01AAE210B7}"/>
            </c:ext>
          </c:extLst>
        </c:ser>
        <c:ser>
          <c:idx val="5"/>
          <c:order val="5"/>
          <c:tx>
            <c:strRef>
              <c:f>Constraint_Diagram!$J$23</c:f>
              <c:strCache>
                <c:ptCount val="1"/>
                <c:pt idx="0">
                  <c:v>Rate of Climb</c:v>
                </c:pt>
              </c:strCache>
            </c:strRef>
          </c:tx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Constraint_Diagram!$J$24:$J$96</c:f>
              <c:numCache>
                <c:formatCode>0.0000</c:formatCode>
                <c:ptCount val="73"/>
                <c:pt idx="0">
                  <c:v>0.18371127697353226</c:v>
                </c:pt>
                <c:pt idx="1">
                  <c:v>0.18216672527525332</c:v>
                </c:pt>
                <c:pt idx="2">
                  <c:v>0.1800262146838445</c:v>
                </c:pt>
                <c:pt idx="3">
                  <c:v>0.17841754689104966</c:v>
                </c:pt>
                <c:pt idx="4">
                  <c:v>0.17708354486653416</c:v>
                </c:pt>
                <c:pt idx="5">
                  <c:v>0.1759246865614105</c:v>
                </c:pt>
                <c:pt idx="6">
                  <c:v>0.17488997648528795</c:v>
                </c:pt>
                <c:pt idx="7">
                  <c:v>0.17394914735917419</c:v>
                </c:pt>
                <c:pt idx="8">
                  <c:v>0.17308249531089462</c:v>
                </c:pt>
                <c:pt idx="9">
                  <c:v>0.17227634561757266</c:v>
                </c:pt>
                <c:pt idx="10">
                  <c:v>0.17152075019084931</c:v>
                </c:pt>
                <c:pt idx="11">
                  <c:v>0.17080820531498014</c:v>
                </c:pt>
                <c:pt idx="12">
                  <c:v>0.17013288619949538</c:v>
                </c:pt>
                <c:pt idx="13">
                  <c:v>0.16949016452627372</c:v>
                </c:pt>
                <c:pt idx="14">
                  <c:v>0.16887629076060759</c:v>
                </c:pt>
                <c:pt idx="15">
                  <c:v>0.16828817727818765</c:v>
                </c:pt>
                <c:pt idx="16">
                  <c:v>0.16772324577022271</c:v>
                </c:pt>
                <c:pt idx="17">
                  <c:v>0.16717931707621894</c:v>
                </c:pt>
                <c:pt idx="18">
                  <c:v>0.16665452986355331</c:v>
                </c:pt>
                <c:pt idx="19">
                  <c:v>0.16614727942904442</c:v>
                </c:pt>
                <c:pt idx="20">
                  <c:v>0.16565617085429135</c:v>
                </c:pt>
                <c:pt idx="21">
                  <c:v>0.16517998260414848</c:v>
                </c:pt>
                <c:pt idx="22">
                  <c:v>0.16471763785752214</c:v>
                </c:pt>
                <c:pt idx="23">
                  <c:v>0.16426818165383542</c:v>
                </c:pt>
                <c:pt idx="24">
                  <c:v>0.16383076247576772</c:v>
                </c:pt>
                <c:pt idx="25">
                  <c:v>0.1634046172595377</c:v>
                </c:pt>
                <c:pt idx="26">
                  <c:v>0.16298905908429062</c:v>
                </c:pt>
                <c:pt idx="27">
                  <c:v>0.16258346697790407</c:v>
                </c:pt>
                <c:pt idx="28">
                  <c:v>0.16218727741103797</c:v>
                </c:pt>
                <c:pt idx="29">
                  <c:v>0.16179997714998326</c:v>
                </c:pt>
                <c:pt idx="30">
                  <c:v>0.16142109721222508</c:v>
                </c:pt>
                <c:pt idx="31">
                  <c:v>0.1610502077237721</c:v>
                </c:pt>
                <c:pt idx="32">
                  <c:v>0.16068691351918554</c:v>
                </c:pt>
                <c:pt idx="33">
                  <c:v>0.16033085035736089</c:v>
                </c:pt>
                <c:pt idx="34">
                  <c:v>0.15998168165098145</c:v>
                </c:pt>
                <c:pt idx="35">
                  <c:v>0.15963909562697165</c:v>
                </c:pt>
                <c:pt idx="36">
                  <c:v>0.15930280285055037</c:v>
                </c:pt>
                <c:pt idx="37">
                  <c:v>0.15897253405759365</c:v>
                </c:pt>
                <c:pt idx="38">
                  <c:v>0.15864803824968138</c:v>
                </c:pt>
                <c:pt idx="39">
                  <c:v>0.15832908101396961</c:v>
                </c:pt>
                <c:pt idx="40">
                  <c:v>0.15801544303631293</c:v>
                </c:pt>
                <c:pt idx="41">
                  <c:v>0.15770691878116752</c:v>
                </c:pt>
                <c:pt idx="42">
                  <c:v>0.15740331531598611</c:v>
                </c:pt>
                <c:pt idx="43">
                  <c:v>0.15710445126125069</c:v>
                </c:pt>
                <c:pt idx="44">
                  <c:v>0.15681015585012756</c:v>
                </c:pt>
                <c:pt idx="45">
                  <c:v>0.15652026808408581</c:v>
                </c:pt>
                <c:pt idx="46">
                  <c:v>0.15623463597278767</c:v>
                </c:pt>
                <c:pt idx="47">
                  <c:v>0.15595311584820343</c:v>
                </c:pt>
                <c:pt idx="48">
                  <c:v>0.1556755717442897</c:v>
                </c:pt>
                <c:pt idx="49">
                  <c:v>0.15540187483473833</c:v>
                </c:pt>
                <c:pt idx="50">
                  <c:v>0.1551319029222944</c:v>
                </c:pt>
                <c:pt idx="51">
                  <c:v>0.15383405017566654</c:v>
                </c:pt>
                <c:pt idx="52">
                  <c:v>0.15261409418581451</c:v>
                </c:pt>
                <c:pt idx="53">
                  <c:v>0.15146203811669734</c:v>
                </c:pt>
                <c:pt idx="54">
                  <c:v>0.15036980503468905</c:v>
                </c:pt>
                <c:pt idx="55">
                  <c:v>0.14933076144829047</c:v>
                </c:pt>
                <c:pt idx="56">
                  <c:v>0.14833938252599888</c:v>
                </c:pt>
                <c:pt idx="57">
                  <c:v>0.14739101072774141</c:v>
                </c:pt>
                <c:pt idx="58">
                  <c:v>0.14648167787921429</c:v>
                </c:pt>
                <c:pt idx="59">
                  <c:v>0.14560797145254434</c:v>
                </c:pt>
                <c:pt idx="60">
                  <c:v>0.14476693234690868</c:v>
                </c:pt>
                <c:pt idx="61">
                  <c:v>0.14395597556246167</c:v>
                </c:pt>
                <c:pt idx="62">
                  <c:v>0.14317282780686647</c:v>
                </c:pt>
                <c:pt idx="63">
                  <c:v>0.14241547782373515</c:v>
                </c:pt>
                <c:pt idx="64">
                  <c:v>0.14168213641527791</c:v>
                </c:pt>
                <c:pt idx="65">
                  <c:v>0.14097120394700108</c:v>
                </c:pt>
                <c:pt idx="66">
                  <c:v>0.14028124369456452</c:v>
                </c:pt>
                <c:pt idx="67">
                  <c:v>0.13961095980098331</c:v>
                </c:pt>
                <c:pt idx="68">
                  <c:v>0.13895917890764964</c:v>
                </c:pt>
                <c:pt idx="69">
                  <c:v>0.13832483473921692</c:v>
                </c:pt>
                <c:pt idx="70">
                  <c:v>0.13770695508319453</c:v>
                </c:pt>
                <c:pt idx="71">
                  <c:v>0.13710465072586772</c:v>
                </c:pt>
                <c:pt idx="72">
                  <c:v>0.1365171059978206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3B-49A0-B682-EA01AAE210B7}"/>
            </c:ext>
          </c:extLst>
        </c:ser>
        <c:ser>
          <c:idx val="6"/>
          <c:order val="6"/>
          <c:tx>
            <c:strRef>
              <c:f>Constraint_Diagram!$K$23</c:f>
              <c:strCache>
                <c:ptCount val="1"/>
                <c:pt idx="0">
                  <c:v>Climb Gradient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Constraint_Diagram!$K$24:$K$96</c:f>
              <c:numCache>
                <c:formatCode>0.00</c:formatCode>
                <c:ptCount val="73"/>
                <c:pt idx="0">
                  <c:v>2.7565190015045875</c:v>
                </c:pt>
                <c:pt idx="1">
                  <c:v>1.9491532784334651</c:v>
                </c:pt>
                <c:pt idx="2">
                  <c:v>1.3782595007522938</c:v>
                </c:pt>
                <c:pt idx="3">
                  <c:v>1.1253441699954028</c:v>
                </c:pt>
                <c:pt idx="4">
                  <c:v>0.97457663921673254</c:v>
                </c:pt>
                <c:pt idx="5">
                  <c:v>0.87168784582876047</c:v>
                </c:pt>
                <c:pt idx="6">
                  <c:v>0.79573849377249617</c:v>
                </c:pt>
                <c:pt idx="7">
                  <c:v>0.73671069169731218</c:v>
                </c:pt>
                <c:pt idx="8">
                  <c:v>0.68912975037614688</c:v>
                </c:pt>
                <c:pt idx="9">
                  <c:v>0.64971775947782162</c:v>
                </c:pt>
                <c:pt idx="10">
                  <c:v>0.61637638686341034</c:v>
                </c:pt>
                <c:pt idx="11">
                  <c:v>0.58769182576863011</c:v>
                </c:pt>
                <c:pt idx="12">
                  <c:v>0.56267208499770138</c:v>
                </c:pt>
                <c:pt idx="13">
                  <c:v>0.54059785301004593</c:v>
                </c:pt>
                <c:pt idx="14">
                  <c:v>0.52093312587180141</c:v>
                </c:pt>
                <c:pt idx="15">
                  <c:v>0.50326921243855993</c:v>
                </c:pt>
                <c:pt idx="16">
                  <c:v>0.48728831960836627</c:v>
                </c:pt>
                <c:pt idx="17">
                  <c:v>0.47273910867647795</c:v>
                </c:pt>
                <c:pt idx="18">
                  <c:v>0.45941983358409805</c:v>
                </c:pt>
                <c:pt idx="19">
                  <c:v>0.44716642979802473</c:v>
                </c:pt>
                <c:pt idx="20">
                  <c:v>0.43584392291438023</c:v>
                </c:pt>
                <c:pt idx="21">
                  <c:v>0.42534011616631856</c:v>
                </c:pt>
                <c:pt idx="22">
                  <c:v>0.41556087524890128</c:v>
                </c:pt>
                <c:pt idx="23">
                  <c:v>0.40642655375998027</c:v>
                </c:pt>
                <c:pt idx="24">
                  <c:v>0.39786924688624808</c:v>
                </c:pt>
                <c:pt idx="25">
                  <c:v>0.38983065568669301</c:v>
                </c:pt>
                <c:pt idx="26">
                  <c:v>0.38226040775829195</c:v>
                </c:pt>
                <c:pt idx="27">
                  <c:v>0.37511472333180085</c:v>
                </c:pt>
                <c:pt idx="28">
                  <c:v>0.36835534584865609</c:v>
                </c:pt>
                <c:pt idx="29">
                  <c:v>0.36194867719761165</c:v>
                </c:pt>
                <c:pt idx="30">
                  <c:v>0.3558650728777189</c:v>
                </c:pt>
                <c:pt idx="31">
                  <c:v>0.35007826326952102</c:v>
                </c:pt>
                <c:pt idx="32">
                  <c:v>0.34456487518807344</c:v>
                </c:pt>
                <c:pt idx="33">
                  <c:v>0.33930403380806123</c:v>
                </c:pt>
                <c:pt idx="34">
                  <c:v>0.33427702947722182</c:v>
                </c:pt>
                <c:pt idx="35">
                  <c:v>0.32946703727721599</c:v>
                </c:pt>
                <c:pt idx="36">
                  <c:v>0.32485887973891081</c:v>
                </c:pt>
                <c:pt idx="37">
                  <c:v>0.32043882507737881</c:v>
                </c:pt>
                <c:pt idx="38">
                  <c:v>0.31619441482916161</c:v>
                </c:pt>
                <c:pt idx="39">
                  <c:v>0.31211431595868372</c:v>
                </c:pt>
                <c:pt idx="40">
                  <c:v>0.30818819343170517</c:v>
                </c:pt>
                <c:pt idx="41">
                  <c:v>0.30440659999046388</c:v>
                </c:pt>
                <c:pt idx="42">
                  <c:v>0.30076088045187777</c:v>
                </c:pt>
                <c:pt idx="43">
                  <c:v>0.29724308832021273</c:v>
                </c:pt>
                <c:pt idx="44">
                  <c:v>0.29384591288431505</c:v>
                </c:pt>
                <c:pt idx="45">
                  <c:v>0.29056261527625349</c:v>
                </c:pt>
                <c:pt idx="46">
                  <c:v>0.28738697221796095</c:v>
                </c:pt>
                <c:pt idx="47">
                  <c:v>0.28431322638679069</c:v>
                </c:pt>
                <c:pt idx="48">
                  <c:v>0.28133604249885069</c:v>
                </c:pt>
                <c:pt idx="49">
                  <c:v>0.27845046834763787</c:v>
                </c:pt>
                <c:pt idx="50">
                  <c:v>0.27565190015045882</c:v>
                </c:pt>
                <c:pt idx="51">
                  <c:v>0.26282377444792393</c:v>
                </c:pt>
                <c:pt idx="52">
                  <c:v>0.25163460621927997</c:v>
                </c:pt>
                <c:pt idx="53">
                  <c:v>0.24176270956418039</c:v>
                </c:pt>
                <c:pt idx="54">
                  <c:v>0.23296837623616046</c:v>
                </c:pt>
                <c:pt idx="55">
                  <c:v>0.22506883399908048</c:v>
                </c:pt>
                <c:pt idx="56">
                  <c:v>0.21792196145719012</c:v>
                </c:pt>
                <c:pt idx="57">
                  <c:v>0.2114153565246531</c:v>
                </c:pt>
                <c:pt idx="58">
                  <c:v>0.20545879562113675</c:v>
                </c:pt>
                <c:pt idx="59">
                  <c:v>0.19997890685685421</c:v>
                </c:pt>
                <c:pt idx="60">
                  <c:v>0.1949153278433465</c:v>
                </c:pt>
                <c:pt idx="61">
                  <c:v>0.19021788266110912</c:v>
                </c:pt>
                <c:pt idx="62">
                  <c:v>0.18584447316917066</c:v>
                </c:pt>
                <c:pt idx="63">
                  <c:v>0.18175948041365772</c:v>
                </c:pt>
                <c:pt idx="64">
                  <c:v>0.17793253643885945</c:v>
                </c:pt>
                <c:pt idx="65">
                  <c:v>0.1743375691657521</c:v>
                </c:pt>
                <c:pt idx="66">
                  <c:v>0.17095205137086572</c:v>
                </c:pt>
                <c:pt idx="67">
                  <c:v>0.16775640414618664</c:v>
                </c:pt>
                <c:pt idx="68">
                  <c:v>0.164733518638608</c:v>
                </c:pt>
                <c:pt idx="69">
                  <c:v>0.16186836931599755</c:v>
                </c:pt>
                <c:pt idx="70">
                  <c:v>0.15914769875449922</c:v>
                </c:pt>
                <c:pt idx="71">
                  <c:v>0.15655975882314332</c:v>
                </c:pt>
                <c:pt idx="72">
                  <c:v>0.15409409671585259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3B-49A0-B682-EA01AAE210B7}"/>
            </c:ext>
          </c:extLst>
        </c:ser>
        <c:ser>
          <c:idx val="7"/>
          <c:order val="7"/>
          <c:tx>
            <c:strRef>
              <c:f>Constraint_Diagram!$L$23</c:f>
              <c:strCache>
                <c:ptCount val="1"/>
                <c:pt idx="0">
                  <c:v>Landing Distance </c:v>
                </c:pt>
              </c:strCache>
            </c:strRef>
          </c:tx>
          <c:spPr>
            <a:ln>
              <a:solidFill>
                <a:srgbClr val="7030A0"/>
              </a:solidFill>
              <a:prstDash val="dashDot"/>
            </a:ln>
          </c:spPr>
          <c:marker>
            <c:symbol val="none"/>
          </c:marker>
          <c:xVal>
            <c:numRef>
              <c:f>(Constraint_Diagram!$L$24,Constraint_Diagram!$L$24)</c:f>
              <c:numCache>
                <c:formatCode>0.000</c:formatCode>
                <c:ptCount val="2"/>
                <c:pt idx="0">
                  <c:v>70.827854039662384</c:v>
                </c:pt>
                <c:pt idx="1">
                  <c:v>70.827854039662384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13B-49A0-B682-EA01AAE210B7}"/>
            </c:ext>
          </c:extLst>
        </c:ser>
        <c:ser>
          <c:idx val="8"/>
          <c:order val="8"/>
          <c:tx>
            <c:strRef>
              <c:f>Constraint_Diagram!$N$50</c:f>
              <c:strCache>
                <c:ptCount val="1"/>
                <c:pt idx="0">
                  <c:v>Selected Loadings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Constraint_Diagram!$O$52</c:f>
              <c:numCache>
                <c:formatCode>General</c:formatCode>
                <c:ptCount val="1"/>
                <c:pt idx="0">
                  <c:v>42.488159223919716</c:v>
                </c:pt>
              </c:numCache>
            </c:numRef>
          </c:xVal>
          <c:yVal>
            <c:numRef>
              <c:f>Constraint_Diagram!$O$51</c:f>
              <c:numCache>
                <c:formatCode>General</c:formatCode>
                <c:ptCount val="1"/>
                <c:pt idx="0">
                  <c:v>8.8781228229085976E-2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3B-49A0-B682-EA01AAE2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05967"/>
        <c:axId val="1"/>
      </c:scatterChart>
      <c:valAx>
        <c:axId val="209280596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W/S (N/m</a:t>
                </a:r>
                <a:r>
                  <a:rPr lang="en-GB" sz="10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2</a:t>
                </a:r>
                <a:r>
                  <a:rPr lang="en-GB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W/P (N/W)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80596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7586115840855041"/>
          <c:y val="0.1254878732518597"/>
          <c:w val="0.16279590577486391"/>
          <c:h val="0.3166358633399322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124336</xdr:colOff>
      <xdr:row>39</xdr:row>
      <xdr:rowOff>127356</xdr:rowOff>
    </xdr:from>
    <xdr:to>
      <xdr:col>12</xdr:col>
      <xdr:colOff>236731</xdr:colOff>
      <xdr:row>55</xdr:row>
      <xdr:rowOff>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31</xdr:row>
      <xdr:rowOff>192767</xdr:rowOff>
    </xdr:from>
    <xdr:to>
      <xdr:col>28</xdr:col>
      <xdr:colOff>462416</xdr:colOff>
      <xdr:row>36</xdr:row>
      <xdr:rowOff>194237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70625" y="6423705"/>
          <a:ext cx="4490357" cy="1012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29</xdr:row>
      <xdr:rowOff>102870</xdr:rowOff>
    </xdr:from>
    <xdr:to>
      <xdr:col>9</xdr:col>
      <xdr:colOff>876300</xdr:colOff>
      <xdr:row>46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D950-CD67-7FEB-8F3A-176BF2FF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</xdr:row>
      <xdr:rowOff>38100</xdr:rowOff>
    </xdr:from>
    <xdr:to>
      <xdr:col>8</xdr:col>
      <xdr:colOff>53340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</xdr:row>
      <xdr:rowOff>38100</xdr:rowOff>
    </xdr:from>
    <xdr:to>
      <xdr:col>16</xdr:col>
      <xdr:colOff>190500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18</xdr:row>
      <xdr:rowOff>99060</xdr:rowOff>
    </xdr:from>
    <xdr:to>
      <xdr:col>8</xdr:col>
      <xdr:colOff>30480</xdr:colOff>
      <xdr:row>35</xdr:row>
      <xdr:rowOff>106680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312420</xdr:colOff>
      <xdr:row>0</xdr:row>
      <xdr:rowOff>83820</xdr:rowOff>
    </xdr:from>
    <xdr:to>
      <xdr:col>24</xdr:col>
      <xdr:colOff>259080</xdr:colOff>
      <xdr:row>18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18</xdr:row>
      <xdr:rowOff>121920</xdr:rowOff>
    </xdr:from>
    <xdr:to>
      <xdr:col>16</xdr:col>
      <xdr:colOff>213360</xdr:colOff>
      <xdr:row>35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518160</xdr:colOff>
      <xdr:row>20</xdr:row>
      <xdr:rowOff>133350</xdr:rowOff>
    </xdr:from>
    <xdr:to>
      <xdr:col>24</xdr:col>
      <xdr:colOff>213360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AA96E-43B3-6919-153D-9564C5BF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24</xdr:row>
      <xdr:rowOff>161925</xdr:rowOff>
    </xdr:from>
    <xdr:to>
      <xdr:col>18</xdr:col>
      <xdr:colOff>382280</xdr:colOff>
      <xdr:row>37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991D3-42D1-5300-7718-EAEB2A691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4610100"/>
          <a:ext cx="492570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279400</xdr:colOff>
      <xdr:row>29</xdr:row>
      <xdr:rowOff>59267</xdr:rowOff>
    </xdr:from>
    <xdr:to>
      <xdr:col>5</xdr:col>
      <xdr:colOff>25743</xdr:colOff>
      <xdr:row>37</xdr:row>
      <xdr:rowOff>74625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1525B-2E41-1FCC-8C7F-42CF37A08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400" y="5469467"/>
          <a:ext cx="3962743" cy="1370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178479</xdr:colOff>
      <xdr:row>6</xdr:row>
      <xdr:rowOff>67999</xdr:rowOff>
    </xdr:from>
    <xdr:to>
      <xdr:col>27</xdr:col>
      <xdr:colOff>281447</xdr:colOff>
      <xdr:row>42</xdr:row>
      <xdr:rowOff>35803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348367</xdr:colOff>
      <xdr:row>49</xdr:row>
      <xdr:rowOff>124570</xdr:rowOff>
    </xdr:from>
    <xdr:to>
      <xdr:col>27</xdr:col>
      <xdr:colOff>215348</xdr:colOff>
      <xdr:row>71</xdr:row>
      <xdr:rowOff>99392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eeds365-my.sharepoint.com/personal/mn21cgnc_leeds_ac_uk/Documents/Uni/Year%203/MECH3450%20Aerospace%20Vehicle%20Design/Aero%20Project%20Shared%20Folder/Preliminary/Calculations/Airplane%20Sizing%20Nov%202023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ircraft Sizing"/>
      <sheetName val="Performance "/>
      <sheetName val="Wing calculations"/>
      <sheetName val="Tradeoff Studies"/>
      <sheetName val="Propeller Info"/>
      <sheetName val="UAV_Data "/>
      <sheetName val="Constraint_Diagra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9</v>
    <v>1</v>
  </rv>
  <rv s="1">
    <v>9</v>
    <v>9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errorType" t="i"/>
    <k n="subType" t="i"/>
  </s>
</rvStructur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Flysky-2-4GHz-Transmitter-FS-iA6B-Receiver/dp/B0744DPPL8?source=ps-sl-shoppingads-lpcontext&amp;ref_=fplfs&amp;psc=1&amp;smid=A366N9K63PZN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5FBC-2EAD-405F-B29C-6257CEB1D5BD}">
  <dimension ref="A1:Z107"/>
  <sheetViews>
    <sheetView tabSelected="1" zoomScale="213" zoomScaleNormal="82" workbookViewId="0">
      <selection activeCell="B5" sqref="B5"/>
    </sheetView>
  </sheetViews>
  <sheetFormatPr baseColWidth="10" defaultColWidth="8.83203125" defaultRowHeight="15"/>
  <cols>
    <col min="1" max="1" width="36.1640625" bestFit="1" customWidth="1"/>
    <col min="2" max="2" width="16.33203125" bestFit="1" customWidth="1"/>
    <col min="3" max="3" width="15.83203125" bestFit="1" customWidth="1"/>
    <col min="4" max="4" width="26" bestFit="1" customWidth="1"/>
    <col min="5" max="5" width="23.1640625" bestFit="1" customWidth="1"/>
    <col min="6" max="6" width="24.1640625" bestFit="1" customWidth="1"/>
    <col min="7" max="7" width="10.6640625" bestFit="1" customWidth="1"/>
    <col min="8" max="8" width="37.83203125" customWidth="1"/>
    <col min="9" max="9" width="15.83203125" bestFit="1" customWidth="1"/>
    <col min="10" max="10" width="16.33203125" bestFit="1" customWidth="1"/>
    <col min="11" max="11" width="11.5" bestFit="1" customWidth="1"/>
    <col min="12" max="12" width="16.33203125" bestFit="1" customWidth="1"/>
    <col min="13" max="13" width="17" bestFit="1" customWidth="1"/>
    <col min="14" max="14" width="16.33203125" bestFit="1" customWidth="1"/>
    <col min="15" max="15" width="7.33203125" bestFit="1" customWidth="1"/>
    <col min="16" max="16" width="16.33203125" bestFit="1" customWidth="1"/>
    <col min="17" max="17" width="11.1640625" bestFit="1" customWidth="1"/>
    <col min="18" max="18" width="16.1640625" bestFit="1" customWidth="1"/>
    <col min="19" max="19" width="36.83203125" hidden="1" customWidth="1"/>
    <col min="20" max="20" width="14.5" hidden="1" customWidth="1"/>
    <col min="21" max="21" width="13.1640625" hidden="1" customWidth="1"/>
    <col min="22" max="22" width="22.5" hidden="1" customWidth="1"/>
    <col min="25" max="25" width="14.1640625" bestFit="1" customWidth="1"/>
  </cols>
  <sheetData>
    <row r="1" spans="1:26" ht="20" thickBot="1">
      <c r="A1" s="203" t="s">
        <v>0</v>
      </c>
      <c r="B1" s="204"/>
      <c r="C1" s="204"/>
      <c r="D1" s="204"/>
      <c r="E1" s="204"/>
      <c r="F1" s="205"/>
      <c r="H1" s="203" t="s">
        <v>1</v>
      </c>
      <c r="I1" s="204"/>
      <c r="J1" s="205"/>
      <c r="O1" s="23" t="s">
        <v>2</v>
      </c>
      <c r="P1" s="23" t="s">
        <v>3</v>
      </c>
    </row>
    <row r="2" spans="1:26">
      <c r="A2" s="2" t="s">
        <v>4</v>
      </c>
      <c r="B2" s="146">
        <v>14000</v>
      </c>
      <c r="C2" t="s">
        <v>5</v>
      </c>
      <c r="E2" s="134">
        <f>B2*3.28084</f>
        <v>45931.76</v>
      </c>
      <c r="F2" s="3" t="s">
        <v>6</v>
      </c>
      <c r="H2" s="2" t="s">
        <v>7</v>
      </c>
      <c r="I2" s="130">
        <v>9.81</v>
      </c>
      <c r="J2" s="3" t="s">
        <v>8</v>
      </c>
      <c r="K2" t="s">
        <v>9</v>
      </c>
      <c r="L2">
        <f>((1.458*10^-6)*(I7)^1.5)/((I7)+110.4)</f>
        <v>1.7884392282375993E-5</v>
      </c>
      <c r="M2" t="s">
        <v>10</v>
      </c>
      <c r="O2" s="24">
        <f t="shared" ref="O2:O32" si="0">E44-A44</f>
        <v>4.8216903761013041</v>
      </c>
      <c r="P2" s="25"/>
    </row>
    <row r="3" spans="1:26">
      <c r="A3" s="2" t="s">
        <v>11</v>
      </c>
      <c r="B3" s="114">
        <v>10</v>
      </c>
      <c r="C3" t="s">
        <v>12</v>
      </c>
      <c r="E3" s="130">
        <f>B3*1.944</f>
        <v>19.439999999999998</v>
      </c>
      <c r="F3" s="3" t="s">
        <v>13</v>
      </c>
      <c r="H3" s="2" t="s">
        <v>14</v>
      </c>
      <c r="I3" s="130">
        <v>287.26</v>
      </c>
      <c r="J3" s="3" t="s">
        <v>15</v>
      </c>
      <c r="O3" s="26">
        <f t="shared" si="0"/>
        <v>4.448171527696422</v>
      </c>
      <c r="P3" s="25">
        <f t="shared" ref="P3:P32" si="1">IF(AND(O3&lt;0,O2&gt;0),AVERAGE(A44:A45,E44:E45),0)</f>
        <v>0</v>
      </c>
      <c r="Y3" t="s">
        <v>16</v>
      </c>
      <c r="Z3" t="s">
        <v>17</v>
      </c>
    </row>
    <row r="4" spans="1:26">
      <c r="A4" s="2" t="s">
        <v>18</v>
      </c>
      <c r="B4" s="114">
        <v>1.4</v>
      </c>
      <c r="C4" t="s">
        <v>19</v>
      </c>
      <c r="E4" s="130">
        <f>B4*2.205</f>
        <v>3.0869999999999997</v>
      </c>
      <c r="F4" s="3" t="s">
        <v>20</v>
      </c>
      <c r="H4" s="2" t="s">
        <v>21</v>
      </c>
      <c r="I4" s="130">
        <v>1.2256</v>
      </c>
      <c r="J4" s="3" t="s">
        <v>22</v>
      </c>
      <c r="O4" s="26">
        <f t="shared" si="0"/>
        <v>4.0899855529701519</v>
      </c>
      <c r="P4" s="25">
        <f t="shared" si="1"/>
        <v>0</v>
      </c>
      <c r="Y4" t="s">
        <v>23</v>
      </c>
      <c r="Z4">
        <v>5.4999999999999997E-3</v>
      </c>
    </row>
    <row r="5" spans="1:26">
      <c r="A5" s="2" t="s">
        <v>24</v>
      </c>
      <c r="B5" s="114">
        <f>SUM(I20:I24)</f>
        <v>0.55830000000000002</v>
      </c>
      <c r="C5" t="s">
        <v>19</v>
      </c>
      <c r="E5" s="130">
        <f t="shared" ref="E5:E6" si="2">B5*2.205</f>
        <v>1.2310515000000002</v>
      </c>
      <c r="F5" s="3" t="s">
        <v>20</v>
      </c>
      <c r="H5" s="2" t="s">
        <v>25</v>
      </c>
      <c r="I5" s="130">
        <v>6.4999999999999997E-3</v>
      </c>
      <c r="J5" s="3" t="s">
        <v>26</v>
      </c>
      <c r="O5" s="26">
        <f t="shared" si="0"/>
        <v>3.7435918276084212</v>
      </c>
      <c r="P5" s="25">
        <f t="shared" si="1"/>
        <v>0</v>
      </c>
      <c r="Y5" t="s">
        <v>27</v>
      </c>
    </row>
    <row r="6" spans="1:26" ht="16" thickBot="1">
      <c r="A6" s="2" t="s">
        <v>28</v>
      </c>
      <c r="B6" s="114">
        <f>B5+B4</f>
        <v>1.9582999999999999</v>
      </c>
      <c r="C6" t="s">
        <v>19</v>
      </c>
      <c r="E6" s="130">
        <f t="shared" si="2"/>
        <v>4.3180515000000002</v>
      </c>
      <c r="F6" s="3" t="s">
        <v>20</v>
      </c>
      <c r="H6" s="2" t="s">
        <v>29</v>
      </c>
      <c r="I6" s="130">
        <v>288.14999999999998</v>
      </c>
      <c r="J6" s="3" t="s">
        <v>30</v>
      </c>
      <c r="O6" s="26">
        <f t="shared" si="0"/>
        <v>3.4065174710427986</v>
      </c>
      <c r="P6" s="25">
        <f t="shared" si="1"/>
        <v>0</v>
      </c>
      <c r="Y6" t="s">
        <v>31</v>
      </c>
    </row>
    <row r="7" spans="1:26">
      <c r="A7" s="2" t="s">
        <v>32</v>
      </c>
      <c r="B7" s="114">
        <v>30</v>
      </c>
      <c r="C7" t="s">
        <v>5</v>
      </c>
      <c r="E7" s="130">
        <f>B7*3.28084</f>
        <v>98.425200000000004</v>
      </c>
      <c r="F7" s="3" t="s">
        <v>6</v>
      </c>
      <c r="H7" s="2" t="s">
        <v>33</v>
      </c>
      <c r="I7" s="130">
        <f>I6-(I5*B7)</f>
        <v>287.95499999999998</v>
      </c>
      <c r="J7" s="3" t="s">
        <v>30</v>
      </c>
      <c r="K7">
        <f>I7-273.15</f>
        <v>14.805000000000007</v>
      </c>
      <c r="L7" t="s">
        <v>34</v>
      </c>
      <c r="O7" s="26">
        <f t="shared" si="0"/>
        <v>3.0769727903013253</v>
      </c>
      <c r="P7" s="25">
        <f t="shared" si="1"/>
        <v>0</v>
      </c>
      <c r="S7" s="197" t="s">
        <v>35</v>
      </c>
      <c r="T7" s="198"/>
      <c r="U7" s="198"/>
      <c r="V7" s="199"/>
      <c r="Y7" t="s">
        <v>36</v>
      </c>
      <c r="Z7" t="e">
        <f>Z4*Z5/Z6</f>
        <v>#DIV/0!</v>
      </c>
    </row>
    <row r="8" spans="1:26" ht="16" thickBot="1">
      <c r="A8" s="2" t="s">
        <v>37</v>
      </c>
      <c r="B8" s="114">
        <v>15</v>
      </c>
      <c r="C8" t="s">
        <v>38</v>
      </c>
      <c r="F8" s="3"/>
      <c r="H8" s="4" t="s">
        <v>39</v>
      </c>
      <c r="I8" s="131">
        <f>I4*(I7/I6)^((I2/(I5*I3))-1)</f>
        <v>1.2220757052600084</v>
      </c>
      <c r="J8" s="6" t="s">
        <v>22</v>
      </c>
      <c r="O8" s="26">
        <f t="shared" si="0"/>
        <v>2.753624241859792</v>
      </c>
      <c r="P8" s="25">
        <f t="shared" si="1"/>
        <v>0</v>
      </c>
      <c r="S8" s="2" t="s">
        <v>40</v>
      </c>
      <c r="T8" t="s">
        <v>41</v>
      </c>
      <c r="U8" t="s">
        <v>42</v>
      </c>
      <c r="V8" s="3" t="s">
        <v>43</v>
      </c>
    </row>
    <row r="9" spans="1:26" ht="16" thickBot="1">
      <c r="A9" s="4" t="s">
        <v>44</v>
      </c>
      <c r="B9" s="131">
        <f>B3*((1/3)^0.25)</f>
        <v>7.5983568565159256</v>
      </c>
      <c r="C9" s="5" t="s">
        <v>12</v>
      </c>
      <c r="D9" s="5"/>
      <c r="E9" s="131">
        <f>B9*1.944</f>
        <v>14.77120572906696</v>
      </c>
      <c r="F9" s="6" t="s">
        <v>13</v>
      </c>
      <c r="O9" s="26">
        <f t="shared" si="0"/>
        <v>2.4354537230916726</v>
      </c>
      <c r="P9" s="25">
        <f t="shared" si="1"/>
        <v>0</v>
      </c>
      <c r="S9" s="2" t="e" vm="1">
        <f>1-$V$9/$T$12</f>
        <v>#VALUE!</v>
      </c>
      <c r="T9" t="e" vm="1">
        <f>(0.5*$I$8*$B$3^3*$T$13*$B$23+(2*$B$25*$T$12^2)/($I$8*$B$3*$T$13))/$T$15</f>
        <v>#VALUE!</v>
      </c>
      <c r="U9">
        <f>$B$2/$B$3</f>
        <v>1400</v>
      </c>
      <c r="V9" s="3" t="e" vm="1">
        <f>$T$9*$U$9/$T$14*$B$15</f>
        <v>#VALUE!</v>
      </c>
    </row>
    <row r="10" spans="1:26" ht="16" thickBot="1">
      <c r="H10" s="8" t="s">
        <v>45</v>
      </c>
      <c r="I10" s="8" t="s">
        <v>46</v>
      </c>
      <c r="O10" s="26">
        <f t="shared" si="0"/>
        <v>2.1216677869728535</v>
      </c>
      <c r="P10" s="25">
        <f t="shared" si="1"/>
        <v>0</v>
      </c>
      <c r="S10" s="2" t="e" vm="1">
        <f>1-$V$10/$T$12</f>
        <v>#VALUE!</v>
      </c>
      <c r="T10" t="e" vm="1">
        <f>(0.5*$I$8*$B$9^3*$T$13*$B$23+(2*$B$25*$T$12^2)/($I$8*$B$9*$T$13))/$T$15</f>
        <v>#VALUE!</v>
      </c>
      <c r="U10">
        <f>E7</f>
        <v>98.425200000000004</v>
      </c>
      <c r="V10" s="3" t="e" vm="1">
        <f>$T$10*$U$10/$T$14*$B$15</f>
        <v>#VALUE!</v>
      </c>
    </row>
    <row r="11" spans="1:26" ht="20" thickBot="1">
      <c r="A11" s="210" t="s">
        <v>47</v>
      </c>
      <c r="B11" s="211"/>
      <c r="C11" s="211"/>
      <c r="D11" s="211"/>
      <c r="E11" s="211"/>
      <c r="F11" s="212"/>
      <c r="H11" s="9" t="s">
        <v>48</v>
      </c>
      <c r="I11" s="182">
        <v>0.97</v>
      </c>
      <c r="O11" s="26">
        <f t="shared" si="0"/>
        <v>1.8116370466143392</v>
      </c>
      <c r="P11" s="25">
        <f t="shared" si="1"/>
        <v>0</v>
      </c>
      <c r="S11" s="2"/>
      <c r="V11" s="3"/>
    </row>
    <row r="12" spans="1:26">
      <c r="A12" s="2" t="s">
        <v>49</v>
      </c>
      <c r="B12" s="114">
        <v>2.9</v>
      </c>
      <c r="C12" t="s">
        <v>5</v>
      </c>
      <c r="E12" s="133">
        <f>B12*3.28084</f>
        <v>9.5144359999999999</v>
      </c>
      <c r="F12" s="3" t="s">
        <v>6</v>
      </c>
      <c r="H12" s="10" t="s">
        <v>50</v>
      </c>
      <c r="I12" s="182">
        <v>0.98499999999999999</v>
      </c>
      <c r="O12" s="26">
        <f t="shared" si="0"/>
        <v>1.5048545404267317</v>
      </c>
      <c r="P12" s="25">
        <f t="shared" si="1"/>
        <v>0</v>
      </c>
      <c r="S12" s="2" t="s">
        <v>51</v>
      </c>
      <c r="T12">
        <f>SUM($B$6,$B$15,$B$32)</f>
        <v>3.1002000000000001</v>
      </c>
      <c r="V12" s="3"/>
    </row>
    <row r="13" spans="1:26">
      <c r="A13" s="2" t="s">
        <v>52</v>
      </c>
      <c r="B13" s="114">
        <v>1.4</v>
      </c>
      <c r="C13" t="s">
        <v>53</v>
      </c>
      <c r="E13" s="133">
        <f>B13*10.764</f>
        <v>15.069599999999998</v>
      </c>
      <c r="F13" s="3" t="s">
        <v>54</v>
      </c>
      <c r="H13" s="11" t="s">
        <v>55</v>
      </c>
      <c r="I13" s="183">
        <f>B19</f>
        <v>0.96438011922995703</v>
      </c>
      <c r="O13" s="26">
        <f t="shared" si="0"/>
        <v>1.2009063984547765</v>
      </c>
      <c r="P13" s="25">
        <f t="shared" si="1"/>
        <v>0</v>
      </c>
      <c r="S13" s="2" t="s">
        <v>56</v>
      </c>
      <c r="T13" t="e" vm="2">
        <f>'[1]Wing calculations'!E2</f>
        <v>#VALUE!</v>
      </c>
      <c r="V13" s="3"/>
    </row>
    <row r="14" spans="1:26">
      <c r="A14" s="2" t="s">
        <v>57</v>
      </c>
      <c r="B14" s="134">
        <f>(B12^2)/B13</f>
        <v>6.007142857142858</v>
      </c>
      <c r="F14" s="3"/>
      <c r="H14" s="11" t="s">
        <v>58</v>
      </c>
      <c r="I14" s="183">
        <f>B20</f>
        <v>0.9975799201095753</v>
      </c>
      <c r="O14" s="26">
        <f t="shared" si="0"/>
        <v>0.89945071749321759</v>
      </c>
      <c r="P14" s="25">
        <f t="shared" si="1"/>
        <v>0</v>
      </c>
      <c r="S14" s="2" t="s">
        <v>59</v>
      </c>
      <c r="T14" s="110">
        <f>$B$18*$B$15</f>
        <v>339660</v>
      </c>
      <c r="U14" t="s">
        <v>60</v>
      </c>
      <c r="V14" s="3"/>
    </row>
    <row r="15" spans="1:26" ht="64">
      <c r="A15" s="2" t="s">
        <v>61</v>
      </c>
      <c r="B15" s="114">
        <v>0.52500000000000002</v>
      </c>
      <c r="C15" t="s">
        <v>19</v>
      </c>
      <c r="D15" s="128" t="s">
        <v>62</v>
      </c>
      <c r="E15" s="130">
        <f>B15*2.205</f>
        <v>1.1576250000000001</v>
      </c>
      <c r="F15" s="3" t="s">
        <v>20</v>
      </c>
      <c r="H15" s="10" t="s">
        <v>63</v>
      </c>
      <c r="I15" s="182">
        <v>0.99250000000000005</v>
      </c>
      <c r="O15" s="26">
        <f t="shared" si="0"/>
        <v>0.6002020510394237</v>
      </c>
      <c r="P15" s="25">
        <f t="shared" si="1"/>
        <v>0</v>
      </c>
      <c r="S15" s="2" t="s">
        <v>64</v>
      </c>
      <c r="T15">
        <v>0.7</v>
      </c>
      <c r="V15" s="3"/>
    </row>
    <row r="16" spans="1:26" ht="16" thickBot="1">
      <c r="A16" s="2" t="s">
        <v>65</v>
      </c>
      <c r="B16" s="114">
        <v>11.1</v>
      </c>
      <c r="C16" t="s">
        <v>66</v>
      </c>
      <c r="F16" s="3"/>
      <c r="H16" s="12" t="s">
        <v>67</v>
      </c>
      <c r="I16" s="184">
        <v>0.97</v>
      </c>
      <c r="O16" s="26">
        <f t="shared" si="0"/>
        <v>0.30291982457601119</v>
      </c>
      <c r="P16" s="25">
        <f t="shared" si="1"/>
        <v>0</v>
      </c>
      <c r="S16" s="2"/>
      <c r="V16" s="3"/>
    </row>
    <row r="17" spans="1:22" ht="16" thickBot="1">
      <c r="A17" s="2" t="s">
        <v>68</v>
      </c>
      <c r="B17" s="114">
        <v>8.5</v>
      </c>
      <c r="C17" t="s">
        <v>69</v>
      </c>
      <c r="E17" s="130">
        <f>B17*3600</f>
        <v>30600</v>
      </c>
      <c r="F17" s="3" t="s">
        <v>70</v>
      </c>
      <c r="H17" s="13" t="s">
        <v>71</v>
      </c>
      <c r="I17" s="132">
        <f>1.06*(1-PRODUCT(I11:I16))</f>
        <v>0.12198015326393088</v>
      </c>
      <c r="O17" s="26">
        <f t="shared" si="0"/>
        <v>7.3995489141429616E-3</v>
      </c>
      <c r="P17" s="25">
        <f t="shared" si="1"/>
        <v>0</v>
      </c>
      <c r="S17" s="2"/>
      <c r="V17" s="3"/>
    </row>
    <row r="18" spans="1:22">
      <c r="A18" s="2" t="s">
        <v>72</v>
      </c>
      <c r="B18" s="147">
        <f>E17*B16/B15</f>
        <v>646971.42857142852</v>
      </c>
      <c r="C18" t="s">
        <v>73</v>
      </c>
      <c r="D18" s="130">
        <f>B18/3600</f>
        <v>179.71428571428569</v>
      </c>
      <c r="E18" t="s">
        <v>74</v>
      </c>
      <c r="F18" s="3"/>
      <c r="O18" s="26">
        <f t="shared" si="0"/>
        <v>-0.28653393689065609</v>
      </c>
      <c r="P18" s="25">
        <f t="shared" si="1"/>
        <v>6.0635497363392048</v>
      </c>
      <c r="S18" s="2"/>
      <c r="V18" s="3"/>
    </row>
    <row r="19" spans="1:22" ht="20" thickBot="1">
      <c r="A19" s="2" t="s">
        <v>75</v>
      </c>
      <c r="B19" s="145">
        <f>1-(B2*I2/(B18*B21*B22*((B26)/B27)))</f>
        <v>0.96438011922995703</v>
      </c>
      <c r="F19" s="3"/>
      <c r="H19" s="213" t="s">
        <v>76</v>
      </c>
      <c r="I19" s="213"/>
      <c r="J19" s="127"/>
      <c r="K19" s="127"/>
      <c r="L19" s="206"/>
      <c r="M19" s="206"/>
      <c r="O19" s="26">
        <f t="shared" si="0"/>
        <v>-0.5790317271674299</v>
      </c>
      <c r="P19" s="25">
        <f t="shared" si="1"/>
        <v>0</v>
      </c>
      <c r="S19" s="2"/>
      <c r="V19" s="3"/>
    </row>
    <row r="20" spans="1:22" ht="16" thickBot="1">
      <c r="A20" s="2" t="s">
        <v>77</v>
      </c>
      <c r="B20" s="145">
        <f>1-(E7*B9*I2/(B18*B21*B22*((B28^1.5)/B29)))</f>
        <v>0.9975799201095753</v>
      </c>
      <c r="F20" s="3"/>
      <c r="H20" s="127" t="s">
        <v>78</v>
      </c>
      <c r="I20" s="190">
        <v>3.2000000000000001E-2</v>
      </c>
      <c r="J20" s="127" t="s">
        <v>19</v>
      </c>
      <c r="K20" s="127"/>
      <c r="L20" s="127"/>
      <c r="O20" s="26">
        <f t="shared" si="0"/>
        <v>-0.87022499356128336</v>
      </c>
      <c r="P20" s="25">
        <f t="shared" si="1"/>
        <v>0</v>
      </c>
      <c r="S20" s="200" t="s">
        <v>79</v>
      </c>
      <c r="T20" s="201"/>
      <c r="U20" s="201"/>
      <c r="V20" s="202"/>
    </row>
    <row r="21" spans="1:22">
      <c r="A21" s="2" t="s">
        <v>80</v>
      </c>
      <c r="B21" s="114">
        <f>0.85*0.65*0.85</f>
        <v>0.46962499999999996</v>
      </c>
      <c r="F21" s="3"/>
      <c r="H21" s="127" t="s">
        <v>81</v>
      </c>
      <c r="I21" s="190">
        <v>0.3</v>
      </c>
      <c r="J21" s="127" t="s">
        <v>19</v>
      </c>
      <c r="K21" s="127"/>
      <c r="L21" s="127"/>
      <c r="O21" s="26">
        <f t="shared" si="0"/>
        <v>-1.1602282827045149</v>
      </c>
      <c r="P21" s="25">
        <f t="shared" si="1"/>
        <v>0</v>
      </c>
      <c r="S21" s="2" t="s">
        <v>82</v>
      </c>
      <c r="T21" t="s">
        <v>83</v>
      </c>
      <c r="U21" t="s">
        <v>41</v>
      </c>
      <c r="V21" s="3" t="s">
        <v>84</v>
      </c>
    </row>
    <row r="22" spans="1:22">
      <c r="A22" s="2" t="s">
        <v>85</v>
      </c>
      <c r="B22" s="114">
        <v>0.8</v>
      </c>
      <c r="D22" s="128"/>
      <c r="E22" s="128"/>
      <c r="F22" s="115"/>
      <c r="H22" s="127" t="s">
        <v>86</v>
      </c>
      <c r="I22" s="190">
        <v>1.6299999999999999E-2</v>
      </c>
      <c r="J22" s="127" t="s">
        <v>19</v>
      </c>
      <c r="K22" s="162" t="s">
        <v>87</v>
      </c>
      <c r="L22" s="127"/>
      <c r="O22" s="26">
        <f t="shared" si="0"/>
        <v>-1.4491421655055916</v>
      </c>
      <c r="P22" s="25">
        <f t="shared" si="1"/>
        <v>0</v>
      </c>
      <c r="S22" s="2" t="str">
        <f>H11</f>
        <v>1. Engine start-up, warm-up and takeoff</v>
      </c>
      <c r="T22" s="112">
        <f>(1-I11)*$T$12*$B$18</f>
        <v>60172.22468571434</v>
      </c>
      <c r="V22" s="3"/>
    </row>
    <row r="23" spans="1:22">
      <c r="A23" s="2" t="s">
        <v>88</v>
      </c>
      <c r="B23" s="114">
        <v>1.4999999999999999E-2</v>
      </c>
      <c r="F23" s="3"/>
      <c r="H23" s="127" t="s">
        <v>89</v>
      </c>
      <c r="I23" s="190">
        <v>0.2</v>
      </c>
      <c r="J23" s="127" t="s">
        <v>19</v>
      </c>
      <c r="K23" s="127"/>
      <c r="L23" s="127"/>
      <c r="O23" s="26">
        <f t="shared" si="0"/>
        <v>-1.7370553842304632</v>
      </c>
      <c r="P23" s="25">
        <f t="shared" si="1"/>
        <v>0</v>
      </c>
      <c r="S23" s="2" t="str">
        <f t="shared" ref="S23:S26" si="3">H12</f>
        <v>2. Climb</v>
      </c>
      <c r="T23" s="112">
        <f t="shared" ref="T23:T26" si="4">(1-I12)*$T$12*$B$18</f>
        <v>30086.11234285717</v>
      </c>
      <c r="V23" s="3"/>
    </row>
    <row r="24" spans="1:22">
      <c r="A24" s="2" t="s">
        <v>90</v>
      </c>
      <c r="B24" s="114">
        <v>0.8</v>
      </c>
      <c r="D24" s="129"/>
      <c r="F24" s="3"/>
      <c r="H24" s="127" t="s">
        <v>91</v>
      </c>
      <c r="I24" s="190">
        <v>0.01</v>
      </c>
      <c r="J24" s="127" t="s">
        <v>19</v>
      </c>
      <c r="K24" s="127"/>
      <c r="L24" s="127"/>
      <c r="O24" s="26">
        <f t="shared" si="0"/>
        <v>-2.0240466066776852</v>
      </c>
      <c r="P24" s="25">
        <f t="shared" si="1"/>
        <v>0</v>
      </c>
      <c r="S24" s="2" t="str">
        <f t="shared" si="3"/>
        <v>3. Cruise to destination:</v>
      </c>
      <c r="T24" s="112" t="e" vm="1">
        <f>U24*V24</f>
        <v>#VALUE!</v>
      </c>
      <c r="U24" s="111" t="e" vm="1">
        <f>T9</f>
        <v>#VALUE!</v>
      </c>
      <c r="V24" s="3">
        <f>U9</f>
        <v>1400</v>
      </c>
    </row>
    <row r="25" spans="1:22">
      <c r="A25" s="2" t="s">
        <v>92</v>
      </c>
      <c r="B25" s="133">
        <f>1/(PI()*B24*B14)</f>
        <v>6.6235707588779266E-2</v>
      </c>
      <c r="F25" s="3"/>
      <c r="H25" s="127"/>
      <c r="I25" s="127"/>
      <c r="J25" s="127"/>
      <c r="K25" s="127"/>
      <c r="L25" s="127"/>
      <c r="O25" s="26">
        <f t="shared" si="0"/>
        <v>-2.3101858700989473</v>
      </c>
      <c r="P25" s="25">
        <f t="shared" si="1"/>
        <v>0</v>
      </c>
      <c r="S25" s="2" t="str">
        <f t="shared" si="3"/>
        <v>4. Loiter</v>
      </c>
      <c r="T25" s="112" t="e" vm="1">
        <f>U25*V25</f>
        <v>#VALUE!</v>
      </c>
      <c r="U25" s="111" t="e" vm="1">
        <f>T10</f>
        <v>#VALUE!</v>
      </c>
      <c r="V25" s="3">
        <f>U10</f>
        <v>98.425200000000004</v>
      </c>
    </row>
    <row r="26" spans="1:22">
      <c r="A26" s="2" t="s">
        <v>93</v>
      </c>
      <c r="B26" s="133">
        <f>SQRT(B23/B25)</f>
        <v>0.47588228631540053</v>
      </c>
      <c r="F26" s="3"/>
      <c r="H26" s="127"/>
      <c r="I26" s="127"/>
      <c r="J26" s="127"/>
      <c r="K26" s="127"/>
      <c r="L26" s="127"/>
      <c r="O26" s="26">
        <f t="shared" si="0"/>
        <v>-2.5955357780166901</v>
      </c>
      <c r="P26" s="25">
        <f t="shared" si="1"/>
        <v>0</v>
      </c>
      <c r="S26" s="2" t="str">
        <f t="shared" si="3"/>
        <v>5. Descend</v>
      </c>
      <c r="T26" s="112">
        <f t="shared" si="4"/>
        <v>15043.056171428472</v>
      </c>
      <c r="V26" s="3"/>
    </row>
    <row r="27" spans="1:22">
      <c r="A27" s="2" t="s">
        <v>94</v>
      </c>
      <c r="B27" s="130">
        <f>2*B23</f>
        <v>0.03</v>
      </c>
      <c r="F27" s="3"/>
      <c r="H27" s="127"/>
      <c r="I27" s="127"/>
      <c r="J27" s="127"/>
      <c r="K27" s="127"/>
      <c r="L27" s="127"/>
      <c r="O27" s="26">
        <f t="shared" si="0"/>
        <v>-2.8801524986581528</v>
      </c>
      <c r="P27" s="25">
        <f t="shared" si="1"/>
        <v>0</v>
      </c>
      <c r="S27" s="2"/>
      <c r="T27" s="113"/>
      <c r="V27" s="3"/>
    </row>
    <row r="28" spans="1:22">
      <c r="A28" s="2" t="s">
        <v>95</v>
      </c>
      <c r="B28" s="133">
        <f>SQRT(3*B23/B25)</f>
        <v>0.8242522983203131</v>
      </c>
      <c r="F28" s="3"/>
      <c r="H28" s="127"/>
      <c r="I28" s="127"/>
      <c r="J28" s="127"/>
      <c r="K28" s="127"/>
      <c r="L28" s="127"/>
      <c r="O28" s="26">
        <f t="shared" si="0"/>
        <v>-3.1640866029296708</v>
      </c>
      <c r="P28" s="25">
        <f t="shared" si="1"/>
        <v>0</v>
      </c>
      <c r="S28" s="2" t="s">
        <v>96</v>
      </c>
      <c r="T28" s="113" t="e" vm="1">
        <f>SUM(T22:T26)</f>
        <v>#VALUE!</v>
      </c>
      <c r="V28" s="3"/>
    </row>
    <row r="29" spans="1:22">
      <c r="A29" s="2" t="s">
        <v>97</v>
      </c>
      <c r="B29" s="130">
        <f>4*B23</f>
        <v>0.06</v>
      </c>
      <c r="F29" s="3"/>
      <c r="H29" s="127"/>
      <c r="I29" s="127"/>
      <c r="J29" s="127"/>
      <c r="K29" s="127"/>
      <c r="L29" s="127"/>
      <c r="O29" s="26">
        <f t="shared" si="0"/>
        <v>-3.4473837716996139</v>
      </c>
      <c r="P29" s="25">
        <f t="shared" si="1"/>
        <v>0</v>
      </c>
      <c r="S29" s="2" t="s">
        <v>98</v>
      </c>
      <c r="T29" s="113">
        <f>T14</f>
        <v>339660</v>
      </c>
      <c r="V29" s="3"/>
    </row>
    <row r="30" spans="1:22">
      <c r="A30" s="2" t="s">
        <v>99</v>
      </c>
      <c r="B30" s="134">
        <f>B26/B27</f>
        <v>15.862742877180018</v>
      </c>
      <c r="F30" s="3"/>
      <c r="H30" s="127"/>
      <c r="I30" s="127"/>
      <c r="J30" s="127"/>
      <c r="K30" s="127"/>
      <c r="L30" s="127"/>
      <c r="O30" s="26">
        <f t="shared" si="0"/>
        <v>-3.7300853959402049</v>
      </c>
      <c r="P30" s="25">
        <f t="shared" si="1"/>
        <v>0</v>
      </c>
      <c r="S30" s="2" t="s">
        <v>100</v>
      </c>
      <c r="T30" s="113" t="e" vm="1">
        <f>T29-T28</f>
        <v>#VALUE!</v>
      </c>
      <c r="V30" s="3"/>
    </row>
    <row r="31" spans="1:22">
      <c r="A31" s="2" t="s">
        <v>101</v>
      </c>
      <c r="B31" s="134">
        <f>B28/B29</f>
        <v>13.737538305338552</v>
      </c>
      <c r="F31" s="3"/>
      <c r="H31" s="127"/>
      <c r="I31" s="127"/>
      <c r="J31" s="127"/>
      <c r="K31" s="127"/>
      <c r="L31" s="127"/>
      <c r="O31" s="26">
        <f t="shared" si="0"/>
        <v>-4.0122290884962695</v>
      </c>
      <c r="P31" s="25">
        <f t="shared" si="1"/>
        <v>0</v>
      </c>
      <c r="S31" s="2"/>
      <c r="V31" s="3"/>
    </row>
    <row r="32" spans="1:22">
      <c r="A32" s="2" t="s">
        <v>102</v>
      </c>
      <c r="B32" s="114">
        <v>0.6169</v>
      </c>
      <c r="F32" s="3"/>
      <c r="H32" s="127"/>
      <c r="I32" s="127"/>
      <c r="J32" s="127"/>
      <c r="K32" s="127"/>
      <c r="L32" s="127"/>
      <c r="O32" s="26">
        <f t="shared" si="0"/>
        <v>-4.2938491225413431</v>
      </c>
      <c r="P32" s="25">
        <f t="shared" si="1"/>
        <v>0</v>
      </c>
      <c r="S32" s="2"/>
      <c r="V32" s="3"/>
    </row>
    <row r="33" spans="1:22">
      <c r="A33" s="2" t="s">
        <v>103</v>
      </c>
      <c r="B33" s="114">
        <v>1</v>
      </c>
      <c r="F33" s="3"/>
      <c r="H33" s="127"/>
      <c r="I33" s="127"/>
      <c r="J33" s="127"/>
      <c r="K33" s="127"/>
      <c r="L33" s="127"/>
      <c r="S33" s="2"/>
      <c r="V33" s="3"/>
    </row>
    <row r="34" spans="1:22" ht="16" thickBot="1">
      <c r="A34" s="4" t="s">
        <v>104</v>
      </c>
      <c r="B34" s="160">
        <v>-6.2E-2</v>
      </c>
      <c r="C34" s="5"/>
      <c r="D34" s="5"/>
      <c r="E34" s="5"/>
      <c r="F34" s="6"/>
      <c r="H34" s="127"/>
      <c r="I34" s="127"/>
      <c r="J34" s="127"/>
      <c r="K34" s="127"/>
      <c r="L34" s="127"/>
      <c r="S34" s="2"/>
      <c r="V34" s="3"/>
    </row>
    <row r="35" spans="1:22">
      <c r="H35" s="127"/>
      <c r="I35" s="127"/>
      <c r="J35" s="127"/>
      <c r="K35" s="127"/>
      <c r="L35" s="127"/>
      <c r="S35" s="2"/>
      <c r="V35" s="3"/>
    </row>
    <row r="36" spans="1:22" ht="16" thickBot="1">
      <c r="L36" s="127"/>
      <c r="S36" s="2"/>
      <c r="V36" s="3"/>
    </row>
    <row r="37" spans="1:22" ht="16" thickBot="1">
      <c r="A37" s="22" t="s">
        <v>105</v>
      </c>
      <c r="B37" s="192">
        <v>2</v>
      </c>
      <c r="D37" s="30" t="s">
        <v>106</v>
      </c>
      <c r="E37" s="191">
        <f>MAX(P2:P32)</f>
        <v>6.0635497363392048</v>
      </c>
      <c r="F37" s="7" t="s">
        <v>19</v>
      </c>
      <c r="S37" s="2"/>
      <c r="V37" s="3"/>
    </row>
    <row r="38" spans="1:22">
      <c r="A38" s="2" t="s">
        <v>107</v>
      </c>
      <c r="B38" s="193">
        <v>10</v>
      </c>
      <c r="S38" s="2"/>
      <c r="V38" s="3"/>
    </row>
    <row r="39" spans="1:22" ht="16" thickBot="1">
      <c r="A39" s="4" t="s">
        <v>108</v>
      </c>
      <c r="B39" s="194">
        <f>(B38-B37)/(30)</f>
        <v>0.26666666666666666</v>
      </c>
      <c r="S39" s="2"/>
      <c r="V39" s="3"/>
    </row>
    <row r="40" spans="1:22">
      <c r="S40" s="2"/>
      <c r="V40" s="3"/>
    </row>
    <row r="41" spans="1:22" ht="16" thickBot="1">
      <c r="S41" s="2"/>
      <c r="V41" s="3"/>
    </row>
    <row r="42" spans="1:22" ht="16" thickBot="1">
      <c r="A42" s="207" t="s">
        <v>109</v>
      </c>
      <c r="B42" s="208"/>
      <c r="C42" s="208"/>
      <c r="D42" s="208"/>
      <c r="E42" s="209"/>
      <c r="S42" s="2"/>
      <c r="V42" s="3"/>
    </row>
    <row r="43" spans="1:22" ht="17" thickBot="1">
      <c r="A43" s="14" t="s">
        <v>110</v>
      </c>
      <c r="B43" s="15" t="s">
        <v>111</v>
      </c>
      <c r="C43" s="15" t="s">
        <v>112</v>
      </c>
      <c r="D43" s="15" t="s">
        <v>113</v>
      </c>
      <c r="E43" s="16" t="s">
        <v>114</v>
      </c>
      <c r="S43" s="4"/>
      <c r="T43" s="5"/>
      <c r="U43" s="5"/>
      <c r="V43" s="6"/>
    </row>
    <row r="44" spans="1:22" ht="16" thickBot="1">
      <c r="A44" s="17">
        <f>B37</f>
        <v>2</v>
      </c>
      <c r="B44" s="21">
        <f t="shared" ref="B44:B74" si="5">$B$32*$B$33*A44^$B$34</f>
        <v>0.59095023612158137</v>
      </c>
      <c r="C44" s="18">
        <f>A44*B44</f>
        <v>1.1819004722431627</v>
      </c>
      <c r="D44" s="18">
        <f>A44*$I$17</f>
        <v>0.24396030652786177</v>
      </c>
      <c r="E44" s="19">
        <f t="shared" ref="E44:E74" si="6">($B$6)/(1-$I$17-B44)</f>
        <v>6.8216903761013041</v>
      </c>
    </row>
    <row r="45" spans="1:22" ht="16" thickBot="1">
      <c r="A45" s="20">
        <f>A44+$B$39</f>
        <v>2.2666666666666666</v>
      </c>
      <c r="B45" s="21">
        <f t="shared" si="5"/>
        <v>0.58638214180314374</v>
      </c>
      <c r="C45" s="18">
        <f t="shared" ref="C45:C74" si="7">A45*B45</f>
        <v>1.3291328547537924</v>
      </c>
      <c r="D45" s="18">
        <f t="shared" ref="D45:D74" si="8">A45*$I$17</f>
        <v>0.27648834739824335</v>
      </c>
      <c r="E45" s="19">
        <f t="shared" si="6"/>
        <v>6.7148381943630886</v>
      </c>
    </row>
    <row r="46" spans="1:22" ht="16" thickBot="1">
      <c r="A46" s="20">
        <f t="shared" ref="A46:A74" si="9">A45+$B$39</f>
        <v>2.5333333333333332</v>
      </c>
      <c r="B46" s="21">
        <f t="shared" si="5"/>
        <v>0.58235236739280305</v>
      </c>
      <c r="C46" s="18">
        <f t="shared" si="7"/>
        <v>1.4752926640617676</v>
      </c>
      <c r="D46" s="18">
        <f t="shared" si="8"/>
        <v>0.30901638826862488</v>
      </c>
      <c r="E46" s="19">
        <f t="shared" si="6"/>
        <v>6.6233188863034851</v>
      </c>
    </row>
    <row r="47" spans="1:22" ht="16" thickBot="1">
      <c r="A47" s="20">
        <f t="shared" si="9"/>
        <v>2.8</v>
      </c>
      <c r="B47" s="21">
        <f t="shared" si="5"/>
        <v>0.57874995772226623</v>
      </c>
      <c r="C47" s="18">
        <f t="shared" si="7"/>
        <v>1.6204998816223453</v>
      </c>
      <c r="D47" s="18">
        <f t="shared" si="8"/>
        <v>0.34154442913900646</v>
      </c>
      <c r="E47" s="19">
        <f t="shared" si="6"/>
        <v>6.5435918276084211</v>
      </c>
    </row>
    <row r="48" spans="1:22" ht="16" thickBot="1">
      <c r="A48" s="20">
        <f t="shared" si="9"/>
        <v>3.0666666666666664</v>
      </c>
      <c r="B48" s="21">
        <f t="shared" si="5"/>
        <v>0.57549485156530855</v>
      </c>
      <c r="C48" s="18">
        <f t="shared" si="7"/>
        <v>1.7648508781336127</v>
      </c>
      <c r="D48" s="18">
        <f t="shared" si="8"/>
        <v>0.37407247000938804</v>
      </c>
      <c r="E48" s="19">
        <f t="shared" si="6"/>
        <v>6.473184137709465</v>
      </c>
    </row>
    <row r="49" spans="1:18" ht="16" thickBot="1">
      <c r="A49" s="20">
        <f t="shared" si="9"/>
        <v>3.333333333333333</v>
      </c>
      <c r="B49" s="21">
        <f t="shared" si="5"/>
        <v>0.57252741591754852</v>
      </c>
      <c r="C49" s="18">
        <f t="shared" si="7"/>
        <v>1.9084247197251616</v>
      </c>
      <c r="D49" s="18">
        <f t="shared" si="8"/>
        <v>0.40660051087976956</v>
      </c>
      <c r="E49" s="19">
        <f t="shared" si="6"/>
        <v>6.4103061236346583</v>
      </c>
    </row>
    <row r="50" spans="1:18" ht="16" thickBot="1">
      <c r="A50" s="20">
        <f t="shared" si="9"/>
        <v>3.5999999999999996</v>
      </c>
      <c r="B50" s="21">
        <f t="shared" si="5"/>
        <v>0.56980206024846614</v>
      </c>
      <c r="C50" s="18">
        <f t="shared" si="7"/>
        <v>2.0512874168944779</v>
      </c>
      <c r="D50" s="18">
        <f t="shared" si="8"/>
        <v>0.43912855175015114</v>
      </c>
      <c r="E50" s="19">
        <f t="shared" si="6"/>
        <v>6.3536242418597917</v>
      </c>
    </row>
    <row r="51" spans="1:18" ht="16" thickBot="1">
      <c r="A51" s="20">
        <f t="shared" si="9"/>
        <v>3.8666666666666663</v>
      </c>
      <c r="B51" s="21">
        <f t="shared" si="5"/>
        <v>0.56728316147971325</v>
      </c>
      <c r="C51" s="18">
        <f t="shared" si="7"/>
        <v>2.193494891054891</v>
      </c>
      <c r="D51" s="18">
        <f t="shared" si="8"/>
        <v>0.47165659262053272</v>
      </c>
      <c r="E51" s="19">
        <f t="shared" si="6"/>
        <v>6.3021203897583389</v>
      </c>
    </row>
    <row r="52" spans="1:18" ht="16" thickBot="1">
      <c r="A52" s="20">
        <f t="shared" si="9"/>
        <v>4.1333333333333329</v>
      </c>
      <c r="B52" s="21">
        <f t="shared" si="5"/>
        <v>0.56494236484040805</v>
      </c>
      <c r="C52" s="18">
        <f t="shared" si="7"/>
        <v>2.3350951080070197</v>
      </c>
      <c r="D52" s="18">
        <f t="shared" si="8"/>
        <v>0.50418463349091425</v>
      </c>
      <c r="E52" s="19">
        <f t="shared" si="6"/>
        <v>6.2550011203061864</v>
      </c>
    </row>
    <row r="53" spans="1:18" ht="16" thickBot="1">
      <c r="A53" s="20">
        <f t="shared" si="9"/>
        <v>4.3999999999999995</v>
      </c>
      <c r="B53" s="21">
        <f t="shared" si="5"/>
        <v>0.56275673891051226</v>
      </c>
      <c r="C53" s="18">
        <f t="shared" si="7"/>
        <v>2.4761296512062536</v>
      </c>
      <c r="D53" s="18">
        <f t="shared" si="8"/>
        <v>0.53671267436129588</v>
      </c>
      <c r="E53" s="19">
        <f t="shared" si="6"/>
        <v>6.2116370466143387</v>
      </c>
      <c r="G53" s="1"/>
      <c r="J53" s="1"/>
    </row>
    <row r="54" spans="1:18" ht="16" thickBot="1">
      <c r="A54" s="20">
        <f t="shared" si="9"/>
        <v>4.6666666666666661</v>
      </c>
      <c r="B54" s="21">
        <f t="shared" si="5"/>
        <v>0.56070748009473326</v>
      </c>
      <c r="C54" s="18">
        <f t="shared" si="7"/>
        <v>2.6166349071087547</v>
      </c>
      <c r="D54" s="18">
        <f t="shared" si="8"/>
        <v>0.56924071523167741</v>
      </c>
      <c r="E54" s="19">
        <f t="shared" si="6"/>
        <v>6.1715212070933978</v>
      </c>
    </row>
    <row r="55" spans="1:18" ht="16" thickBot="1">
      <c r="A55" s="20">
        <f t="shared" si="9"/>
        <v>4.9333333333333327</v>
      </c>
      <c r="B55" s="21">
        <f t="shared" si="5"/>
        <v>0.55877898142525706</v>
      </c>
      <c r="C55" s="18">
        <f t="shared" si="7"/>
        <v>2.756642975031268</v>
      </c>
      <c r="D55" s="18">
        <f t="shared" si="8"/>
        <v>0.60176875610205893</v>
      </c>
      <c r="E55" s="19">
        <f t="shared" si="6"/>
        <v>6.1342397317881092</v>
      </c>
    </row>
    <row r="56" spans="1:18" ht="16" thickBot="1">
      <c r="A56" s="20">
        <f t="shared" si="9"/>
        <v>5.1999999999999993</v>
      </c>
      <c r="B56" s="21">
        <f t="shared" si="5"/>
        <v>0.55695814942886768</v>
      </c>
      <c r="C56" s="18">
        <f t="shared" si="7"/>
        <v>2.8961823770301116</v>
      </c>
      <c r="D56" s="18">
        <f t="shared" si="8"/>
        <v>0.63429679697244057</v>
      </c>
      <c r="E56" s="19">
        <f t="shared" si="6"/>
        <v>6.0994507174932169</v>
      </c>
    </row>
    <row r="57" spans="1:18" ht="16" thickBot="1">
      <c r="A57" s="20">
        <f t="shared" si="9"/>
        <v>5.4666666666666659</v>
      </c>
      <c r="B57" s="21">
        <f t="shared" si="5"/>
        <v>0.55523389386309485</v>
      </c>
      <c r="C57" s="18">
        <f t="shared" si="7"/>
        <v>3.035278619784918</v>
      </c>
      <c r="D57" s="18">
        <f t="shared" si="8"/>
        <v>0.66682483784282209</v>
      </c>
      <c r="E57" s="19">
        <f t="shared" si="6"/>
        <v>6.0668687177060896</v>
      </c>
      <c r="J57" s="33"/>
    </row>
    <row r="58" spans="1:18" ht="16" thickBot="1">
      <c r="A58" s="20">
        <f t="shared" si="9"/>
        <v>5.7333333333333325</v>
      </c>
      <c r="B58" s="21">
        <f t="shared" si="5"/>
        <v>0.55359674041985607</v>
      </c>
      <c r="C58" s="18">
        <f t="shared" si="7"/>
        <v>3.1739546450738412</v>
      </c>
      <c r="D58" s="18">
        <f t="shared" si="8"/>
        <v>0.69935287871320362</v>
      </c>
      <c r="E58" s="19">
        <f t="shared" si="6"/>
        <v>6.0362531579093437</v>
      </c>
    </row>
    <row r="59" spans="1:18" ht="16" thickBot="1">
      <c r="A59" s="20">
        <f t="shared" si="9"/>
        <v>5.9999999999999991</v>
      </c>
      <c r="B59" s="21">
        <f t="shared" si="5"/>
        <v>0.55203853251601376</v>
      </c>
      <c r="C59" s="18">
        <f t="shared" si="7"/>
        <v>3.3122311950960821</v>
      </c>
      <c r="D59" s="18">
        <f t="shared" si="8"/>
        <v>0.73188091958358525</v>
      </c>
      <c r="E59" s="19">
        <f t="shared" si="6"/>
        <v>6.0073995489141421</v>
      </c>
      <c r="N59" s="181"/>
      <c r="P59" s="111"/>
    </row>
    <row r="60" spans="1:18" ht="16" thickBot="1">
      <c r="A60" s="20">
        <f t="shared" si="9"/>
        <v>6.2666666666666657</v>
      </c>
      <c r="B60" s="21">
        <f t="shared" si="5"/>
        <v>0.55055219869385763</v>
      </c>
      <c r="C60" s="18">
        <f t="shared" si="7"/>
        <v>3.4501271118148407</v>
      </c>
      <c r="D60" s="18">
        <f t="shared" si="8"/>
        <v>0.76440896045396678</v>
      </c>
      <c r="E60" s="19">
        <f t="shared" si="6"/>
        <v>5.9801327297760096</v>
      </c>
      <c r="J60" s="33"/>
    </row>
    <row r="61" spans="1:18" ht="16" thickBot="1">
      <c r="A61" s="20">
        <f t="shared" si="9"/>
        <v>6.5333333333333323</v>
      </c>
      <c r="B61" s="21">
        <f t="shared" si="5"/>
        <v>0.54913156906264615</v>
      </c>
      <c r="C61" s="18">
        <f t="shared" si="7"/>
        <v>3.5876595845426209</v>
      </c>
      <c r="D61" s="18">
        <f t="shared" si="8"/>
        <v>0.7969370013243483</v>
      </c>
      <c r="E61" s="19">
        <f t="shared" si="6"/>
        <v>5.9543016061659024</v>
      </c>
      <c r="H61" s="111"/>
    </row>
    <row r="62" spans="1:18" ht="16" thickBot="1">
      <c r="A62" s="20">
        <f t="shared" si="9"/>
        <v>6.7999999999999989</v>
      </c>
      <c r="B62" s="21">
        <f t="shared" si="5"/>
        <v>0.547771228892454</v>
      </c>
      <c r="C62" s="18">
        <f t="shared" si="7"/>
        <v>3.7248443564686866</v>
      </c>
      <c r="D62" s="18">
        <f t="shared" si="8"/>
        <v>0.82946504219472994</v>
      </c>
      <c r="E62" s="19">
        <f t="shared" si="6"/>
        <v>5.9297750064387156</v>
      </c>
      <c r="G62" s="195" t="s">
        <v>115</v>
      </c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</row>
    <row r="63" spans="1:18" ht="16" thickBot="1">
      <c r="A63" s="20">
        <f t="shared" si="9"/>
        <v>7.0666666666666655</v>
      </c>
      <c r="B63" s="21">
        <f t="shared" si="5"/>
        <v>0.54646640070039998</v>
      </c>
      <c r="C63" s="18">
        <f t="shared" si="7"/>
        <v>3.861695898282826</v>
      </c>
      <c r="D63" s="18">
        <f t="shared" si="8"/>
        <v>0.86199308306511147</v>
      </c>
      <c r="E63" s="19">
        <f t="shared" si="6"/>
        <v>5.9064383839621506</v>
      </c>
      <c r="G63" s="30" t="s">
        <v>116</v>
      </c>
      <c r="H63" s="31" t="s">
        <v>117</v>
      </c>
      <c r="I63" s="30" t="s">
        <v>118</v>
      </c>
      <c r="J63" s="31" t="s">
        <v>117</v>
      </c>
      <c r="K63" s="156" t="s">
        <v>119</v>
      </c>
      <c r="L63" s="31" t="s">
        <v>117</v>
      </c>
      <c r="M63" s="30" t="s">
        <v>120</v>
      </c>
      <c r="N63" s="31" t="s">
        <v>117</v>
      </c>
      <c r="O63" s="35" t="s">
        <v>121</v>
      </c>
      <c r="P63" s="32" t="s">
        <v>117</v>
      </c>
      <c r="Q63" s="35" t="s">
        <v>122</v>
      </c>
      <c r="R63" s="32" t="s">
        <v>117</v>
      </c>
    </row>
    <row r="64" spans="1:18" ht="16" thickBot="1">
      <c r="A64" s="20">
        <f t="shared" si="9"/>
        <v>7.3333333333333321</v>
      </c>
      <c r="B64" s="21">
        <f t="shared" si="5"/>
        <v>0.54521284843405049</v>
      </c>
      <c r="C64" s="18">
        <f t="shared" si="7"/>
        <v>3.9982275551830364</v>
      </c>
      <c r="D64" s="18">
        <f t="shared" si="8"/>
        <v>0.89452112393549299</v>
      </c>
      <c r="E64" s="19">
        <f t="shared" si="6"/>
        <v>5.8841911678277405</v>
      </c>
      <c r="G64" s="2">
        <v>2</v>
      </c>
      <c r="H64" s="111">
        <v>15.52</v>
      </c>
      <c r="I64" s="2">
        <v>2</v>
      </c>
      <c r="J64" s="155">
        <v>15.65</v>
      </c>
      <c r="K64" s="157">
        <v>0.5</v>
      </c>
      <c r="L64" s="116">
        <v>4.28</v>
      </c>
      <c r="M64" s="117">
        <v>10</v>
      </c>
      <c r="N64" s="118">
        <v>15.57</v>
      </c>
      <c r="O64" s="135">
        <v>0.5</v>
      </c>
      <c r="P64" s="152">
        <v>20.88</v>
      </c>
      <c r="Q64" s="179">
        <v>100000</v>
      </c>
      <c r="R64" s="3">
        <v>23.04</v>
      </c>
    </row>
    <row r="65" spans="1:18" ht="16" thickBot="1">
      <c r="A65" s="20">
        <f t="shared" si="9"/>
        <v>7.5999999999999988</v>
      </c>
      <c r="B65" s="21">
        <f t="shared" si="5"/>
        <v>0.54400679896946236</v>
      </c>
      <c r="C65" s="18">
        <f t="shared" si="7"/>
        <v>4.1344516721679136</v>
      </c>
      <c r="D65" s="18">
        <f t="shared" si="8"/>
        <v>0.92704916480587463</v>
      </c>
      <c r="E65" s="19">
        <f t="shared" si="6"/>
        <v>5.8629446157695355</v>
      </c>
      <c r="G65" s="2">
        <v>4</v>
      </c>
      <c r="H65" s="111">
        <v>15.79</v>
      </c>
      <c r="I65" s="2">
        <f t="shared" ref="I65:I83" si="10">I64+2</f>
        <v>4</v>
      </c>
      <c r="J65" s="155">
        <v>15.79</v>
      </c>
      <c r="K65" s="158">
        <f>K64+0.5</f>
        <v>1</v>
      </c>
      <c r="L65" s="116">
        <v>7.01</v>
      </c>
      <c r="M65" s="117">
        <v>12</v>
      </c>
      <c r="N65" s="118">
        <v>15.62</v>
      </c>
      <c r="O65" s="136">
        <v>1</v>
      </c>
      <c r="P65" s="153">
        <v>18.32</v>
      </c>
      <c r="Q65" s="180">
        <v>150000</v>
      </c>
      <c r="R65" s="3">
        <v>15.49</v>
      </c>
    </row>
    <row r="66" spans="1:18" ht="16" thickBot="1">
      <c r="A66" s="20">
        <f t="shared" si="9"/>
        <v>7.8666666666666654</v>
      </c>
      <c r="B66" s="21">
        <f t="shared" si="5"/>
        <v>0.54284487730571163</v>
      </c>
      <c r="C66" s="18">
        <f t="shared" si="7"/>
        <v>4.2703797014715974</v>
      </c>
      <c r="D66" s="18">
        <f t="shared" si="8"/>
        <v>0.95957720567625615</v>
      </c>
      <c r="E66" s="19">
        <f t="shared" si="6"/>
        <v>5.8426200599889802</v>
      </c>
      <c r="G66" s="2">
        <v>6</v>
      </c>
      <c r="H66" s="111">
        <v>16.07</v>
      </c>
      <c r="I66" s="2">
        <f t="shared" si="10"/>
        <v>6</v>
      </c>
      <c r="J66" s="155">
        <v>16.2</v>
      </c>
      <c r="K66" s="158">
        <f t="shared" ref="K66:K83" si="11">K65+0.5</f>
        <v>1.5</v>
      </c>
      <c r="L66" s="116">
        <v>9.7899999999999991</v>
      </c>
      <c r="M66" s="117">
        <v>14</v>
      </c>
      <c r="N66" s="118">
        <v>15.64</v>
      </c>
      <c r="O66" s="136">
        <v>1.5</v>
      </c>
      <c r="P66" s="153">
        <v>17.52</v>
      </c>
      <c r="Q66" s="179">
        <v>200000</v>
      </c>
      <c r="R66" s="3">
        <v>12.98</v>
      </c>
    </row>
    <row r="67" spans="1:18" ht="16" thickBot="1">
      <c r="A67" s="20">
        <f t="shared" si="9"/>
        <v>8.1333333333333329</v>
      </c>
      <c r="B67" s="21">
        <f t="shared" si="5"/>
        <v>0.54172405268927204</v>
      </c>
      <c r="C67" s="18">
        <f t="shared" si="7"/>
        <v>4.4060222952060792</v>
      </c>
      <c r="D67" s="18">
        <f t="shared" si="8"/>
        <v>0.99210524654663779</v>
      </c>
      <c r="E67" s="19">
        <f t="shared" si="6"/>
        <v>5.8231474632343856</v>
      </c>
      <c r="G67" s="2">
        <v>8</v>
      </c>
      <c r="H67" s="111">
        <v>16.23</v>
      </c>
      <c r="I67" s="2">
        <f t="shared" si="10"/>
        <v>8</v>
      </c>
      <c r="J67" s="155">
        <v>16.36</v>
      </c>
      <c r="K67" s="158">
        <f t="shared" si="11"/>
        <v>2</v>
      </c>
      <c r="L67" s="116">
        <v>12.53</v>
      </c>
      <c r="M67" s="117">
        <v>16</v>
      </c>
      <c r="N67" s="118">
        <v>15.69</v>
      </c>
      <c r="O67" s="136">
        <v>2</v>
      </c>
      <c r="P67" s="153">
        <v>16.989999999999998</v>
      </c>
      <c r="Q67" s="180">
        <v>250000</v>
      </c>
      <c r="R67" s="3">
        <v>11.95</v>
      </c>
    </row>
    <row r="68" spans="1:18" ht="16" thickBot="1">
      <c r="A68" s="20">
        <f t="shared" si="9"/>
        <v>8.4</v>
      </c>
      <c r="B68" s="21">
        <f t="shared" si="5"/>
        <v>0.54064159353169772</v>
      </c>
      <c r="C68" s="18">
        <f t="shared" si="7"/>
        <v>4.5413893856662613</v>
      </c>
      <c r="D68" s="18">
        <f t="shared" si="8"/>
        <v>1.0246332874170194</v>
      </c>
      <c r="E68" s="19">
        <f t="shared" si="6"/>
        <v>5.8044642219833102</v>
      </c>
      <c r="G68" s="2">
        <v>10</v>
      </c>
      <c r="H68" s="111">
        <v>16.510000000000002</v>
      </c>
      <c r="I68" s="2">
        <f t="shared" si="10"/>
        <v>10</v>
      </c>
      <c r="J68" s="155">
        <v>16.52</v>
      </c>
      <c r="K68" s="158">
        <f t="shared" si="11"/>
        <v>2.5</v>
      </c>
      <c r="L68" s="116">
        <v>13.98</v>
      </c>
      <c r="M68" s="117">
        <v>18</v>
      </c>
      <c r="N68" s="118">
        <v>15.71</v>
      </c>
      <c r="O68" s="136">
        <v>2.5</v>
      </c>
      <c r="P68" s="153">
        <v>16.809999999999999</v>
      </c>
      <c r="Q68" s="179">
        <v>300000</v>
      </c>
      <c r="R68" s="3">
        <v>11.6</v>
      </c>
    </row>
    <row r="69" spans="1:18" ht="16" thickBot="1">
      <c r="A69" s="20">
        <f t="shared" si="9"/>
        <v>8.6666666666666679</v>
      </c>
      <c r="B69" s="21">
        <f t="shared" si="5"/>
        <v>0.53959502945544924</v>
      </c>
      <c r="C69" s="18">
        <f t="shared" si="7"/>
        <v>4.6764902552805605</v>
      </c>
      <c r="D69" s="18">
        <f t="shared" si="8"/>
        <v>1.0571613282874011</v>
      </c>
      <c r="E69" s="19">
        <f t="shared" si="6"/>
        <v>5.786514168008515</v>
      </c>
      <c r="G69" s="2">
        <v>12</v>
      </c>
      <c r="H69" s="111">
        <v>16.8</v>
      </c>
      <c r="I69" s="2">
        <f t="shared" si="10"/>
        <v>12</v>
      </c>
      <c r="J69" s="155">
        <v>16.93</v>
      </c>
      <c r="K69" s="158">
        <f t="shared" si="11"/>
        <v>3</v>
      </c>
      <c r="L69" s="116">
        <v>16.600000000000001</v>
      </c>
      <c r="M69" s="117">
        <v>20</v>
      </c>
      <c r="N69" s="118">
        <v>15.76</v>
      </c>
      <c r="O69" s="135">
        <v>3</v>
      </c>
      <c r="P69" s="153">
        <v>16.43</v>
      </c>
      <c r="Q69" s="180">
        <v>350000</v>
      </c>
      <c r="R69" s="3">
        <v>10.95</v>
      </c>
    </row>
    <row r="70" spans="1:18" ht="16" thickBot="1">
      <c r="A70" s="20">
        <f t="shared" si="9"/>
        <v>8.9333333333333353</v>
      </c>
      <c r="B70" s="21">
        <f t="shared" si="5"/>
        <v>0.53858211915894039</v>
      </c>
      <c r="C70" s="18">
        <f t="shared" si="7"/>
        <v>4.8113335978198686</v>
      </c>
      <c r="D70" s="18">
        <f t="shared" si="8"/>
        <v>1.0896893691577829</v>
      </c>
      <c r="E70" s="19">
        <f t="shared" si="6"/>
        <v>5.7692467304036645</v>
      </c>
      <c r="G70" s="2">
        <v>14</v>
      </c>
      <c r="H70" s="111">
        <v>17.100000000000001</v>
      </c>
      <c r="I70" s="2">
        <f t="shared" si="10"/>
        <v>14</v>
      </c>
      <c r="J70" s="155">
        <v>17.11</v>
      </c>
      <c r="K70" s="158">
        <f t="shared" si="11"/>
        <v>3.5</v>
      </c>
      <c r="L70" s="116">
        <v>19.21</v>
      </c>
      <c r="M70" s="117">
        <v>22</v>
      </c>
      <c r="N70" s="118">
        <v>15.78</v>
      </c>
      <c r="O70" s="136">
        <v>3.5</v>
      </c>
      <c r="P70" s="153">
        <v>16.34</v>
      </c>
      <c r="Q70" s="179">
        <v>400000</v>
      </c>
      <c r="R70" s="3">
        <v>10.79</v>
      </c>
    </row>
    <row r="71" spans="1:18" ht="16" thickBot="1">
      <c r="A71" s="20">
        <f t="shared" si="9"/>
        <v>9.2000000000000028</v>
      </c>
      <c r="B71" s="21">
        <f t="shared" si="5"/>
        <v>0.53760082306367307</v>
      </c>
      <c r="C71" s="18">
        <f t="shared" si="7"/>
        <v>4.945927572185794</v>
      </c>
      <c r="D71" s="18">
        <f t="shared" si="8"/>
        <v>1.1222174100281646</v>
      </c>
      <c r="E71" s="19">
        <f t="shared" si="6"/>
        <v>5.752616228300389</v>
      </c>
      <c r="G71" s="2">
        <v>16</v>
      </c>
      <c r="H71" s="111">
        <v>17.399999999999999</v>
      </c>
      <c r="I71" s="2">
        <f t="shared" si="10"/>
        <v>16</v>
      </c>
      <c r="J71" s="155">
        <v>17.53</v>
      </c>
      <c r="K71" s="158">
        <f t="shared" si="11"/>
        <v>4</v>
      </c>
      <c r="L71" s="116">
        <v>20.53</v>
      </c>
      <c r="M71" s="117">
        <v>24</v>
      </c>
      <c r="N71" s="118">
        <v>15.83</v>
      </c>
      <c r="O71" s="136">
        <v>4</v>
      </c>
      <c r="P71" s="153">
        <v>16.27</v>
      </c>
      <c r="Q71" s="180">
        <v>450000</v>
      </c>
      <c r="R71" s="3">
        <v>10.66</v>
      </c>
    </row>
    <row r="72" spans="1:18" ht="16" thickBot="1">
      <c r="A72" s="20">
        <f t="shared" si="9"/>
        <v>9.4666666666666703</v>
      </c>
      <c r="B72" s="21">
        <f t="shared" si="5"/>
        <v>0.53664927991552691</v>
      </c>
      <c r="C72" s="18">
        <f t="shared" si="7"/>
        <v>5.0802798498669901</v>
      </c>
      <c r="D72" s="18">
        <f t="shared" si="8"/>
        <v>1.1547454508985462</v>
      </c>
      <c r="E72" s="19">
        <f t="shared" si="6"/>
        <v>5.7365812707264654</v>
      </c>
      <c r="G72" s="2">
        <v>18</v>
      </c>
      <c r="H72" s="111">
        <v>17.579999999999998</v>
      </c>
      <c r="I72" s="2">
        <f t="shared" si="10"/>
        <v>18</v>
      </c>
      <c r="J72" s="155">
        <v>17.71</v>
      </c>
      <c r="K72" s="158">
        <f t="shared" si="11"/>
        <v>4.5</v>
      </c>
      <c r="L72" s="116">
        <v>23.09</v>
      </c>
      <c r="M72" s="117">
        <v>26</v>
      </c>
      <c r="N72" s="118">
        <v>15.85</v>
      </c>
      <c r="O72" s="136">
        <v>4.5</v>
      </c>
      <c r="P72" s="153">
        <v>16.21</v>
      </c>
      <c r="Q72" s="179">
        <v>500000</v>
      </c>
      <c r="R72" s="3">
        <v>10.15</v>
      </c>
    </row>
    <row r="73" spans="1:18" ht="16" thickBot="1">
      <c r="A73" s="20">
        <f t="shared" si="9"/>
        <v>9.7333333333333378</v>
      </c>
      <c r="B73" s="21">
        <f t="shared" si="5"/>
        <v>0.53572578667463244</v>
      </c>
      <c r="C73" s="18">
        <f t="shared" si="7"/>
        <v>5.2143976569664252</v>
      </c>
      <c r="D73" s="18">
        <f t="shared" si="8"/>
        <v>1.1872734917689278</v>
      </c>
      <c r="E73" s="19">
        <f t="shared" si="6"/>
        <v>5.7211042448370684</v>
      </c>
      <c r="G73" s="2">
        <v>20</v>
      </c>
      <c r="H73" s="111">
        <v>17.89</v>
      </c>
      <c r="I73" s="2">
        <f t="shared" si="10"/>
        <v>20</v>
      </c>
      <c r="J73" s="155">
        <v>18.149999999999999</v>
      </c>
      <c r="K73" s="158">
        <f t="shared" si="11"/>
        <v>5</v>
      </c>
      <c r="L73" s="116">
        <v>25.64</v>
      </c>
      <c r="M73" s="117">
        <v>28</v>
      </c>
      <c r="N73" s="118">
        <v>15.9</v>
      </c>
      <c r="O73" s="136">
        <v>5</v>
      </c>
      <c r="P73" s="153">
        <v>16.16</v>
      </c>
      <c r="Q73" s="180">
        <v>550000</v>
      </c>
      <c r="R73" s="3">
        <v>10.08</v>
      </c>
    </row>
    <row r="74" spans="1:18" ht="16" thickBot="1">
      <c r="A74" s="34">
        <f t="shared" si="9"/>
        <v>10.000000000000005</v>
      </c>
      <c r="B74" s="27">
        <f t="shared" si="5"/>
        <v>0.53482878115524379</v>
      </c>
      <c r="C74" s="28">
        <f t="shared" si="7"/>
        <v>5.3482878115524404</v>
      </c>
      <c r="D74" s="28">
        <f t="shared" si="8"/>
        <v>1.2198015326393095</v>
      </c>
      <c r="E74" s="29">
        <f t="shared" si="6"/>
        <v>5.7061508774586622</v>
      </c>
      <c r="G74" s="2">
        <v>22</v>
      </c>
      <c r="H74" s="111">
        <v>18.21</v>
      </c>
      <c r="I74" s="2">
        <f t="shared" si="10"/>
        <v>22</v>
      </c>
      <c r="J74" s="155">
        <v>18.34</v>
      </c>
      <c r="K74" s="158">
        <f t="shared" si="11"/>
        <v>5.5</v>
      </c>
      <c r="L74" s="116">
        <v>26.88</v>
      </c>
      <c r="M74" s="117">
        <v>30</v>
      </c>
      <c r="N74" s="118">
        <v>15.92</v>
      </c>
      <c r="O74" s="135">
        <v>6</v>
      </c>
      <c r="P74" s="153">
        <v>15.83</v>
      </c>
      <c r="Q74" s="179">
        <v>600000</v>
      </c>
      <c r="R74" s="3">
        <v>10.01</v>
      </c>
    </row>
    <row r="75" spans="1:18" ht="16" thickBot="1">
      <c r="G75" s="2">
        <v>24</v>
      </c>
      <c r="H75" s="111">
        <v>18.53</v>
      </c>
      <c r="I75" s="2">
        <f t="shared" si="10"/>
        <v>24</v>
      </c>
      <c r="J75" s="155">
        <v>18.79</v>
      </c>
      <c r="K75" s="158">
        <f t="shared" si="11"/>
        <v>6</v>
      </c>
      <c r="L75" s="116">
        <v>29.39</v>
      </c>
      <c r="M75" s="117">
        <v>32</v>
      </c>
      <c r="N75" s="118">
        <v>15.97</v>
      </c>
      <c r="O75" s="136">
        <v>7</v>
      </c>
      <c r="P75" s="153">
        <v>15.78</v>
      </c>
      <c r="Q75" s="180">
        <v>650000</v>
      </c>
      <c r="R75" s="3">
        <v>9.9600000000000009</v>
      </c>
    </row>
    <row r="76" spans="1:18" ht="16" thickBot="1">
      <c r="G76" s="2">
        <v>26</v>
      </c>
      <c r="H76" s="111">
        <v>18.86</v>
      </c>
      <c r="I76" s="2">
        <f t="shared" si="10"/>
        <v>26</v>
      </c>
      <c r="J76" s="155">
        <v>19</v>
      </c>
      <c r="K76" s="158">
        <f t="shared" si="11"/>
        <v>6.5</v>
      </c>
      <c r="L76" s="116">
        <v>30.6</v>
      </c>
      <c r="M76" s="117">
        <v>34</v>
      </c>
      <c r="N76" s="118">
        <v>16.02</v>
      </c>
      <c r="O76" s="135">
        <v>8</v>
      </c>
      <c r="P76" s="153">
        <v>15.73</v>
      </c>
      <c r="Q76" s="179">
        <v>700000</v>
      </c>
      <c r="R76" s="3">
        <v>9.92</v>
      </c>
    </row>
    <row r="77" spans="1:18" ht="16" thickBot="1">
      <c r="G77" s="2">
        <v>28</v>
      </c>
      <c r="H77" s="111">
        <v>19.2</v>
      </c>
      <c r="I77" s="2">
        <f t="shared" si="10"/>
        <v>28</v>
      </c>
      <c r="J77" s="155">
        <v>19.45</v>
      </c>
      <c r="K77" s="158">
        <f t="shared" si="11"/>
        <v>7</v>
      </c>
      <c r="L77" s="116">
        <v>33.090000000000003</v>
      </c>
      <c r="M77" s="117">
        <v>36</v>
      </c>
      <c r="N77" s="118">
        <v>16.04</v>
      </c>
      <c r="O77" s="136">
        <v>9</v>
      </c>
      <c r="P77" s="153">
        <v>15.69</v>
      </c>
      <c r="Q77" s="180">
        <v>750000</v>
      </c>
      <c r="R77" s="3">
        <v>9.89</v>
      </c>
    </row>
    <row r="78" spans="1:18" ht="16" thickBot="1">
      <c r="G78" s="2">
        <v>30</v>
      </c>
      <c r="H78" s="111">
        <v>19.54</v>
      </c>
      <c r="I78" s="2">
        <f t="shared" si="10"/>
        <v>30</v>
      </c>
      <c r="J78" s="155">
        <v>19.68</v>
      </c>
      <c r="K78" s="158">
        <f t="shared" si="11"/>
        <v>7.5</v>
      </c>
      <c r="L78" s="116">
        <v>35.58</v>
      </c>
      <c r="M78" s="117">
        <v>38</v>
      </c>
      <c r="N78" s="118">
        <v>16.09</v>
      </c>
      <c r="O78" s="135">
        <v>10</v>
      </c>
      <c r="P78" s="153">
        <v>15.66</v>
      </c>
      <c r="Q78" s="179">
        <v>800000</v>
      </c>
      <c r="R78" s="3">
        <v>9.85</v>
      </c>
    </row>
    <row r="79" spans="1:18" ht="16" thickBot="1">
      <c r="G79" s="2">
        <v>32</v>
      </c>
      <c r="H79" s="111">
        <v>19.89</v>
      </c>
      <c r="I79" s="2">
        <f t="shared" si="10"/>
        <v>32</v>
      </c>
      <c r="J79" s="155">
        <v>20.149999999999999</v>
      </c>
      <c r="K79" s="158">
        <f t="shared" si="11"/>
        <v>8</v>
      </c>
      <c r="L79" s="116">
        <v>36.75</v>
      </c>
      <c r="M79" s="117">
        <v>40</v>
      </c>
      <c r="N79" s="118">
        <v>16.11</v>
      </c>
      <c r="O79" s="136">
        <v>11</v>
      </c>
      <c r="P79" s="153">
        <v>15.64</v>
      </c>
      <c r="Q79" s="180">
        <v>850000</v>
      </c>
      <c r="R79" s="3">
        <v>9.83</v>
      </c>
    </row>
    <row r="80" spans="1:18" ht="16" thickBot="1">
      <c r="G80" s="2">
        <v>34</v>
      </c>
      <c r="H80" s="111">
        <v>20.309999999999999</v>
      </c>
      <c r="I80" s="2">
        <f t="shared" si="10"/>
        <v>34</v>
      </c>
      <c r="J80" s="155">
        <v>20.39</v>
      </c>
      <c r="K80" s="158">
        <f t="shared" si="11"/>
        <v>8.5</v>
      </c>
      <c r="L80" s="116">
        <v>39.22</v>
      </c>
      <c r="M80" s="117">
        <v>42</v>
      </c>
      <c r="N80" s="118">
        <v>16.16</v>
      </c>
      <c r="O80" s="135">
        <v>12</v>
      </c>
      <c r="P80" s="153">
        <v>15.62</v>
      </c>
      <c r="Q80" s="179">
        <v>900000</v>
      </c>
      <c r="R80" s="3">
        <v>9.8000000000000007</v>
      </c>
    </row>
    <row r="81" spans="7:18" ht="16" thickBot="1">
      <c r="G81" s="2">
        <v>36</v>
      </c>
      <c r="H81" s="111">
        <v>20.79</v>
      </c>
      <c r="I81" s="2">
        <f t="shared" si="10"/>
        <v>36</v>
      </c>
      <c r="J81" s="155">
        <v>20.87</v>
      </c>
      <c r="K81" s="158">
        <f t="shared" si="11"/>
        <v>9</v>
      </c>
      <c r="L81" s="116">
        <v>40.36</v>
      </c>
      <c r="M81" s="117">
        <v>44</v>
      </c>
      <c r="N81" s="118">
        <v>16.18</v>
      </c>
      <c r="O81" s="136">
        <v>13</v>
      </c>
      <c r="P81" s="153">
        <v>15.6</v>
      </c>
      <c r="Q81" s="180">
        <v>950000</v>
      </c>
      <c r="R81" s="3">
        <v>9.7799999999999994</v>
      </c>
    </row>
    <row r="82" spans="7:18" ht="16" thickBot="1">
      <c r="G82" s="2">
        <v>38</v>
      </c>
      <c r="H82" s="151">
        <v>21.05</v>
      </c>
      <c r="I82" s="2">
        <f t="shared" si="10"/>
        <v>38</v>
      </c>
      <c r="J82" s="155">
        <v>21.14</v>
      </c>
      <c r="K82" s="158">
        <f t="shared" si="11"/>
        <v>9.5</v>
      </c>
      <c r="L82" s="116">
        <v>42.82</v>
      </c>
      <c r="M82" s="117">
        <v>46</v>
      </c>
      <c r="N82" s="118">
        <v>16.23</v>
      </c>
      <c r="O82" s="135">
        <v>14</v>
      </c>
      <c r="P82" s="153">
        <v>15.58</v>
      </c>
      <c r="Q82" s="179">
        <v>1000000</v>
      </c>
      <c r="R82" s="3">
        <v>9.76</v>
      </c>
    </row>
    <row r="83" spans="7:18" ht="16" thickBot="1">
      <c r="G83" s="4">
        <v>40</v>
      </c>
      <c r="H83" s="144">
        <v>21.55</v>
      </c>
      <c r="I83" s="4">
        <f t="shared" si="10"/>
        <v>40</v>
      </c>
      <c r="J83" s="155">
        <v>21.64</v>
      </c>
      <c r="K83" s="159">
        <f t="shared" si="11"/>
        <v>10</v>
      </c>
      <c r="L83" s="116">
        <v>45.27</v>
      </c>
      <c r="M83" s="119">
        <v>48</v>
      </c>
      <c r="N83" s="120">
        <v>16.25</v>
      </c>
      <c r="O83" s="137">
        <v>15</v>
      </c>
      <c r="P83" s="154">
        <v>15.57</v>
      </c>
      <c r="Q83" s="180">
        <v>1050000</v>
      </c>
      <c r="R83" s="6">
        <v>9.74</v>
      </c>
    </row>
    <row r="88" spans="7:18">
      <c r="G88" s="118"/>
    </row>
    <row r="89" spans="7:18">
      <c r="G89" s="118"/>
    </row>
    <row r="90" spans="7:18">
      <c r="G90" s="118"/>
    </row>
    <row r="91" spans="7:18">
      <c r="G91" s="118"/>
    </row>
    <row r="92" spans="7:18">
      <c r="G92" s="118"/>
    </row>
    <row r="93" spans="7:18">
      <c r="G93" s="118"/>
    </row>
    <row r="94" spans="7:18">
      <c r="G94" s="118"/>
    </row>
    <row r="95" spans="7:18">
      <c r="G95" s="118"/>
    </row>
    <row r="96" spans="7:18">
      <c r="G96" s="118"/>
    </row>
    <row r="97" spans="7:7">
      <c r="G97" s="118"/>
    </row>
    <row r="98" spans="7:7">
      <c r="G98" s="118"/>
    </row>
    <row r="99" spans="7:7">
      <c r="G99" s="118"/>
    </row>
    <row r="100" spans="7:7">
      <c r="G100" s="118"/>
    </row>
    <row r="101" spans="7:7">
      <c r="G101" s="118"/>
    </row>
    <row r="102" spans="7:7">
      <c r="G102" s="118"/>
    </row>
    <row r="103" spans="7:7">
      <c r="G103" s="118"/>
    </row>
    <row r="104" spans="7:7">
      <c r="G104" s="118"/>
    </row>
    <row r="105" spans="7:7">
      <c r="G105" s="118"/>
    </row>
    <row r="106" spans="7:7">
      <c r="G106" s="118"/>
    </row>
    <row r="107" spans="7:7">
      <c r="G107" s="118"/>
    </row>
  </sheetData>
  <mergeCells count="9">
    <mergeCell ref="G62:R62"/>
    <mergeCell ref="S7:V7"/>
    <mergeCell ref="S20:V20"/>
    <mergeCell ref="A1:F1"/>
    <mergeCell ref="H1:J1"/>
    <mergeCell ref="L19:M19"/>
    <mergeCell ref="A42:E42"/>
    <mergeCell ref="A11:F11"/>
    <mergeCell ref="H19:I19"/>
  </mergeCells>
  <hyperlinks>
    <hyperlink ref="K22" r:id="rId1" display="https://www.amazon.co.uk/Flysky-2-4GHz-Transmitter-FS-iA6B-Receiver/dp/B0744DPPL8?source=ps-sl-shoppingads-lpcontext&amp;ref_=fplfs&amp;psc=1&amp;smid=A366N9K63PZN11" xr:uid="{2779D584-3ADE-41CC-A3E8-DA2EFDDC7B9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DE8B-6B72-4D43-85F6-96E4691B42FF}">
  <dimension ref="A1:Q29"/>
  <sheetViews>
    <sheetView topLeftCell="A19" workbookViewId="0">
      <selection activeCell="K37" sqref="K37"/>
    </sheetView>
  </sheetViews>
  <sheetFormatPr baseColWidth="10" defaultColWidth="8.83203125" defaultRowHeight="15"/>
  <cols>
    <col min="1" max="1" width="24.5" customWidth="1"/>
    <col min="2" max="2" width="16.83203125" bestFit="1" customWidth="1"/>
    <col min="3" max="3" width="14" bestFit="1" customWidth="1"/>
    <col min="4" max="4" width="17.1640625" bestFit="1" customWidth="1"/>
    <col min="5" max="5" width="17" bestFit="1" customWidth="1"/>
    <col min="6" max="6" width="14.6640625" bestFit="1" customWidth="1"/>
    <col min="7" max="7" width="12.6640625" bestFit="1" customWidth="1"/>
    <col min="8" max="8" width="15.83203125" bestFit="1" customWidth="1"/>
    <col min="9" max="9" width="14" bestFit="1" customWidth="1"/>
    <col min="10" max="10" width="17.1640625" bestFit="1" customWidth="1"/>
    <col min="11" max="11" width="17" bestFit="1" customWidth="1"/>
    <col min="12" max="12" width="13.5" bestFit="1" customWidth="1"/>
    <col min="13" max="13" width="12.6640625" bestFit="1" customWidth="1"/>
    <col min="14" max="14" width="12.83203125" bestFit="1" customWidth="1"/>
  </cols>
  <sheetData>
    <row r="1" spans="1:17" ht="17" thickBot="1">
      <c r="A1" s="214" t="s">
        <v>123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</row>
    <row r="2" spans="1:17">
      <c r="A2" s="165" t="s">
        <v>124</v>
      </c>
      <c r="B2" s="166" t="s">
        <v>125</v>
      </c>
      <c r="C2" s="166" t="s">
        <v>126</v>
      </c>
      <c r="D2" s="166" t="s">
        <v>127</v>
      </c>
      <c r="E2" s="166" t="s">
        <v>128</v>
      </c>
      <c r="F2" s="166" t="s">
        <v>129</v>
      </c>
      <c r="G2" s="166" t="s">
        <v>130</v>
      </c>
      <c r="H2" s="166" t="s">
        <v>131</v>
      </c>
      <c r="I2" s="166" t="s">
        <v>132</v>
      </c>
      <c r="J2" s="166" t="s">
        <v>133</v>
      </c>
      <c r="K2" s="166" t="s">
        <v>134</v>
      </c>
      <c r="L2" s="166" t="s">
        <v>135</v>
      </c>
      <c r="M2" s="166" t="s">
        <v>136</v>
      </c>
      <c r="N2" s="166" t="s">
        <v>137</v>
      </c>
      <c r="O2" s="166" t="s">
        <v>138</v>
      </c>
      <c r="P2" s="166" t="s">
        <v>139</v>
      </c>
      <c r="Q2" s="167" t="s">
        <v>140</v>
      </c>
    </row>
    <row r="3" spans="1:17" ht="26.5" customHeight="1">
      <c r="A3" s="168" t="s">
        <v>141</v>
      </c>
      <c r="B3" s="130">
        <f>10-4.4</f>
        <v>5.6</v>
      </c>
      <c r="C3" t="s">
        <v>142</v>
      </c>
      <c r="D3" s="164">
        <v>4.4000000000000004</v>
      </c>
      <c r="E3" s="164">
        <v>10</v>
      </c>
      <c r="F3" s="130">
        <f>0.314*2</f>
        <v>0.628</v>
      </c>
      <c r="G3" s="169">
        <v>270</v>
      </c>
      <c r="H3">
        <f>B3*9.81</f>
        <v>54.936</v>
      </c>
      <c r="I3" t="e">
        <f t="shared" ref="I3:K3" si="0">C3*9.81</f>
        <v>#VALUE!</v>
      </c>
      <c r="J3">
        <f t="shared" si="0"/>
        <v>43.164000000000009</v>
      </c>
      <c r="K3">
        <f t="shared" si="0"/>
        <v>98.100000000000009</v>
      </c>
      <c r="L3">
        <f>H3/K3</f>
        <v>0.55999999999999994</v>
      </c>
      <c r="M3" t="e">
        <f>I3/K3</f>
        <v>#VALUE!</v>
      </c>
      <c r="N3">
        <f>J3/K3</f>
        <v>0.44000000000000006</v>
      </c>
      <c r="O3">
        <f>K3/F3</f>
        <v>156.21019108280257</v>
      </c>
      <c r="P3">
        <f>K3/G3</f>
        <v>0.36333333333333334</v>
      </c>
      <c r="Q3" s="3">
        <f>J3/H3</f>
        <v>0.78571428571428592</v>
      </c>
    </row>
    <row r="4" spans="1:17" ht="27.5" customHeight="1">
      <c r="A4" s="170" t="s">
        <v>143</v>
      </c>
      <c r="B4" s="164">
        <v>5.0999999999999996</v>
      </c>
      <c r="C4" s="130">
        <v>4.2</v>
      </c>
      <c r="D4" s="164">
        <v>1.6</v>
      </c>
      <c r="E4" s="164">
        <v>10</v>
      </c>
      <c r="F4" s="130">
        <f>0.23*2</f>
        <v>0.46</v>
      </c>
      <c r="G4" t="s">
        <v>142</v>
      </c>
      <c r="H4">
        <f>B4*9.81</f>
        <v>50.030999999999999</v>
      </c>
      <c r="I4">
        <f t="shared" ref="I4" si="1">C4*9.81</f>
        <v>41.202000000000005</v>
      </c>
      <c r="J4">
        <f t="shared" ref="J4" si="2">D4*9.81</f>
        <v>15.696000000000002</v>
      </c>
      <c r="K4">
        <f t="shared" ref="K4" si="3">E4*9.81</f>
        <v>98.100000000000009</v>
      </c>
      <c r="L4">
        <f>H4/K4</f>
        <v>0.5099999999999999</v>
      </c>
      <c r="M4">
        <f>I4/K4</f>
        <v>0.42000000000000004</v>
      </c>
      <c r="N4">
        <f>J4/K4</f>
        <v>0.16</v>
      </c>
      <c r="O4">
        <f>K4/F4</f>
        <v>213.2608695652174</v>
      </c>
      <c r="P4" t="e">
        <f>K4/G4</f>
        <v>#VALUE!</v>
      </c>
      <c r="Q4" s="3">
        <f t="shared" ref="Q4:Q10" si="4">J4/H4</f>
        <v>0.31372549019607848</v>
      </c>
    </row>
    <row r="5" spans="1:17" ht="26.5" customHeight="1">
      <c r="A5" s="171" t="s">
        <v>144</v>
      </c>
      <c r="B5" s="164">
        <v>2</v>
      </c>
      <c r="C5" s="130">
        <f>E5-D5-B5</f>
        <v>0.5</v>
      </c>
      <c r="D5" s="164">
        <v>2</v>
      </c>
      <c r="E5" s="164">
        <v>4.5</v>
      </c>
      <c r="F5" s="130">
        <f>0.163*2</f>
        <v>0.32600000000000001</v>
      </c>
      <c r="G5" t="s">
        <v>142</v>
      </c>
      <c r="H5">
        <f>B5*9.81</f>
        <v>19.62</v>
      </c>
      <c r="I5">
        <f t="shared" ref="I5" si="5">C5*9.81</f>
        <v>4.9050000000000002</v>
      </c>
      <c r="J5">
        <f t="shared" ref="J5" si="6">D5*9.81</f>
        <v>19.62</v>
      </c>
      <c r="K5">
        <f t="shared" ref="K5" si="7">E5*9.81</f>
        <v>44.145000000000003</v>
      </c>
      <c r="L5">
        <f>H5/K5</f>
        <v>0.44444444444444442</v>
      </c>
      <c r="M5">
        <f>I5/K5</f>
        <v>0.1111111111111111</v>
      </c>
      <c r="N5">
        <f>J5/K5</f>
        <v>0.44444444444444442</v>
      </c>
      <c r="O5">
        <f>K5/F5</f>
        <v>135.41411042944785</v>
      </c>
      <c r="P5" t="e">
        <f>K5/G5</f>
        <v>#VALUE!</v>
      </c>
      <c r="Q5" s="3">
        <f t="shared" si="4"/>
        <v>1</v>
      </c>
    </row>
    <row r="6" spans="1:17" ht="23.5" customHeight="1">
      <c r="A6" s="171" t="s">
        <v>145</v>
      </c>
      <c r="B6" s="164">
        <v>5.5</v>
      </c>
      <c r="C6" t="s">
        <v>142</v>
      </c>
      <c r="D6" s="164">
        <v>6.5</v>
      </c>
      <c r="E6" s="164">
        <v>12</v>
      </c>
      <c r="F6" t="s">
        <v>142</v>
      </c>
      <c r="G6" t="s">
        <v>142</v>
      </c>
      <c r="H6">
        <f t="shared" ref="H6:H10" si="8">B6*9.81</f>
        <v>53.955000000000005</v>
      </c>
      <c r="I6" t="e">
        <f t="shared" ref="I6:I10" si="9">C6*9.81</f>
        <v>#VALUE!</v>
      </c>
      <c r="J6">
        <f t="shared" ref="J6:J10" si="10">D6*9.81</f>
        <v>63.765000000000001</v>
      </c>
      <c r="K6">
        <f t="shared" ref="K6:K10" si="11">E6*9.81</f>
        <v>117.72</v>
      </c>
      <c r="L6">
        <f t="shared" ref="L6:L10" si="12">H6/K6</f>
        <v>0.45833333333333337</v>
      </c>
      <c r="M6" t="e">
        <f t="shared" ref="M6:M10" si="13">I6/K6</f>
        <v>#VALUE!</v>
      </c>
      <c r="N6">
        <f t="shared" ref="N6:N10" si="14">J6/K6</f>
        <v>0.54166666666666663</v>
      </c>
      <c r="O6" t="e">
        <f t="shared" ref="O6:O9" si="15">K6/F6</f>
        <v>#VALUE!</v>
      </c>
      <c r="P6" t="e">
        <f t="shared" ref="P6:P10" si="16">K6/G6</f>
        <v>#VALUE!</v>
      </c>
      <c r="Q6" s="3">
        <f t="shared" si="4"/>
        <v>1.1818181818181817</v>
      </c>
    </row>
    <row r="7" spans="1:17" ht="28.25" customHeight="1">
      <c r="A7" s="172" t="s">
        <v>146</v>
      </c>
      <c r="B7" s="164">
        <v>3.2</v>
      </c>
      <c r="C7" s="130">
        <f>2.525*2</f>
        <v>5.05</v>
      </c>
      <c r="D7" s="164">
        <v>2.2000000000000002</v>
      </c>
      <c r="E7" s="164">
        <v>15</v>
      </c>
      <c r="F7">
        <f>2*0.3*1.2</f>
        <v>0.72</v>
      </c>
      <c r="G7" t="s">
        <v>142</v>
      </c>
      <c r="H7">
        <f t="shared" si="8"/>
        <v>31.392000000000003</v>
      </c>
      <c r="I7">
        <f t="shared" si="9"/>
        <v>49.540500000000002</v>
      </c>
      <c r="J7">
        <f t="shared" si="10"/>
        <v>21.582000000000004</v>
      </c>
      <c r="K7">
        <f t="shared" si="11"/>
        <v>147.15</v>
      </c>
      <c r="L7">
        <f t="shared" si="12"/>
        <v>0.21333333333333335</v>
      </c>
      <c r="M7">
        <f t="shared" si="13"/>
        <v>0.33666666666666667</v>
      </c>
      <c r="N7">
        <f t="shared" si="14"/>
        <v>0.1466666666666667</v>
      </c>
      <c r="O7">
        <f t="shared" si="15"/>
        <v>204.37500000000003</v>
      </c>
      <c r="P7" t="e">
        <f t="shared" si="16"/>
        <v>#VALUE!</v>
      </c>
      <c r="Q7" s="3">
        <f t="shared" si="4"/>
        <v>0.68750000000000011</v>
      </c>
    </row>
    <row r="8" spans="1:17" ht="21" customHeight="1">
      <c r="A8" s="173" t="s">
        <v>147</v>
      </c>
      <c r="B8" s="164">
        <v>10</v>
      </c>
      <c r="C8" s="164">
        <v>12</v>
      </c>
      <c r="D8" s="164">
        <v>3</v>
      </c>
      <c r="E8" s="164">
        <v>24</v>
      </c>
      <c r="F8" t="s">
        <v>142</v>
      </c>
      <c r="G8" t="s">
        <v>142</v>
      </c>
      <c r="H8">
        <f t="shared" si="8"/>
        <v>98.100000000000009</v>
      </c>
      <c r="I8">
        <f t="shared" si="9"/>
        <v>117.72</v>
      </c>
      <c r="J8">
        <f t="shared" si="10"/>
        <v>29.43</v>
      </c>
      <c r="K8">
        <f t="shared" si="11"/>
        <v>235.44</v>
      </c>
      <c r="L8">
        <f t="shared" si="12"/>
        <v>0.41666666666666669</v>
      </c>
      <c r="M8">
        <f t="shared" si="13"/>
        <v>0.5</v>
      </c>
      <c r="N8">
        <f t="shared" si="14"/>
        <v>0.125</v>
      </c>
      <c r="O8" t="e">
        <f t="shared" si="15"/>
        <v>#VALUE!</v>
      </c>
      <c r="P8" t="e">
        <f t="shared" si="16"/>
        <v>#VALUE!</v>
      </c>
      <c r="Q8" s="3">
        <f t="shared" si="4"/>
        <v>0.3</v>
      </c>
    </row>
    <row r="9" spans="1:17" ht="21.5" customHeight="1">
      <c r="A9" s="174" t="s">
        <v>148</v>
      </c>
      <c r="B9" t="s">
        <v>142</v>
      </c>
      <c r="C9" s="164">
        <v>0.6</v>
      </c>
      <c r="D9" t="s">
        <v>142</v>
      </c>
      <c r="E9" s="164">
        <v>2.7</v>
      </c>
      <c r="F9" t="s">
        <v>142</v>
      </c>
      <c r="G9" t="s">
        <v>142</v>
      </c>
      <c r="H9" t="e">
        <f t="shared" si="8"/>
        <v>#VALUE!</v>
      </c>
      <c r="I9">
        <f t="shared" si="9"/>
        <v>5.8860000000000001</v>
      </c>
      <c r="J9" t="e">
        <f t="shared" si="10"/>
        <v>#VALUE!</v>
      </c>
      <c r="K9">
        <f t="shared" si="11"/>
        <v>26.487000000000002</v>
      </c>
      <c r="L9" t="e">
        <f t="shared" si="12"/>
        <v>#VALUE!</v>
      </c>
      <c r="M9">
        <f t="shared" si="13"/>
        <v>0.22222222222222221</v>
      </c>
      <c r="N9" t="e">
        <f t="shared" si="14"/>
        <v>#VALUE!</v>
      </c>
      <c r="O9" t="e">
        <f t="shared" si="15"/>
        <v>#VALUE!</v>
      </c>
      <c r="P9" t="e">
        <f t="shared" si="16"/>
        <v>#VALUE!</v>
      </c>
      <c r="Q9" s="3" t="e">
        <f t="shared" si="4"/>
        <v>#VALUE!</v>
      </c>
    </row>
    <row r="10" spans="1:17" ht="25.25" customHeight="1" thickBot="1">
      <c r="A10" s="175" t="s">
        <v>149</v>
      </c>
      <c r="B10" s="5" t="s">
        <v>142</v>
      </c>
      <c r="C10" s="5" t="s">
        <v>142</v>
      </c>
      <c r="D10" s="176">
        <v>1.5</v>
      </c>
      <c r="E10" s="176">
        <v>11.5</v>
      </c>
      <c r="F10" s="177">
        <f>O10/K10</f>
        <v>0.64264503833710052</v>
      </c>
      <c r="G10" s="5" t="s">
        <v>142</v>
      </c>
      <c r="H10" s="5" t="e">
        <f t="shared" si="8"/>
        <v>#VALUE!</v>
      </c>
      <c r="I10" s="5" t="e">
        <f t="shared" si="9"/>
        <v>#VALUE!</v>
      </c>
      <c r="J10" s="5">
        <f t="shared" si="10"/>
        <v>14.715</v>
      </c>
      <c r="K10" s="5">
        <f t="shared" si="11"/>
        <v>112.81500000000001</v>
      </c>
      <c r="L10" s="5" t="e">
        <f t="shared" si="12"/>
        <v>#VALUE!</v>
      </c>
      <c r="M10" s="5" t="e">
        <f t="shared" si="13"/>
        <v>#VALUE!</v>
      </c>
      <c r="N10" s="5">
        <f t="shared" si="14"/>
        <v>0.13043478260869565</v>
      </c>
      <c r="O10" s="5">
        <v>72.5</v>
      </c>
      <c r="P10" s="5" t="e">
        <f t="shared" si="16"/>
        <v>#VALUE!</v>
      </c>
      <c r="Q10" s="6" t="e">
        <f t="shared" si="4"/>
        <v>#VALUE!</v>
      </c>
    </row>
    <row r="12" spans="1:17">
      <c r="A12" s="196" t="s">
        <v>150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</row>
    <row r="13" spans="1:17">
      <c r="A13" s="1" t="s">
        <v>151</v>
      </c>
      <c r="B13" s="164">
        <v>44</v>
      </c>
      <c r="C13" t="s">
        <v>142</v>
      </c>
      <c r="D13" s="164">
        <v>30</v>
      </c>
      <c r="E13" s="164">
        <v>77</v>
      </c>
      <c r="F13" t="s">
        <v>142</v>
      </c>
      <c r="G13" t="s">
        <v>142</v>
      </c>
      <c r="H13">
        <f t="shared" ref="H13:K19" si="17">B13*9.81</f>
        <v>431.64000000000004</v>
      </c>
      <c r="I13" t="e">
        <f t="shared" si="17"/>
        <v>#VALUE!</v>
      </c>
      <c r="J13">
        <f t="shared" si="17"/>
        <v>294.3</v>
      </c>
      <c r="K13">
        <f t="shared" si="17"/>
        <v>755.37</v>
      </c>
      <c r="L13">
        <f t="shared" ref="L13:L29" si="18">H13/K13</f>
        <v>0.57142857142857151</v>
      </c>
      <c r="M13" t="e">
        <f t="shared" ref="M13:M19" si="19">I13/K13</f>
        <v>#VALUE!</v>
      </c>
      <c r="N13">
        <f t="shared" ref="N13:N26" si="20">J13/K13</f>
        <v>0.38961038961038963</v>
      </c>
      <c r="O13" t="e">
        <f>K13/F13</f>
        <v>#VALUE!</v>
      </c>
      <c r="P13" t="e">
        <f t="shared" ref="P13:P18" si="21">K13/G13</f>
        <v>#VALUE!</v>
      </c>
      <c r="Q13">
        <f t="shared" ref="Q13:Q26" si="22">J13/H13</f>
        <v>0.68181818181818177</v>
      </c>
    </row>
    <row r="14" spans="1:17">
      <c r="A14" s="1" t="s">
        <v>152</v>
      </c>
      <c r="B14" s="164">
        <v>15.5</v>
      </c>
      <c r="C14" t="s">
        <v>142</v>
      </c>
      <c r="D14" s="164">
        <v>5</v>
      </c>
      <c r="E14" s="164">
        <v>30</v>
      </c>
      <c r="F14" s="164">
        <v>1.41</v>
      </c>
      <c r="G14" t="s">
        <v>142</v>
      </c>
      <c r="H14">
        <f t="shared" si="17"/>
        <v>152.05500000000001</v>
      </c>
      <c r="I14" t="e">
        <f t="shared" si="17"/>
        <v>#VALUE!</v>
      </c>
      <c r="J14">
        <f t="shared" si="17"/>
        <v>49.050000000000004</v>
      </c>
      <c r="K14">
        <f t="shared" si="17"/>
        <v>294.3</v>
      </c>
      <c r="L14">
        <f t="shared" si="18"/>
        <v>0.51666666666666672</v>
      </c>
      <c r="M14" t="e">
        <f t="shared" si="19"/>
        <v>#VALUE!</v>
      </c>
      <c r="N14">
        <f t="shared" si="20"/>
        <v>0.16666666666666669</v>
      </c>
      <c r="O14">
        <f>K14/F14</f>
        <v>208.72340425531917</v>
      </c>
      <c r="P14" t="e">
        <f t="shared" si="21"/>
        <v>#VALUE!</v>
      </c>
      <c r="Q14">
        <f t="shared" si="22"/>
        <v>0.32258064516129031</v>
      </c>
    </row>
    <row r="15" spans="1:17">
      <c r="A15" s="1" t="s">
        <v>153</v>
      </c>
      <c r="B15" s="164">
        <v>9.5</v>
      </c>
      <c r="C15" s="164">
        <v>1</v>
      </c>
      <c r="D15" s="164">
        <v>5.5</v>
      </c>
      <c r="E15" s="164">
        <v>15</v>
      </c>
      <c r="F15" s="164">
        <v>0.55000000000000004</v>
      </c>
      <c r="G15" t="s">
        <v>142</v>
      </c>
      <c r="H15">
        <f t="shared" si="17"/>
        <v>93.195000000000007</v>
      </c>
      <c r="I15">
        <f t="shared" si="17"/>
        <v>9.81</v>
      </c>
      <c r="J15">
        <f t="shared" si="17"/>
        <v>53.955000000000005</v>
      </c>
      <c r="K15">
        <f t="shared" si="17"/>
        <v>147.15</v>
      </c>
      <c r="L15">
        <f t="shared" si="18"/>
        <v>0.6333333333333333</v>
      </c>
      <c r="M15">
        <f t="shared" si="19"/>
        <v>6.6666666666666666E-2</v>
      </c>
      <c r="N15">
        <f t="shared" si="20"/>
        <v>0.3666666666666667</v>
      </c>
      <c r="O15">
        <f>K15/F15</f>
        <v>267.54545454545456</v>
      </c>
      <c r="P15" t="e">
        <f t="shared" si="21"/>
        <v>#VALUE!</v>
      </c>
      <c r="Q15">
        <f t="shared" si="22"/>
        <v>0.57894736842105265</v>
      </c>
    </row>
    <row r="16" spans="1:17">
      <c r="A16" s="1" t="s">
        <v>154</v>
      </c>
      <c r="B16" s="164">
        <v>25</v>
      </c>
      <c r="C16" t="s">
        <v>142</v>
      </c>
      <c r="D16" s="164">
        <v>7</v>
      </c>
      <c r="E16" s="164">
        <v>45</v>
      </c>
      <c r="F16" s="164">
        <v>1.63</v>
      </c>
      <c r="G16" t="s">
        <v>142</v>
      </c>
      <c r="H16">
        <f t="shared" si="17"/>
        <v>245.25</v>
      </c>
      <c r="I16" t="e">
        <f t="shared" si="17"/>
        <v>#VALUE!</v>
      </c>
      <c r="J16">
        <f t="shared" si="17"/>
        <v>68.67</v>
      </c>
      <c r="K16">
        <f t="shared" si="17"/>
        <v>441.45000000000005</v>
      </c>
      <c r="L16">
        <f t="shared" si="18"/>
        <v>0.55555555555555547</v>
      </c>
      <c r="M16" t="e">
        <f t="shared" si="19"/>
        <v>#VALUE!</v>
      </c>
      <c r="N16">
        <f t="shared" si="20"/>
        <v>0.15555555555555553</v>
      </c>
      <c r="O16">
        <f>K16/F16</f>
        <v>270.82822085889575</v>
      </c>
      <c r="P16" t="e">
        <f t="shared" si="21"/>
        <v>#VALUE!</v>
      </c>
      <c r="Q16">
        <f t="shared" si="22"/>
        <v>0.28000000000000003</v>
      </c>
    </row>
    <row r="17" spans="1:17">
      <c r="A17" s="1" t="s">
        <v>155</v>
      </c>
      <c r="B17" s="164">
        <v>6</v>
      </c>
      <c r="C17" t="s">
        <v>142</v>
      </c>
      <c r="D17" s="164">
        <v>3</v>
      </c>
      <c r="E17" s="164">
        <v>9</v>
      </c>
      <c r="F17" t="s">
        <v>142</v>
      </c>
      <c r="G17" t="s">
        <v>142</v>
      </c>
      <c r="H17">
        <f t="shared" si="17"/>
        <v>58.86</v>
      </c>
      <c r="I17" t="e">
        <f t="shared" si="17"/>
        <v>#VALUE!</v>
      </c>
      <c r="J17">
        <f t="shared" si="17"/>
        <v>29.43</v>
      </c>
      <c r="K17">
        <f t="shared" si="17"/>
        <v>88.29</v>
      </c>
      <c r="L17">
        <f t="shared" si="18"/>
        <v>0.66666666666666663</v>
      </c>
      <c r="M17" t="e">
        <f t="shared" si="19"/>
        <v>#VALUE!</v>
      </c>
      <c r="N17">
        <f t="shared" si="20"/>
        <v>0.33333333333333331</v>
      </c>
      <c r="O17" t="e">
        <f t="shared" ref="O17" si="23">K17/F17</f>
        <v>#VALUE!</v>
      </c>
      <c r="P17" t="e">
        <f t="shared" si="21"/>
        <v>#VALUE!</v>
      </c>
      <c r="Q17">
        <f t="shared" si="22"/>
        <v>0.5</v>
      </c>
    </row>
    <row r="18" spans="1:17">
      <c r="A18" s="1" t="s">
        <v>156</v>
      </c>
      <c r="B18" s="164">
        <v>20</v>
      </c>
      <c r="C18" t="s">
        <v>142</v>
      </c>
      <c r="D18" s="164">
        <v>10</v>
      </c>
      <c r="E18" s="164">
        <v>70</v>
      </c>
      <c r="F18" t="s">
        <v>142</v>
      </c>
      <c r="G18" t="s">
        <v>142</v>
      </c>
      <c r="H18">
        <f t="shared" si="17"/>
        <v>196.20000000000002</v>
      </c>
      <c r="I18" t="e">
        <f t="shared" si="17"/>
        <v>#VALUE!</v>
      </c>
      <c r="J18">
        <f t="shared" si="17"/>
        <v>98.100000000000009</v>
      </c>
      <c r="K18">
        <f t="shared" si="17"/>
        <v>686.7</v>
      </c>
      <c r="L18">
        <f t="shared" si="18"/>
        <v>0.2857142857142857</v>
      </c>
      <c r="M18" t="e">
        <f t="shared" si="19"/>
        <v>#VALUE!</v>
      </c>
      <c r="N18">
        <f t="shared" si="20"/>
        <v>0.14285714285714285</v>
      </c>
      <c r="O18" t="e">
        <f>K18/F18</f>
        <v>#VALUE!</v>
      </c>
      <c r="P18" t="e">
        <f t="shared" si="21"/>
        <v>#VALUE!</v>
      </c>
      <c r="Q18">
        <f t="shared" si="22"/>
        <v>0.5</v>
      </c>
    </row>
    <row r="19" spans="1:17">
      <c r="A19" s="1" t="s">
        <v>157</v>
      </c>
      <c r="B19" s="164">
        <v>20</v>
      </c>
      <c r="C19" t="s">
        <v>142</v>
      </c>
      <c r="D19" s="164">
        <v>5</v>
      </c>
      <c r="E19" s="164">
        <v>40</v>
      </c>
      <c r="F19" t="s">
        <v>142</v>
      </c>
      <c r="G19" t="s">
        <v>142</v>
      </c>
      <c r="H19">
        <f t="shared" si="17"/>
        <v>196.20000000000002</v>
      </c>
      <c r="I19" t="e">
        <f t="shared" si="17"/>
        <v>#VALUE!</v>
      </c>
      <c r="J19">
        <f t="shared" si="17"/>
        <v>49.050000000000004</v>
      </c>
      <c r="K19">
        <f t="shared" si="17"/>
        <v>392.40000000000003</v>
      </c>
      <c r="L19">
        <f t="shared" si="18"/>
        <v>0.5</v>
      </c>
      <c r="M19" t="e">
        <f t="shared" si="19"/>
        <v>#VALUE!</v>
      </c>
      <c r="N19">
        <f t="shared" si="20"/>
        <v>0.125</v>
      </c>
      <c r="O19" t="e">
        <f t="shared" ref="O19:O28" si="24">K19/F19</f>
        <v>#VALUE!</v>
      </c>
      <c r="Q19">
        <f t="shared" si="22"/>
        <v>0.25</v>
      </c>
    </row>
    <row r="20" spans="1:17">
      <c r="A20" s="1" t="s">
        <v>158</v>
      </c>
      <c r="B20" s="164">
        <v>1</v>
      </c>
      <c r="C20" t="s">
        <v>142</v>
      </c>
      <c r="D20" s="164">
        <v>0.5</v>
      </c>
      <c r="E20" s="164">
        <v>2.25</v>
      </c>
      <c r="F20" t="s">
        <v>142</v>
      </c>
      <c r="G20" t="s">
        <v>142</v>
      </c>
      <c r="H20">
        <f t="shared" ref="H20:H29" si="25">B20*9.81</f>
        <v>9.81</v>
      </c>
      <c r="J20">
        <f t="shared" ref="J20:K26" si="26">D20*9.81</f>
        <v>4.9050000000000002</v>
      </c>
      <c r="K20">
        <f t="shared" si="26"/>
        <v>22.072500000000002</v>
      </c>
      <c r="L20">
        <f t="shared" si="18"/>
        <v>0.44444444444444442</v>
      </c>
      <c r="N20">
        <f t="shared" si="20"/>
        <v>0.22222222222222221</v>
      </c>
      <c r="O20" t="e">
        <f t="shared" si="24"/>
        <v>#VALUE!</v>
      </c>
      <c r="Q20">
        <f t="shared" si="22"/>
        <v>0.5</v>
      </c>
    </row>
    <row r="21" spans="1:17">
      <c r="A21" s="1" t="s">
        <v>159</v>
      </c>
      <c r="B21" s="164">
        <v>30</v>
      </c>
      <c r="D21" s="164">
        <v>15</v>
      </c>
      <c r="E21" s="164">
        <v>90</v>
      </c>
      <c r="H21">
        <f t="shared" si="25"/>
        <v>294.3</v>
      </c>
      <c r="J21">
        <f t="shared" si="26"/>
        <v>147.15</v>
      </c>
      <c r="K21">
        <f t="shared" si="26"/>
        <v>882.90000000000009</v>
      </c>
      <c r="L21">
        <f t="shared" si="18"/>
        <v>0.33333333333333331</v>
      </c>
      <c r="N21">
        <f t="shared" si="20"/>
        <v>0.16666666666666666</v>
      </c>
      <c r="O21" t="e">
        <f t="shared" si="24"/>
        <v>#DIV/0!</v>
      </c>
      <c r="Q21">
        <f t="shared" si="22"/>
        <v>0.5</v>
      </c>
    </row>
    <row r="22" spans="1:17">
      <c r="A22" s="1" t="s">
        <v>160</v>
      </c>
      <c r="B22" s="164">
        <v>40</v>
      </c>
      <c r="C22" s="164">
        <v>14</v>
      </c>
      <c r="D22" s="164">
        <v>6</v>
      </c>
      <c r="E22" s="164">
        <v>60</v>
      </c>
      <c r="H22">
        <f t="shared" si="25"/>
        <v>392.40000000000003</v>
      </c>
      <c r="J22">
        <f t="shared" si="26"/>
        <v>58.86</v>
      </c>
      <c r="K22">
        <f t="shared" si="26"/>
        <v>588.6</v>
      </c>
      <c r="L22">
        <f t="shared" si="18"/>
        <v>0.66666666666666674</v>
      </c>
      <c r="N22">
        <f t="shared" si="20"/>
        <v>9.9999999999999992E-2</v>
      </c>
      <c r="O22" t="e">
        <f t="shared" si="24"/>
        <v>#DIV/0!</v>
      </c>
      <c r="Q22">
        <f t="shared" si="22"/>
        <v>0.15</v>
      </c>
    </row>
    <row r="23" spans="1:17">
      <c r="A23" s="1" t="s">
        <v>161</v>
      </c>
      <c r="B23" s="164">
        <v>9</v>
      </c>
      <c r="D23" s="164">
        <v>4</v>
      </c>
      <c r="E23" s="164">
        <v>15</v>
      </c>
      <c r="H23">
        <f t="shared" si="25"/>
        <v>88.29</v>
      </c>
      <c r="J23">
        <f t="shared" si="26"/>
        <v>39.24</v>
      </c>
      <c r="K23">
        <f t="shared" si="26"/>
        <v>147.15</v>
      </c>
      <c r="L23">
        <f t="shared" si="18"/>
        <v>0.6</v>
      </c>
      <c r="N23">
        <f t="shared" si="20"/>
        <v>0.26666666666666666</v>
      </c>
      <c r="O23" t="e">
        <f t="shared" si="24"/>
        <v>#DIV/0!</v>
      </c>
      <c r="Q23">
        <f t="shared" si="22"/>
        <v>0.44444444444444442</v>
      </c>
    </row>
    <row r="24" spans="1:17">
      <c r="A24" s="1" t="s">
        <v>162</v>
      </c>
      <c r="B24" s="164">
        <v>25</v>
      </c>
      <c r="D24" s="164">
        <v>15</v>
      </c>
      <c r="E24" s="164">
        <v>65</v>
      </c>
      <c r="F24" s="164">
        <v>3.09</v>
      </c>
      <c r="H24">
        <f t="shared" si="25"/>
        <v>245.25</v>
      </c>
      <c r="J24">
        <f t="shared" si="26"/>
        <v>147.15</v>
      </c>
      <c r="K24">
        <f t="shared" si="26"/>
        <v>637.65</v>
      </c>
      <c r="L24">
        <f t="shared" si="18"/>
        <v>0.38461538461538464</v>
      </c>
      <c r="N24">
        <f t="shared" si="20"/>
        <v>0.23076923076923078</v>
      </c>
      <c r="O24">
        <f t="shared" si="24"/>
        <v>206.35922330097088</v>
      </c>
      <c r="Q24">
        <f t="shared" si="22"/>
        <v>0.6</v>
      </c>
    </row>
    <row r="25" spans="1:17">
      <c r="A25" s="1" t="s">
        <v>163</v>
      </c>
      <c r="B25" s="164">
        <v>9</v>
      </c>
      <c r="D25" s="164">
        <v>8</v>
      </c>
      <c r="E25" s="164">
        <v>20</v>
      </c>
      <c r="F25" s="164">
        <v>1.94</v>
      </c>
      <c r="H25">
        <f t="shared" si="25"/>
        <v>88.29</v>
      </c>
      <c r="J25">
        <f t="shared" si="26"/>
        <v>78.48</v>
      </c>
      <c r="K25">
        <f t="shared" si="26"/>
        <v>196.20000000000002</v>
      </c>
      <c r="L25">
        <f t="shared" si="18"/>
        <v>0.45</v>
      </c>
      <c r="N25">
        <f t="shared" si="20"/>
        <v>0.39999999999999997</v>
      </c>
      <c r="O25">
        <f t="shared" si="24"/>
        <v>101.13402061855672</v>
      </c>
      <c r="Q25">
        <f t="shared" si="22"/>
        <v>0.88888888888888884</v>
      </c>
    </row>
    <row r="26" spans="1:17">
      <c r="A26" s="1" t="s">
        <v>164</v>
      </c>
      <c r="B26" s="164">
        <v>2.5</v>
      </c>
      <c r="D26" s="164">
        <v>1</v>
      </c>
      <c r="E26" s="164">
        <v>5</v>
      </c>
      <c r="F26" s="164">
        <v>0.62</v>
      </c>
      <c r="H26">
        <f t="shared" si="25"/>
        <v>24.525000000000002</v>
      </c>
      <c r="J26">
        <f t="shared" si="26"/>
        <v>9.81</v>
      </c>
      <c r="K26">
        <f t="shared" si="26"/>
        <v>49.050000000000004</v>
      </c>
      <c r="L26">
        <f t="shared" si="18"/>
        <v>0.5</v>
      </c>
      <c r="N26">
        <f t="shared" si="20"/>
        <v>0.19999999999999998</v>
      </c>
      <c r="O26">
        <f t="shared" si="24"/>
        <v>79.112903225806463</v>
      </c>
      <c r="Q26">
        <f t="shared" si="22"/>
        <v>0.39999999999999997</v>
      </c>
    </row>
    <row r="27" spans="1:17">
      <c r="A27" s="1" t="s">
        <v>165</v>
      </c>
      <c r="B27" s="164">
        <v>66</v>
      </c>
      <c r="D27" t="s">
        <v>142</v>
      </c>
      <c r="E27" s="164">
        <v>105</v>
      </c>
      <c r="F27" s="164">
        <v>4.78</v>
      </c>
      <c r="H27">
        <f t="shared" si="25"/>
        <v>647.46</v>
      </c>
      <c r="K27">
        <f>E27*9.81</f>
        <v>1030.05</v>
      </c>
      <c r="L27">
        <f t="shared" si="18"/>
        <v>0.62857142857142867</v>
      </c>
      <c r="O27">
        <f t="shared" si="24"/>
        <v>215.49163179916317</v>
      </c>
    </row>
    <row r="28" spans="1:17">
      <c r="A28" s="1" t="s">
        <v>166</v>
      </c>
      <c r="B28" s="164">
        <v>18</v>
      </c>
      <c r="D28" s="164">
        <v>10</v>
      </c>
      <c r="E28" s="164">
        <v>35</v>
      </c>
      <c r="F28" s="164">
        <v>1.44</v>
      </c>
      <c r="H28">
        <f t="shared" si="25"/>
        <v>176.58</v>
      </c>
      <c r="K28">
        <f>E28*9.81</f>
        <v>343.35</v>
      </c>
      <c r="L28">
        <f t="shared" si="18"/>
        <v>0.51428571428571423</v>
      </c>
      <c r="O28">
        <f t="shared" si="24"/>
        <v>238.43750000000003</v>
      </c>
    </row>
    <row r="29" spans="1:17">
      <c r="A29" s="1" t="s">
        <v>167</v>
      </c>
      <c r="B29" s="164">
        <v>1.7</v>
      </c>
      <c r="D29" s="164">
        <v>0.2</v>
      </c>
      <c r="E29" s="164">
        <v>1.9</v>
      </c>
      <c r="H29">
        <f t="shared" si="25"/>
        <v>16.677</v>
      </c>
      <c r="K29">
        <f>E29*9.81</f>
        <v>18.638999999999999</v>
      </c>
      <c r="L29">
        <f t="shared" si="18"/>
        <v>0.89473684210526316</v>
      </c>
    </row>
  </sheetData>
  <mergeCells count="2">
    <mergeCell ref="A1:P1"/>
    <mergeCell ref="A12:Q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AFBD-DBF5-46C5-9DA4-8951996A2B70}">
  <dimension ref="C39:I41"/>
  <sheetViews>
    <sheetView workbookViewId="0">
      <selection activeCell="A21" sqref="A21"/>
    </sheetView>
  </sheetViews>
  <sheetFormatPr baseColWidth="10" defaultColWidth="8.83203125" defaultRowHeight="15"/>
  <sheetData>
    <row r="39" spans="3:9">
      <c r="C39" t="s">
        <v>168</v>
      </c>
      <c r="D39" t="s">
        <v>169</v>
      </c>
      <c r="F39" t="s">
        <v>170</v>
      </c>
      <c r="G39" t="s">
        <v>171</v>
      </c>
      <c r="H39" t="s">
        <v>172</v>
      </c>
      <c r="I39" t="s">
        <v>173</v>
      </c>
    </row>
    <row r="40" spans="3:9">
      <c r="C40">
        <f>Constraint_Diagram!N31</f>
        <v>0</v>
      </c>
      <c r="D40">
        <f>Constraint_Diagram!N41</f>
        <v>0</v>
      </c>
      <c r="F40">
        <v>0</v>
      </c>
      <c r="G40">
        <f>C40</f>
        <v>0</v>
      </c>
      <c r="H40">
        <f>F41</f>
        <v>0</v>
      </c>
      <c r="I40">
        <v>0</v>
      </c>
    </row>
    <row r="41" spans="3:9">
      <c r="F41">
        <f>D40</f>
        <v>0</v>
      </c>
      <c r="G41">
        <f>G40</f>
        <v>0</v>
      </c>
      <c r="H41">
        <f>H40</f>
        <v>0</v>
      </c>
      <c r="I41">
        <f>C40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B19E-B2D1-49AE-AB57-913E4003DBB7}">
  <dimension ref="A2:G44"/>
  <sheetViews>
    <sheetView topLeftCell="H1" workbookViewId="0">
      <selection activeCell="M8" sqref="M8"/>
    </sheetView>
  </sheetViews>
  <sheetFormatPr baseColWidth="10" defaultColWidth="8.83203125" defaultRowHeight="15"/>
  <cols>
    <col min="1" max="1" width="19.1640625" bestFit="1" customWidth="1"/>
    <col min="2" max="2" width="21.1640625" bestFit="1" customWidth="1"/>
    <col min="4" max="4" width="20.6640625" bestFit="1" customWidth="1"/>
    <col min="5" max="5" width="13.33203125" bestFit="1" customWidth="1"/>
  </cols>
  <sheetData>
    <row r="2" spans="1:7">
      <c r="F2" s="138"/>
    </row>
    <row r="6" spans="1:7">
      <c r="D6" s="138"/>
    </row>
    <row r="10" spans="1:7">
      <c r="A10" s="138"/>
      <c r="B10" s="138"/>
    </row>
    <row r="12" spans="1:7">
      <c r="A12" s="1"/>
    </row>
    <row r="14" spans="1:7" ht="16">
      <c r="A14" s="139"/>
      <c r="B14" s="139"/>
      <c r="C14" s="139"/>
      <c r="D14" s="139"/>
      <c r="E14" s="139"/>
      <c r="F14" s="139"/>
      <c r="G14" s="139"/>
    </row>
    <row r="15" spans="1:7" ht="16">
      <c r="A15" s="139"/>
      <c r="B15" s="139"/>
      <c r="C15" s="139"/>
      <c r="D15" s="139"/>
      <c r="E15" s="139"/>
      <c r="F15" s="139"/>
      <c r="G15" s="139"/>
    </row>
    <row r="16" spans="1:7" ht="16">
      <c r="A16" s="139"/>
      <c r="B16" s="139"/>
      <c r="C16" s="139"/>
      <c r="D16" s="139"/>
      <c r="E16" s="139"/>
      <c r="F16" s="139"/>
      <c r="G16" s="140"/>
    </row>
    <row r="17" spans="1:7" ht="16">
      <c r="A17" s="139"/>
      <c r="B17" s="139"/>
      <c r="C17" s="139"/>
      <c r="D17" s="139"/>
      <c r="E17" s="139"/>
      <c r="F17" s="139"/>
      <c r="G17" s="139"/>
    </row>
    <row r="18" spans="1:7" ht="16">
      <c r="A18" s="139"/>
      <c r="B18" s="139"/>
      <c r="C18" s="139"/>
      <c r="D18" s="139"/>
      <c r="E18" s="139"/>
      <c r="F18" s="139"/>
      <c r="G18" s="139"/>
    </row>
    <row r="19" spans="1:7" ht="16">
      <c r="A19" s="139"/>
      <c r="B19" s="139"/>
      <c r="C19" s="139"/>
      <c r="D19" s="139"/>
      <c r="E19" s="139"/>
      <c r="F19" s="139"/>
      <c r="G19" s="139"/>
    </row>
    <row r="20" spans="1:7" ht="16">
      <c r="A20" s="139"/>
      <c r="B20" s="139"/>
      <c r="C20" s="139"/>
      <c r="D20" s="139"/>
      <c r="E20" s="139"/>
      <c r="F20" s="139"/>
      <c r="G20" s="139"/>
    </row>
    <row r="21" spans="1:7" ht="16">
      <c r="A21" s="139"/>
      <c r="B21" s="139"/>
      <c r="C21" s="139"/>
      <c r="D21" s="139"/>
      <c r="E21" s="139"/>
      <c r="F21" s="139"/>
      <c r="G21" s="139"/>
    </row>
    <row r="22" spans="1:7" ht="16">
      <c r="A22" s="139"/>
      <c r="B22" s="139"/>
      <c r="C22" s="139"/>
      <c r="D22" s="139"/>
      <c r="E22" s="139"/>
      <c r="F22" s="139"/>
      <c r="G22" s="139"/>
    </row>
    <row r="23" spans="1:7" ht="16">
      <c r="A23" s="139"/>
      <c r="B23" s="139"/>
      <c r="C23" s="139"/>
      <c r="D23" s="139"/>
      <c r="E23" s="139"/>
      <c r="F23" s="139"/>
      <c r="G23" s="139"/>
    </row>
    <row r="24" spans="1:7" ht="16">
      <c r="A24" s="139"/>
      <c r="B24" s="139"/>
      <c r="C24" s="139"/>
      <c r="D24" s="139"/>
      <c r="E24" s="139"/>
      <c r="F24" s="139"/>
      <c r="G24" s="139"/>
    </row>
    <row r="25" spans="1:7" ht="16">
      <c r="A25" s="139"/>
      <c r="B25" s="139"/>
      <c r="C25" s="139"/>
      <c r="D25" s="139"/>
      <c r="E25" s="139"/>
      <c r="F25" s="139"/>
      <c r="G25" s="139"/>
    </row>
    <row r="26" spans="1:7" ht="16">
      <c r="A26" s="139"/>
      <c r="B26" s="139"/>
      <c r="C26" s="139"/>
      <c r="D26" s="139"/>
      <c r="E26" s="139"/>
      <c r="F26" s="139"/>
      <c r="G26" s="139"/>
    </row>
    <row r="27" spans="1:7" ht="16">
      <c r="A27" s="139"/>
      <c r="B27" s="139"/>
      <c r="C27" s="139"/>
      <c r="D27" s="139"/>
      <c r="E27" s="139"/>
      <c r="F27" s="139"/>
      <c r="G27" s="139"/>
    </row>
    <row r="28" spans="1:7" ht="16">
      <c r="A28" s="139"/>
      <c r="B28" s="139"/>
      <c r="C28" s="139"/>
      <c r="D28" s="139"/>
      <c r="E28" s="139"/>
      <c r="F28" s="139"/>
      <c r="G28" s="139"/>
    </row>
    <row r="29" spans="1:7" ht="16">
      <c r="A29" s="139"/>
      <c r="B29" s="139"/>
      <c r="C29" s="139"/>
      <c r="D29" s="139"/>
      <c r="E29" s="139"/>
      <c r="F29" s="139"/>
      <c r="G29" s="139"/>
    </row>
    <row r="30" spans="1:7" ht="16">
      <c r="A30" s="139"/>
      <c r="B30" s="139"/>
      <c r="C30" s="139"/>
      <c r="D30" s="139"/>
      <c r="E30" s="139"/>
      <c r="F30" s="139"/>
      <c r="G30" s="139"/>
    </row>
    <row r="31" spans="1:7" ht="16">
      <c r="A31" s="139"/>
      <c r="B31" s="139"/>
      <c r="C31" s="139"/>
      <c r="D31" s="139"/>
      <c r="E31" s="139"/>
      <c r="F31" s="139"/>
      <c r="G31" s="139"/>
    </row>
    <row r="32" spans="1:7" ht="16">
      <c r="A32" s="139"/>
      <c r="B32" s="139"/>
      <c r="C32" s="139"/>
      <c r="D32" s="139"/>
      <c r="E32" s="139"/>
      <c r="F32" s="139"/>
      <c r="G32" s="139"/>
    </row>
    <row r="33" spans="1:7" ht="16">
      <c r="A33" s="139"/>
      <c r="B33" s="139"/>
      <c r="C33" s="139"/>
      <c r="D33" s="139"/>
      <c r="E33" s="139"/>
      <c r="F33" s="139"/>
      <c r="G33" s="139"/>
    </row>
    <row r="34" spans="1:7" ht="16">
      <c r="A34" s="139"/>
      <c r="B34" s="139"/>
      <c r="C34" s="139"/>
      <c r="D34" s="139"/>
      <c r="E34" s="139"/>
      <c r="F34" s="139"/>
      <c r="G34" s="139"/>
    </row>
    <row r="35" spans="1:7" ht="16">
      <c r="A35" s="139"/>
      <c r="B35" s="139"/>
      <c r="C35" s="139"/>
      <c r="D35" s="139"/>
      <c r="E35" s="139"/>
      <c r="F35" s="139"/>
      <c r="G35" s="139"/>
    </row>
    <row r="36" spans="1:7" ht="16">
      <c r="A36" s="139"/>
      <c r="B36" s="139"/>
      <c r="C36" s="139"/>
      <c r="D36" s="139"/>
      <c r="E36" s="139"/>
      <c r="F36" s="139"/>
      <c r="G36" s="139"/>
    </row>
    <row r="37" spans="1:7" ht="16">
      <c r="A37" s="139"/>
      <c r="B37" s="139"/>
      <c r="C37" s="139"/>
      <c r="D37" s="139"/>
      <c r="E37" s="139"/>
      <c r="F37" s="139"/>
      <c r="G37" s="139"/>
    </row>
    <row r="38" spans="1:7" ht="16">
      <c r="A38" s="139"/>
      <c r="B38" s="139"/>
      <c r="C38" s="139"/>
      <c r="D38" s="139"/>
      <c r="E38" s="139"/>
      <c r="F38" s="139"/>
      <c r="G38" s="139"/>
    </row>
    <row r="39" spans="1:7" ht="16">
      <c r="A39" s="139"/>
      <c r="B39" s="139"/>
      <c r="C39" s="139"/>
      <c r="D39" s="139"/>
      <c r="E39" s="139"/>
      <c r="F39" s="139"/>
      <c r="G39" s="139"/>
    </row>
    <row r="40" spans="1:7" ht="16">
      <c r="A40" s="139"/>
      <c r="B40" s="139"/>
      <c r="C40" s="139"/>
      <c r="D40" s="139"/>
      <c r="E40" s="139"/>
      <c r="F40" s="139"/>
      <c r="G40" s="139"/>
    </row>
    <row r="41" spans="1:7" ht="16">
      <c r="A41" s="139"/>
      <c r="B41" s="139"/>
      <c r="C41" s="139"/>
      <c r="D41" s="139"/>
      <c r="E41" s="139"/>
      <c r="F41" s="139"/>
      <c r="G41" s="139"/>
    </row>
    <row r="42" spans="1:7" ht="16">
      <c r="A42" s="139"/>
      <c r="B42" s="139"/>
      <c r="C42" s="139"/>
      <c r="D42" s="139"/>
      <c r="E42" s="139"/>
      <c r="F42" s="139"/>
      <c r="G42" s="139"/>
    </row>
    <row r="43" spans="1:7" ht="16">
      <c r="A43" s="139"/>
      <c r="B43" s="139"/>
      <c r="C43" s="139"/>
      <c r="D43" s="139"/>
      <c r="E43" s="139"/>
      <c r="F43" s="139"/>
      <c r="G43" s="139"/>
    </row>
    <row r="44" spans="1:7" ht="16">
      <c r="A44" s="139"/>
      <c r="B44" s="139"/>
      <c r="C44" s="139"/>
      <c r="D44" s="139"/>
      <c r="E44" s="139"/>
      <c r="F44" s="139"/>
      <c r="G44" s="1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F59E-5B6F-491C-B0B5-A5B4DC987468}">
  <dimension ref="C4:V36"/>
  <sheetViews>
    <sheetView topLeftCell="A6" zoomScale="90" zoomScaleNormal="90" workbookViewId="0">
      <selection activeCell="F12" sqref="F12"/>
    </sheetView>
  </sheetViews>
  <sheetFormatPr baseColWidth="10" defaultColWidth="8.83203125" defaultRowHeight="13"/>
  <cols>
    <col min="1" max="2" width="8.83203125" style="36"/>
    <col min="3" max="3" width="23.33203125" style="36" customWidth="1"/>
    <col min="4" max="4" width="8.83203125" style="36"/>
    <col min="5" max="5" width="11.5" style="37" customWidth="1"/>
    <col min="6" max="6" width="4.83203125" style="36" customWidth="1"/>
    <col min="7" max="7" width="2.5" style="36" customWidth="1"/>
    <col min="8" max="19" width="8.83203125" style="36"/>
    <col min="20" max="20" width="19.83203125" style="36" bestFit="1" customWidth="1"/>
    <col min="21" max="258" width="8.83203125" style="36"/>
    <col min="259" max="259" width="23.33203125" style="36" customWidth="1"/>
    <col min="260" max="260" width="8.83203125" style="36"/>
    <col min="261" max="261" width="11.5" style="36" customWidth="1"/>
    <col min="262" max="262" width="4.83203125" style="36" customWidth="1"/>
    <col min="263" max="263" width="2.5" style="36" customWidth="1"/>
    <col min="264" max="514" width="8.83203125" style="36"/>
    <col min="515" max="515" width="23.33203125" style="36" customWidth="1"/>
    <col min="516" max="516" width="8.83203125" style="36"/>
    <col min="517" max="517" width="11.5" style="36" customWidth="1"/>
    <col min="518" max="518" width="4.83203125" style="36" customWidth="1"/>
    <col min="519" max="519" width="2.5" style="36" customWidth="1"/>
    <col min="520" max="770" width="8.83203125" style="36"/>
    <col min="771" max="771" width="23.33203125" style="36" customWidth="1"/>
    <col min="772" max="772" width="8.83203125" style="36"/>
    <col min="773" max="773" width="11.5" style="36" customWidth="1"/>
    <col min="774" max="774" width="4.83203125" style="36" customWidth="1"/>
    <col min="775" max="775" width="2.5" style="36" customWidth="1"/>
    <col min="776" max="1026" width="8.83203125" style="36"/>
    <col min="1027" max="1027" width="23.33203125" style="36" customWidth="1"/>
    <col min="1028" max="1028" width="8.83203125" style="36"/>
    <col min="1029" max="1029" width="11.5" style="36" customWidth="1"/>
    <col min="1030" max="1030" width="4.83203125" style="36" customWidth="1"/>
    <col min="1031" max="1031" width="2.5" style="36" customWidth="1"/>
    <col min="1032" max="1282" width="8.83203125" style="36"/>
    <col min="1283" max="1283" width="23.33203125" style="36" customWidth="1"/>
    <col min="1284" max="1284" width="8.83203125" style="36"/>
    <col min="1285" max="1285" width="11.5" style="36" customWidth="1"/>
    <col min="1286" max="1286" width="4.83203125" style="36" customWidth="1"/>
    <col min="1287" max="1287" width="2.5" style="36" customWidth="1"/>
    <col min="1288" max="1538" width="8.83203125" style="36"/>
    <col min="1539" max="1539" width="23.33203125" style="36" customWidth="1"/>
    <col min="1540" max="1540" width="8.83203125" style="36"/>
    <col min="1541" max="1541" width="11.5" style="36" customWidth="1"/>
    <col min="1542" max="1542" width="4.83203125" style="36" customWidth="1"/>
    <col min="1543" max="1543" width="2.5" style="36" customWidth="1"/>
    <col min="1544" max="1794" width="8.83203125" style="36"/>
    <col min="1795" max="1795" width="23.33203125" style="36" customWidth="1"/>
    <col min="1796" max="1796" width="8.83203125" style="36"/>
    <col min="1797" max="1797" width="11.5" style="36" customWidth="1"/>
    <col min="1798" max="1798" width="4.83203125" style="36" customWidth="1"/>
    <col min="1799" max="1799" width="2.5" style="36" customWidth="1"/>
    <col min="1800" max="2050" width="8.83203125" style="36"/>
    <col min="2051" max="2051" width="23.33203125" style="36" customWidth="1"/>
    <col min="2052" max="2052" width="8.83203125" style="36"/>
    <col min="2053" max="2053" width="11.5" style="36" customWidth="1"/>
    <col min="2054" max="2054" width="4.83203125" style="36" customWidth="1"/>
    <col min="2055" max="2055" width="2.5" style="36" customWidth="1"/>
    <col min="2056" max="2306" width="8.83203125" style="36"/>
    <col min="2307" max="2307" width="23.33203125" style="36" customWidth="1"/>
    <col min="2308" max="2308" width="8.83203125" style="36"/>
    <col min="2309" max="2309" width="11.5" style="36" customWidth="1"/>
    <col min="2310" max="2310" width="4.83203125" style="36" customWidth="1"/>
    <col min="2311" max="2311" width="2.5" style="36" customWidth="1"/>
    <col min="2312" max="2562" width="8.83203125" style="36"/>
    <col min="2563" max="2563" width="23.33203125" style="36" customWidth="1"/>
    <col min="2564" max="2564" width="8.83203125" style="36"/>
    <col min="2565" max="2565" width="11.5" style="36" customWidth="1"/>
    <col min="2566" max="2566" width="4.83203125" style="36" customWidth="1"/>
    <col min="2567" max="2567" width="2.5" style="36" customWidth="1"/>
    <col min="2568" max="2818" width="8.83203125" style="36"/>
    <col min="2819" max="2819" width="23.33203125" style="36" customWidth="1"/>
    <col min="2820" max="2820" width="8.83203125" style="36"/>
    <col min="2821" max="2821" width="11.5" style="36" customWidth="1"/>
    <col min="2822" max="2822" width="4.83203125" style="36" customWidth="1"/>
    <col min="2823" max="2823" width="2.5" style="36" customWidth="1"/>
    <col min="2824" max="3074" width="8.83203125" style="36"/>
    <col min="3075" max="3075" width="23.33203125" style="36" customWidth="1"/>
    <col min="3076" max="3076" width="8.83203125" style="36"/>
    <col min="3077" max="3077" width="11.5" style="36" customWidth="1"/>
    <col min="3078" max="3078" width="4.83203125" style="36" customWidth="1"/>
    <col min="3079" max="3079" width="2.5" style="36" customWidth="1"/>
    <col min="3080" max="3330" width="8.83203125" style="36"/>
    <col min="3331" max="3331" width="23.33203125" style="36" customWidth="1"/>
    <col min="3332" max="3332" width="8.83203125" style="36"/>
    <col min="3333" max="3333" width="11.5" style="36" customWidth="1"/>
    <col min="3334" max="3334" width="4.83203125" style="36" customWidth="1"/>
    <col min="3335" max="3335" width="2.5" style="36" customWidth="1"/>
    <col min="3336" max="3586" width="8.83203125" style="36"/>
    <col min="3587" max="3587" width="23.33203125" style="36" customWidth="1"/>
    <col min="3588" max="3588" width="8.83203125" style="36"/>
    <col min="3589" max="3589" width="11.5" style="36" customWidth="1"/>
    <col min="3590" max="3590" width="4.83203125" style="36" customWidth="1"/>
    <col min="3591" max="3591" width="2.5" style="36" customWidth="1"/>
    <col min="3592" max="3842" width="8.83203125" style="36"/>
    <col min="3843" max="3843" width="23.33203125" style="36" customWidth="1"/>
    <col min="3844" max="3844" width="8.83203125" style="36"/>
    <col min="3845" max="3845" width="11.5" style="36" customWidth="1"/>
    <col min="3846" max="3846" width="4.83203125" style="36" customWidth="1"/>
    <col min="3847" max="3847" width="2.5" style="36" customWidth="1"/>
    <col min="3848" max="4098" width="8.83203125" style="36"/>
    <col min="4099" max="4099" width="23.33203125" style="36" customWidth="1"/>
    <col min="4100" max="4100" width="8.83203125" style="36"/>
    <col min="4101" max="4101" width="11.5" style="36" customWidth="1"/>
    <col min="4102" max="4102" width="4.83203125" style="36" customWidth="1"/>
    <col min="4103" max="4103" width="2.5" style="36" customWidth="1"/>
    <col min="4104" max="4354" width="8.83203125" style="36"/>
    <col min="4355" max="4355" width="23.33203125" style="36" customWidth="1"/>
    <col min="4356" max="4356" width="8.83203125" style="36"/>
    <col min="4357" max="4357" width="11.5" style="36" customWidth="1"/>
    <col min="4358" max="4358" width="4.83203125" style="36" customWidth="1"/>
    <col min="4359" max="4359" width="2.5" style="36" customWidth="1"/>
    <col min="4360" max="4610" width="8.83203125" style="36"/>
    <col min="4611" max="4611" width="23.33203125" style="36" customWidth="1"/>
    <col min="4612" max="4612" width="8.83203125" style="36"/>
    <col min="4613" max="4613" width="11.5" style="36" customWidth="1"/>
    <col min="4614" max="4614" width="4.83203125" style="36" customWidth="1"/>
    <col min="4615" max="4615" width="2.5" style="36" customWidth="1"/>
    <col min="4616" max="4866" width="8.83203125" style="36"/>
    <col min="4867" max="4867" width="23.33203125" style="36" customWidth="1"/>
    <col min="4868" max="4868" width="8.83203125" style="36"/>
    <col min="4869" max="4869" width="11.5" style="36" customWidth="1"/>
    <col min="4870" max="4870" width="4.83203125" style="36" customWidth="1"/>
    <col min="4871" max="4871" width="2.5" style="36" customWidth="1"/>
    <col min="4872" max="5122" width="8.83203125" style="36"/>
    <col min="5123" max="5123" width="23.33203125" style="36" customWidth="1"/>
    <col min="5124" max="5124" width="8.83203125" style="36"/>
    <col min="5125" max="5125" width="11.5" style="36" customWidth="1"/>
    <col min="5126" max="5126" width="4.83203125" style="36" customWidth="1"/>
    <col min="5127" max="5127" width="2.5" style="36" customWidth="1"/>
    <col min="5128" max="5378" width="8.83203125" style="36"/>
    <col min="5379" max="5379" width="23.33203125" style="36" customWidth="1"/>
    <col min="5380" max="5380" width="8.83203125" style="36"/>
    <col min="5381" max="5381" width="11.5" style="36" customWidth="1"/>
    <col min="5382" max="5382" width="4.83203125" style="36" customWidth="1"/>
    <col min="5383" max="5383" width="2.5" style="36" customWidth="1"/>
    <col min="5384" max="5634" width="8.83203125" style="36"/>
    <col min="5635" max="5635" width="23.33203125" style="36" customWidth="1"/>
    <col min="5636" max="5636" width="8.83203125" style="36"/>
    <col min="5637" max="5637" width="11.5" style="36" customWidth="1"/>
    <col min="5638" max="5638" width="4.83203125" style="36" customWidth="1"/>
    <col min="5639" max="5639" width="2.5" style="36" customWidth="1"/>
    <col min="5640" max="5890" width="8.83203125" style="36"/>
    <col min="5891" max="5891" width="23.33203125" style="36" customWidth="1"/>
    <col min="5892" max="5892" width="8.83203125" style="36"/>
    <col min="5893" max="5893" width="11.5" style="36" customWidth="1"/>
    <col min="5894" max="5894" width="4.83203125" style="36" customWidth="1"/>
    <col min="5895" max="5895" width="2.5" style="36" customWidth="1"/>
    <col min="5896" max="6146" width="8.83203125" style="36"/>
    <col min="6147" max="6147" width="23.33203125" style="36" customWidth="1"/>
    <col min="6148" max="6148" width="8.83203125" style="36"/>
    <col min="6149" max="6149" width="11.5" style="36" customWidth="1"/>
    <col min="6150" max="6150" width="4.83203125" style="36" customWidth="1"/>
    <col min="6151" max="6151" width="2.5" style="36" customWidth="1"/>
    <col min="6152" max="6402" width="8.83203125" style="36"/>
    <col min="6403" max="6403" width="23.33203125" style="36" customWidth="1"/>
    <col min="6404" max="6404" width="8.83203125" style="36"/>
    <col min="6405" max="6405" width="11.5" style="36" customWidth="1"/>
    <col min="6406" max="6406" width="4.83203125" style="36" customWidth="1"/>
    <col min="6407" max="6407" width="2.5" style="36" customWidth="1"/>
    <col min="6408" max="6658" width="8.83203125" style="36"/>
    <col min="6659" max="6659" width="23.33203125" style="36" customWidth="1"/>
    <col min="6660" max="6660" width="8.83203125" style="36"/>
    <col min="6661" max="6661" width="11.5" style="36" customWidth="1"/>
    <col min="6662" max="6662" width="4.83203125" style="36" customWidth="1"/>
    <col min="6663" max="6663" width="2.5" style="36" customWidth="1"/>
    <col min="6664" max="6914" width="8.83203125" style="36"/>
    <col min="6915" max="6915" width="23.33203125" style="36" customWidth="1"/>
    <col min="6916" max="6916" width="8.83203125" style="36"/>
    <col min="6917" max="6917" width="11.5" style="36" customWidth="1"/>
    <col min="6918" max="6918" width="4.83203125" style="36" customWidth="1"/>
    <col min="6919" max="6919" width="2.5" style="36" customWidth="1"/>
    <col min="6920" max="7170" width="8.83203125" style="36"/>
    <col min="7171" max="7171" width="23.33203125" style="36" customWidth="1"/>
    <col min="7172" max="7172" width="8.83203125" style="36"/>
    <col min="7173" max="7173" width="11.5" style="36" customWidth="1"/>
    <col min="7174" max="7174" width="4.83203125" style="36" customWidth="1"/>
    <col min="7175" max="7175" width="2.5" style="36" customWidth="1"/>
    <col min="7176" max="7426" width="8.83203125" style="36"/>
    <col min="7427" max="7427" width="23.33203125" style="36" customWidth="1"/>
    <col min="7428" max="7428" width="8.83203125" style="36"/>
    <col min="7429" max="7429" width="11.5" style="36" customWidth="1"/>
    <col min="7430" max="7430" width="4.83203125" style="36" customWidth="1"/>
    <col min="7431" max="7431" width="2.5" style="36" customWidth="1"/>
    <col min="7432" max="7682" width="8.83203125" style="36"/>
    <col min="7683" max="7683" width="23.33203125" style="36" customWidth="1"/>
    <col min="7684" max="7684" width="8.83203125" style="36"/>
    <col min="7685" max="7685" width="11.5" style="36" customWidth="1"/>
    <col min="7686" max="7686" width="4.83203125" style="36" customWidth="1"/>
    <col min="7687" max="7687" width="2.5" style="36" customWidth="1"/>
    <col min="7688" max="7938" width="8.83203125" style="36"/>
    <col min="7939" max="7939" width="23.33203125" style="36" customWidth="1"/>
    <col min="7940" max="7940" width="8.83203125" style="36"/>
    <col min="7941" max="7941" width="11.5" style="36" customWidth="1"/>
    <col min="7942" max="7942" width="4.83203125" style="36" customWidth="1"/>
    <col min="7943" max="7943" width="2.5" style="36" customWidth="1"/>
    <col min="7944" max="8194" width="8.83203125" style="36"/>
    <col min="8195" max="8195" width="23.33203125" style="36" customWidth="1"/>
    <col min="8196" max="8196" width="8.83203125" style="36"/>
    <col min="8197" max="8197" width="11.5" style="36" customWidth="1"/>
    <col min="8198" max="8198" width="4.83203125" style="36" customWidth="1"/>
    <col min="8199" max="8199" width="2.5" style="36" customWidth="1"/>
    <col min="8200" max="8450" width="8.83203125" style="36"/>
    <col min="8451" max="8451" width="23.33203125" style="36" customWidth="1"/>
    <col min="8452" max="8452" width="8.83203125" style="36"/>
    <col min="8453" max="8453" width="11.5" style="36" customWidth="1"/>
    <col min="8454" max="8454" width="4.83203125" style="36" customWidth="1"/>
    <col min="8455" max="8455" width="2.5" style="36" customWidth="1"/>
    <col min="8456" max="8706" width="8.83203125" style="36"/>
    <col min="8707" max="8707" width="23.33203125" style="36" customWidth="1"/>
    <col min="8708" max="8708" width="8.83203125" style="36"/>
    <col min="8709" max="8709" width="11.5" style="36" customWidth="1"/>
    <col min="8710" max="8710" width="4.83203125" style="36" customWidth="1"/>
    <col min="8711" max="8711" width="2.5" style="36" customWidth="1"/>
    <col min="8712" max="8962" width="8.83203125" style="36"/>
    <col min="8963" max="8963" width="23.33203125" style="36" customWidth="1"/>
    <col min="8964" max="8964" width="8.83203125" style="36"/>
    <col min="8965" max="8965" width="11.5" style="36" customWidth="1"/>
    <col min="8966" max="8966" width="4.83203125" style="36" customWidth="1"/>
    <col min="8967" max="8967" width="2.5" style="36" customWidth="1"/>
    <col min="8968" max="9218" width="8.83203125" style="36"/>
    <col min="9219" max="9219" width="23.33203125" style="36" customWidth="1"/>
    <col min="9220" max="9220" width="8.83203125" style="36"/>
    <col min="9221" max="9221" width="11.5" style="36" customWidth="1"/>
    <col min="9222" max="9222" width="4.83203125" style="36" customWidth="1"/>
    <col min="9223" max="9223" width="2.5" style="36" customWidth="1"/>
    <col min="9224" max="9474" width="8.83203125" style="36"/>
    <col min="9475" max="9475" width="23.33203125" style="36" customWidth="1"/>
    <col min="9476" max="9476" width="8.83203125" style="36"/>
    <col min="9477" max="9477" width="11.5" style="36" customWidth="1"/>
    <col min="9478" max="9478" width="4.83203125" style="36" customWidth="1"/>
    <col min="9479" max="9479" width="2.5" style="36" customWidth="1"/>
    <col min="9480" max="9730" width="8.83203125" style="36"/>
    <col min="9731" max="9731" width="23.33203125" style="36" customWidth="1"/>
    <col min="9732" max="9732" width="8.83203125" style="36"/>
    <col min="9733" max="9733" width="11.5" style="36" customWidth="1"/>
    <col min="9734" max="9734" width="4.83203125" style="36" customWidth="1"/>
    <col min="9735" max="9735" width="2.5" style="36" customWidth="1"/>
    <col min="9736" max="9986" width="8.83203125" style="36"/>
    <col min="9987" max="9987" width="23.33203125" style="36" customWidth="1"/>
    <col min="9988" max="9988" width="8.83203125" style="36"/>
    <col min="9989" max="9989" width="11.5" style="36" customWidth="1"/>
    <col min="9990" max="9990" width="4.83203125" style="36" customWidth="1"/>
    <col min="9991" max="9991" width="2.5" style="36" customWidth="1"/>
    <col min="9992" max="10242" width="8.83203125" style="36"/>
    <col min="10243" max="10243" width="23.33203125" style="36" customWidth="1"/>
    <col min="10244" max="10244" width="8.83203125" style="36"/>
    <col min="10245" max="10245" width="11.5" style="36" customWidth="1"/>
    <col min="10246" max="10246" width="4.83203125" style="36" customWidth="1"/>
    <col min="10247" max="10247" width="2.5" style="36" customWidth="1"/>
    <col min="10248" max="10498" width="8.83203125" style="36"/>
    <col min="10499" max="10499" width="23.33203125" style="36" customWidth="1"/>
    <col min="10500" max="10500" width="8.83203125" style="36"/>
    <col min="10501" max="10501" width="11.5" style="36" customWidth="1"/>
    <col min="10502" max="10502" width="4.83203125" style="36" customWidth="1"/>
    <col min="10503" max="10503" width="2.5" style="36" customWidth="1"/>
    <col min="10504" max="10754" width="8.83203125" style="36"/>
    <col min="10755" max="10755" width="23.33203125" style="36" customWidth="1"/>
    <col min="10756" max="10756" width="8.83203125" style="36"/>
    <col min="10757" max="10757" width="11.5" style="36" customWidth="1"/>
    <col min="10758" max="10758" width="4.83203125" style="36" customWidth="1"/>
    <col min="10759" max="10759" width="2.5" style="36" customWidth="1"/>
    <col min="10760" max="11010" width="8.83203125" style="36"/>
    <col min="11011" max="11011" width="23.33203125" style="36" customWidth="1"/>
    <col min="11012" max="11012" width="8.83203125" style="36"/>
    <col min="11013" max="11013" width="11.5" style="36" customWidth="1"/>
    <col min="11014" max="11014" width="4.83203125" style="36" customWidth="1"/>
    <col min="11015" max="11015" width="2.5" style="36" customWidth="1"/>
    <col min="11016" max="11266" width="8.83203125" style="36"/>
    <col min="11267" max="11267" width="23.33203125" style="36" customWidth="1"/>
    <col min="11268" max="11268" width="8.83203125" style="36"/>
    <col min="11269" max="11269" width="11.5" style="36" customWidth="1"/>
    <col min="11270" max="11270" width="4.83203125" style="36" customWidth="1"/>
    <col min="11271" max="11271" width="2.5" style="36" customWidth="1"/>
    <col min="11272" max="11522" width="8.83203125" style="36"/>
    <col min="11523" max="11523" width="23.33203125" style="36" customWidth="1"/>
    <col min="11524" max="11524" width="8.83203125" style="36"/>
    <col min="11525" max="11525" width="11.5" style="36" customWidth="1"/>
    <col min="11526" max="11526" width="4.83203125" style="36" customWidth="1"/>
    <col min="11527" max="11527" width="2.5" style="36" customWidth="1"/>
    <col min="11528" max="11778" width="8.83203125" style="36"/>
    <col min="11779" max="11779" width="23.33203125" style="36" customWidth="1"/>
    <col min="11780" max="11780" width="8.83203125" style="36"/>
    <col min="11781" max="11781" width="11.5" style="36" customWidth="1"/>
    <col min="11782" max="11782" width="4.83203125" style="36" customWidth="1"/>
    <col min="11783" max="11783" width="2.5" style="36" customWidth="1"/>
    <col min="11784" max="12034" width="8.83203125" style="36"/>
    <col min="12035" max="12035" width="23.33203125" style="36" customWidth="1"/>
    <col min="12036" max="12036" width="8.83203125" style="36"/>
    <col min="12037" max="12037" width="11.5" style="36" customWidth="1"/>
    <col min="12038" max="12038" width="4.83203125" style="36" customWidth="1"/>
    <col min="12039" max="12039" width="2.5" style="36" customWidth="1"/>
    <col min="12040" max="12290" width="8.83203125" style="36"/>
    <col min="12291" max="12291" width="23.33203125" style="36" customWidth="1"/>
    <col min="12292" max="12292" width="8.83203125" style="36"/>
    <col min="12293" max="12293" width="11.5" style="36" customWidth="1"/>
    <col min="12294" max="12294" width="4.83203125" style="36" customWidth="1"/>
    <col min="12295" max="12295" width="2.5" style="36" customWidth="1"/>
    <col min="12296" max="12546" width="8.83203125" style="36"/>
    <col min="12547" max="12547" width="23.33203125" style="36" customWidth="1"/>
    <col min="12548" max="12548" width="8.83203125" style="36"/>
    <col min="12549" max="12549" width="11.5" style="36" customWidth="1"/>
    <col min="12550" max="12550" width="4.83203125" style="36" customWidth="1"/>
    <col min="12551" max="12551" width="2.5" style="36" customWidth="1"/>
    <col min="12552" max="12802" width="8.83203125" style="36"/>
    <col min="12803" max="12803" width="23.33203125" style="36" customWidth="1"/>
    <col min="12804" max="12804" width="8.83203125" style="36"/>
    <col min="12805" max="12805" width="11.5" style="36" customWidth="1"/>
    <col min="12806" max="12806" width="4.83203125" style="36" customWidth="1"/>
    <col min="12807" max="12807" width="2.5" style="36" customWidth="1"/>
    <col min="12808" max="13058" width="8.83203125" style="36"/>
    <col min="13059" max="13059" width="23.33203125" style="36" customWidth="1"/>
    <col min="13060" max="13060" width="8.83203125" style="36"/>
    <col min="13061" max="13061" width="11.5" style="36" customWidth="1"/>
    <col min="13062" max="13062" width="4.83203125" style="36" customWidth="1"/>
    <col min="13063" max="13063" width="2.5" style="36" customWidth="1"/>
    <col min="13064" max="13314" width="8.83203125" style="36"/>
    <col min="13315" max="13315" width="23.33203125" style="36" customWidth="1"/>
    <col min="13316" max="13316" width="8.83203125" style="36"/>
    <col min="13317" max="13317" width="11.5" style="36" customWidth="1"/>
    <col min="13318" max="13318" width="4.83203125" style="36" customWidth="1"/>
    <col min="13319" max="13319" width="2.5" style="36" customWidth="1"/>
    <col min="13320" max="13570" width="8.83203125" style="36"/>
    <col min="13571" max="13571" width="23.33203125" style="36" customWidth="1"/>
    <col min="13572" max="13572" width="8.83203125" style="36"/>
    <col min="13573" max="13573" width="11.5" style="36" customWidth="1"/>
    <col min="13574" max="13574" width="4.83203125" style="36" customWidth="1"/>
    <col min="13575" max="13575" width="2.5" style="36" customWidth="1"/>
    <col min="13576" max="13826" width="8.83203125" style="36"/>
    <col min="13827" max="13827" width="23.33203125" style="36" customWidth="1"/>
    <col min="13828" max="13828" width="8.83203125" style="36"/>
    <col min="13829" max="13829" width="11.5" style="36" customWidth="1"/>
    <col min="13830" max="13830" width="4.83203125" style="36" customWidth="1"/>
    <col min="13831" max="13831" width="2.5" style="36" customWidth="1"/>
    <col min="13832" max="14082" width="8.83203125" style="36"/>
    <col min="14083" max="14083" width="23.33203125" style="36" customWidth="1"/>
    <col min="14084" max="14084" width="8.83203125" style="36"/>
    <col min="14085" max="14085" width="11.5" style="36" customWidth="1"/>
    <col min="14086" max="14086" width="4.83203125" style="36" customWidth="1"/>
    <col min="14087" max="14087" width="2.5" style="36" customWidth="1"/>
    <col min="14088" max="14338" width="8.83203125" style="36"/>
    <col min="14339" max="14339" width="23.33203125" style="36" customWidth="1"/>
    <col min="14340" max="14340" width="8.83203125" style="36"/>
    <col min="14341" max="14341" width="11.5" style="36" customWidth="1"/>
    <col min="14342" max="14342" width="4.83203125" style="36" customWidth="1"/>
    <col min="14343" max="14343" width="2.5" style="36" customWidth="1"/>
    <col min="14344" max="14594" width="8.83203125" style="36"/>
    <col min="14595" max="14595" width="23.33203125" style="36" customWidth="1"/>
    <col min="14596" max="14596" width="8.83203125" style="36"/>
    <col min="14597" max="14597" width="11.5" style="36" customWidth="1"/>
    <col min="14598" max="14598" width="4.83203125" style="36" customWidth="1"/>
    <col min="14599" max="14599" width="2.5" style="36" customWidth="1"/>
    <col min="14600" max="14850" width="8.83203125" style="36"/>
    <col min="14851" max="14851" width="23.33203125" style="36" customWidth="1"/>
    <col min="14852" max="14852" width="8.83203125" style="36"/>
    <col min="14853" max="14853" width="11.5" style="36" customWidth="1"/>
    <col min="14854" max="14854" width="4.83203125" style="36" customWidth="1"/>
    <col min="14855" max="14855" width="2.5" style="36" customWidth="1"/>
    <col min="14856" max="15106" width="8.83203125" style="36"/>
    <col min="15107" max="15107" width="23.33203125" style="36" customWidth="1"/>
    <col min="15108" max="15108" width="8.83203125" style="36"/>
    <col min="15109" max="15109" width="11.5" style="36" customWidth="1"/>
    <col min="15110" max="15110" width="4.83203125" style="36" customWidth="1"/>
    <col min="15111" max="15111" width="2.5" style="36" customWidth="1"/>
    <col min="15112" max="15362" width="8.83203125" style="36"/>
    <col min="15363" max="15363" width="23.33203125" style="36" customWidth="1"/>
    <col min="15364" max="15364" width="8.83203125" style="36"/>
    <col min="15365" max="15365" width="11.5" style="36" customWidth="1"/>
    <col min="15366" max="15366" width="4.83203125" style="36" customWidth="1"/>
    <col min="15367" max="15367" width="2.5" style="36" customWidth="1"/>
    <col min="15368" max="15618" width="8.83203125" style="36"/>
    <col min="15619" max="15619" width="23.33203125" style="36" customWidth="1"/>
    <col min="15620" max="15620" width="8.83203125" style="36"/>
    <col min="15621" max="15621" width="11.5" style="36" customWidth="1"/>
    <col min="15622" max="15622" width="4.83203125" style="36" customWidth="1"/>
    <col min="15623" max="15623" width="2.5" style="36" customWidth="1"/>
    <col min="15624" max="15874" width="8.83203125" style="36"/>
    <col min="15875" max="15875" width="23.33203125" style="36" customWidth="1"/>
    <col min="15876" max="15876" width="8.83203125" style="36"/>
    <col min="15877" max="15877" width="11.5" style="36" customWidth="1"/>
    <col min="15878" max="15878" width="4.83203125" style="36" customWidth="1"/>
    <col min="15879" max="15879" width="2.5" style="36" customWidth="1"/>
    <col min="15880" max="16130" width="8.83203125" style="36"/>
    <col min="16131" max="16131" width="23.33203125" style="36" customWidth="1"/>
    <col min="16132" max="16132" width="8.83203125" style="36"/>
    <col min="16133" max="16133" width="11.5" style="36" customWidth="1"/>
    <col min="16134" max="16134" width="4.83203125" style="36" customWidth="1"/>
    <col min="16135" max="16135" width="2.5" style="36" customWidth="1"/>
    <col min="16136" max="16384" width="8.83203125" style="36"/>
  </cols>
  <sheetData>
    <row r="4" spans="3:22" ht="14" thickBot="1"/>
    <row r="5" spans="3:22" ht="15">
      <c r="C5" s="38" t="s">
        <v>174</v>
      </c>
      <c r="D5" s="185">
        <v>9.81</v>
      </c>
      <c r="E5" s="39" t="s">
        <v>175</v>
      </c>
    </row>
    <row r="6" spans="3:22">
      <c r="C6" s="40" t="s">
        <v>176</v>
      </c>
      <c r="D6" s="124">
        <f>'Aircraft Sizing'!B25</f>
        <v>6.6235707588779266E-2</v>
      </c>
      <c r="E6" s="41"/>
    </row>
    <row r="7" spans="3:22" ht="15">
      <c r="C7" s="40" t="s">
        <v>177</v>
      </c>
      <c r="D7" s="124">
        <f>'Aircraft Sizing'!B23</f>
        <v>1.4999999999999999E-2</v>
      </c>
      <c r="E7" s="41"/>
      <c r="F7" s="42"/>
      <c r="L7" s="43"/>
    </row>
    <row r="8" spans="3:22" ht="15">
      <c r="C8" s="40" t="s">
        <v>178</v>
      </c>
      <c r="D8" s="124">
        <v>1.2256</v>
      </c>
      <c r="E8" s="41" t="s">
        <v>179</v>
      </c>
      <c r="K8" s="44"/>
      <c r="L8" s="43"/>
    </row>
    <row r="9" spans="3:22">
      <c r="C9" s="40" t="s">
        <v>180</v>
      </c>
      <c r="D9" s="124">
        <f>'Aircraft Sizing'!B3</f>
        <v>10</v>
      </c>
      <c r="E9" s="41" t="s">
        <v>12</v>
      </c>
      <c r="K9" s="44"/>
      <c r="L9" s="43"/>
    </row>
    <row r="10" spans="3:22" ht="15">
      <c r="C10" s="40" t="s">
        <v>181</v>
      </c>
      <c r="D10" s="124">
        <f>D9/2</f>
        <v>5</v>
      </c>
      <c r="E10" s="41" t="s">
        <v>12</v>
      </c>
      <c r="K10" s="44"/>
      <c r="L10" s="43"/>
    </row>
    <row r="11" spans="3:22" ht="15">
      <c r="C11" s="45" t="s">
        <v>182</v>
      </c>
      <c r="D11" s="121">
        <v>0.65</v>
      </c>
      <c r="E11" s="41"/>
      <c r="K11" s="46"/>
      <c r="L11" s="47"/>
    </row>
    <row r="12" spans="3:22" ht="15">
      <c r="C12" s="40" t="s">
        <v>183</v>
      </c>
      <c r="D12" s="124">
        <f>1.1*D7</f>
        <v>1.6500000000000001E-2</v>
      </c>
      <c r="E12" s="41"/>
      <c r="K12" s="46"/>
      <c r="L12" s="48"/>
    </row>
    <row r="13" spans="3:22">
      <c r="C13" s="40" t="s">
        <v>184</v>
      </c>
      <c r="D13" s="121">
        <v>0.3</v>
      </c>
      <c r="E13" s="49"/>
    </row>
    <row r="14" spans="3:22" ht="15">
      <c r="C14" s="40" t="s">
        <v>185</v>
      </c>
      <c r="D14" s="121">
        <v>10</v>
      </c>
      <c r="E14" s="41" t="s">
        <v>5</v>
      </c>
    </row>
    <row r="15" spans="3:22" ht="15">
      <c r="C15" s="40" t="s">
        <v>186</v>
      </c>
      <c r="D15" s="148">
        <v>20</v>
      </c>
      <c r="E15" s="41" t="s">
        <v>5</v>
      </c>
      <c r="T15" s="217"/>
      <c r="U15" s="217"/>
      <c r="V15" s="217"/>
    </row>
    <row r="16" spans="3:22" ht="15">
      <c r="C16" s="50" t="s">
        <v>187</v>
      </c>
      <c r="D16" s="124">
        <v>1.2</v>
      </c>
      <c r="E16" s="49"/>
    </row>
    <row r="17" spans="3:7" ht="15">
      <c r="C17" s="50" t="s">
        <v>188</v>
      </c>
      <c r="D17" s="124">
        <v>1.3</v>
      </c>
      <c r="E17" s="49"/>
    </row>
    <row r="18" spans="3:7" ht="15">
      <c r="C18" s="50" t="s">
        <v>189</v>
      </c>
      <c r="D18" s="121">
        <v>1.75</v>
      </c>
      <c r="E18" s="51" t="s">
        <v>190</v>
      </c>
    </row>
    <row r="19" spans="3:7" ht="15">
      <c r="C19" s="50" t="s">
        <v>191</v>
      </c>
      <c r="D19" s="121">
        <v>60</v>
      </c>
      <c r="E19" s="51" t="s">
        <v>5</v>
      </c>
    </row>
    <row r="20" spans="3:7">
      <c r="C20" s="50" t="s">
        <v>192</v>
      </c>
      <c r="D20" s="121">
        <v>30</v>
      </c>
      <c r="E20" s="51" t="s">
        <v>5</v>
      </c>
    </row>
    <row r="21" spans="3:7" ht="15">
      <c r="C21" s="50" t="s">
        <v>193</v>
      </c>
      <c r="D21" s="121">
        <v>0.2</v>
      </c>
      <c r="E21" s="51" t="s">
        <v>194</v>
      </c>
      <c r="F21" s="52">
        <f>D21*60</f>
        <v>12</v>
      </c>
      <c r="G21" s="53" t="s">
        <v>195</v>
      </c>
    </row>
    <row r="22" spans="3:7" ht="14" thickBot="1">
      <c r="C22" s="54" t="s">
        <v>196</v>
      </c>
      <c r="D22" s="189">
        <v>0.2</v>
      </c>
      <c r="E22" s="55" t="s">
        <v>197</v>
      </c>
    </row>
    <row r="23" spans="3:7" ht="15">
      <c r="C23" s="56" t="s">
        <v>198</v>
      </c>
      <c r="D23" s="122">
        <v>1.5</v>
      </c>
      <c r="E23" s="57"/>
    </row>
    <row r="24" spans="3:7" ht="16" thickBot="1">
      <c r="C24" s="58" t="s">
        <v>199</v>
      </c>
      <c r="D24" s="123">
        <v>1.7</v>
      </c>
      <c r="E24" s="59"/>
    </row>
    <row r="25" spans="3:7" ht="15">
      <c r="C25" s="60" t="s">
        <v>200</v>
      </c>
      <c r="D25" s="186">
        <f>$D$7+$D$6*D23^2</f>
        <v>0.16403034207475337</v>
      </c>
      <c r="E25" s="61"/>
    </row>
    <row r="26" spans="3:7" ht="16" thickBot="1">
      <c r="C26" s="62" t="s">
        <v>201</v>
      </c>
      <c r="D26" s="187">
        <f>$D$7+$D$6*D24^2</f>
        <v>0.20642119493157207</v>
      </c>
      <c r="E26" s="63"/>
    </row>
    <row r="27" spans="3:7" ht="16" thickBot="1">
      <c r="C27" s="64" t="s">
        <v>202</v>
      </c>
      <c r="D27" s="188">
        <v>0.1</v>
      </c>
      <c r="E27" s="65"/>
    </row>
    <row r="30" spans="3:7">
      <c r="C30" s="46"/>
      <c r="D30" s="47"/>
      <c r="E30" s="66"/>
    </row>
    <row r="31" spans="3:7">
      <c r="C31" s="46"/>
      <c r="D31" s="47"/>
      <c r="E31" s="66"/>
    </row>
    <row r="36" spans="8:8">
      <c r="H36" s="36">
        <f>D10*1.2</f>
        <v>6</v>
      </c>
    </row>
  </sheetData>
  <mergeCells count="1">
    <mergeCell ref="T15:V15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731C-4B55-46C4-8DB7-1BA5BF0DA041}">
  <dimension ref="A2:BR120"/>
  <sheetViews>
    <sheetView topLeftCell="K1" zoomScale="92" zoomScaleNormal="92" workbookViewId="0">
      <selection activeCell="R66" sqref="R66"/>
    </sheetView>
  </sheetViews>
  <sheetFormatPr baseColWidth="10" defaultColWidth="9.1640625" defaultRowHeight="13"/>
  <cols>
    <col min="1" max="3" width="9.1640625" style="47"/>
    <col min="4" max="7" width="16.33203125" style="47" customWidth="1"/>
    <col min="8" max="8" width="22.5" style="47" customWidth="1"/>
    <col min="9" max="9" width="29.5" style="47" customWidth="1"/>
    <col min="10" max="10" width="33.5" style="47" customWidth="1"/>
    <col min="11" max="11" width="27.6640625" style="47" customWidth="1"/>
    <col min="12" max="12" width="38.6640625" style="47" customWidth="1"/>
    <col min="13" max="13" width="23.83203125" style="47" bestFit="1" customWidth="1"/>
    <col min="14" max="14" width="17.1640625" style="47" customWidth="1"/>
    <col min="15" max="15" width="13.1640625" style="47" bestFit="1" customWidth="1"/>
    <col min="16" max="16" width="9.1640625" style="47"/>
    <col min="17" max="17" width="6.6640625" style="47" bestFit="1" customWidth="1"/>
    <col min="18" max="18" width="19.1640625" style="47" bestFit="1" customWidth="1"/>
    <col min="19" max="259" width="9.1640625" style="47"/>
    <col min="260" max="263" width="16.33203125" style="47" customWidth="1"/>
    <col min="264" max="264" width="22.5" style="47" customWidth="1"/>
    <col min="265" max="265" width="29.5" style="47" customWidth="1"/>
    <col min="266" max="266" width="33.5" style="47" customWidth="1"/>
    <col min="267" max="267" width="27.6640625" style="47" customWidth="1"/>
    <col min="268" max="268" width="38.6640625" style="47" customWidth="1"/>
    <col min="269" max="269" width="10.83203125" style="47" customWidth="1"/>
    <col min="270" max="270" width="17.1640625" style="47" customWidth="1"/>
    <col min="271" max="515" width="9.1640625" style="47"/>
    <col min="516" max="519" width="16.33203125" style="47" customWidth="1"/>
    <col min="520" max="520" width="22.5" style="47" customWidth="1"/>
    <col min="521" max="521" width="29.5" style="47" customWidth="1"/>
    <col min="522" max="522" width="33.5" style="47" customWidth="1"/>
    <col min="523" max="523" width="27.6640625" style="47" customWidth="1"/>
    <col min="524" max="524" width="38.6640625" style="47" customWidth="1"/>
    <col min="525" max="525" width="10.83203125" style="47" customWidth="1"/>
    <col min="526" max="526" width="17.1640625" style="47" customWidth="1"/>
    <col min="527" max="771" width="9.1640625" style="47"/>
    <col min="772" max="775" width="16.33203125" style="47" customWidth="1"/>
    <col min="776" max="776" width="22.5" style="47" customWidth="1"/>
    <col min="777" max="777" width="29.5" style="47" customWidth="1"/>
    <col min="778" max="778" width="33.5" style="47" customWidth="1"/>
    <col min="779" max="779" width="27.6640625" style="47" customWidth="1"/>
    <col min="780" max="780" width="38.6640625" style="47" customWidth="1"/>
    <col min="781" max="781" width="10.83203125" style="47" customWidth="1"/>
    <col min="782" max="782" width="17.1640625" style="47" customWidth="1"/>
    <col min="783" max="1027" width="9.1640625" style="47"/>
    <col min="1028" max="1031" width="16.33203125" style="47" customWidth="1"/>
    <col min="1032" max="1032" width="22.5" style="47" customWidth="1"/>
    <col min="1033" max="1033" width="29.5" style="47" customWidth="1"/>
    <col min="1034" max="1034" width="33.5" style="47" customWidth="1"/>
    <col min="1035" max="1035" width="27.6640625" style="47" customWidth="1"/>
    <col min="1036" max="1036" width="38.6640625" style="47" customWidth="1"/>
    <col min="1037" max="1037" width="10.83203125" style="47" customWidth="1"/>
    <col min="1038" max="1038" width="17.1640625" style="47" customWidth="1"/>
    <col min="1039" max="1283" width="9.1640625" style="47"/>
    <col min="1284" max="1287" width="16.33203125" style="47" customWidth="1"/>
    <col min="1288" max="1288" width="22.5" style="47" customWidth="1"/>
    <col min="1289" max="1289" width="29.5" style="47" customWidth="1"/>
    <col min="1290" max="1290" width="33.5" style="47" customWidth="1"/>
    <col min="1291" max="1291" width="27.6640625" style="47" customWidth="1"/>
    <col min="1292" max="1292" width="38.6640625" style="47" customWidth="1"/>
    <col min="1293" max="1293" width="10.83203125" style="47" customWidth="1"/>
    <col min="1294" max="1294" width="17.1640625" style="47" customWidth="1"/>
    <col min="1295" max="1539" width="9.1640625" style="47"/>
    <col min="1540" max="1543" width="16.33203125" style="47" customWidth="1"/>
    <col min="1544" max="1544" width="22.5" style="47" customWidth="1"/>
    <col min="1545" max="1545" width="29.5" style="47" customWidth="1"/>
    <col min="1546" max="1546" width="33.5" style="47" customWidth="1"/>
    <col min="1547" max="1547" width="27.6640625" style="47" customWidth="1"/>
    <col min="1548" max="1548" width="38.6640625" style="47" customWidth="1"/>
    <col min="1549" max="1549" width="10.83203125" style="47" customWidth="1"/>
    <col min="1550" max="1550" width="17.1640625" style="47" customWidth="1"/>
    <col min="1551" max="1795" width="9.1640625" style="47"/>
    <col min="1796" max="1799" width="16.33203125" style="47" customWidth="1"/>
    <col min="1800" max="1800" width="22.5" style="47" customWidth="1"/>
    <col min="1801" max="1801" width="29.5" style="47" customWidth="1"/>
    <col min="1802" max="1802" width="33.5" style="47" customWidth="1"/>
    <col min="1803" max="1803" width="27.6640625" style="47" customWidth="1"/>
    <col min="1804" max="1804" width="38.6640625" style="47" customWidth="1"/>
    <col min="1805" max="1805" width="10.83203125" style="47" customWidth="1"/>
    <col min="1806" max="1806" width="17.1640625" style="47" customWidth="1"/>
    <col min="1807" max="2051" width="9.1640625" style="47"/>
    <col min="2052" max="2055" width="16.33203125" style="47" customWidth="1"/>
    <col min="2056" max="2056" width="22.5" style="47" customWidth="1"/>
    <col min="2057" max="2057" width="29.5" style="47" customWidth="1"/>
    <col min="2058" max="2058" width="33.5" style="47" customWidth="1"/>
    <col min="2059" max="2059" width="27.6640625" style="47" customWidth="1"/>
    <col min="2060" max="2060" width="38.6640625" style="47" customWidth="1"/>
    <col min="2061" max="2061" width="10.83203125" style="47" customWidth="1"/>
    <col min="2062" max="2062" width="17.1640625" style="47" customWidth="1"/>
    <col min="2063" max="2307" width="9.1640625" style="47"/>
    <col min="2308" max="2311" width="16.33203125" style="47" customWidth="1"/>
    <col min="2312" max="2312" width="22.5" style="47" customWidth="1"/>
    <col min="2313" max="2313" width="29.5" style="47" customWidth="1"/>
    <col min="2314" max="2314" width="33.5" style="47" customWidth="1"/>
    <col min="2315" max="2315" width="27.6640625" style="47" customWidth="1"/>
    <col min="2316" max="2316" width="38.6640625" style="47" customWidth="1"/>
    <col min="2317" max="2317" width="10.83203125" style="47" customWidth="1"/>
    <col min="2318" max="2318" width="17.1640625" style="47" customWidth="1"/>
    <col min="2319" max="2563" width="9.1640625" style="47"/>
    <col min="2564" max="2567" width="16.33203125" style="47" customWidth="1"/>
    <col min="2568" max="2568" width="22.5" style="47" customWidth="1"/>
    <col min="2569" max="2569" width="29.5" style="47" customWidth="1"/>
    <col min="2570" max="2570" width="33.5" style="47" customWidth="1"/>
    <col min="2571" max="2571" width="27.6640625" style="47" customWidth="1"/>
    <col min="2572" max="2572" width="38.6640625" style="47" customWidth="1"/>
    <col min="2573" max="2573" width="10.83203125" style="47" customWidth="1"/>
    <col min="2574" max="2574" width="17.1640625" style="47" customWidth="1"/>
    <col min="2575" max="2819" width="9.1640625" style="47"/>
    <col min="2820" max="2823" width="16.33203125" style="47" customWidth="1"/>
    <col min="2824" max="2824" width="22.5" style="47" customWidth="1"/>
    <col min="2825" max="2825" width="29.5" style="47" customWidth="1"/>
    <col min="2826" max="2826" width="33.5" style="47" customWidth="1"/>
    <col min="2827" max="2827" width="27.6640625" style="47" customWidth="1"/>
    <col min="2828" max="2828" width="38.6640625" style="47" customWidth="1"/>
    <col min="2829" max="2829" width="10.83203125" style="47" customWidth="1"/>
    <col min="2830" max="2830" width="17.1640625" style="47" customWidth="1"/>
    <col min="2831" max="3075" width="9.1640625" style="47"/>
    <col min="3076" max="3079" width="16.33203125" style="47" customWidth="1"/>
    <col min="3080" max="3080" width="22.5" style="47" customWidth="1"/>
    <col min="3081" max="3081" width="29.5" style="47" customWidth="1"/>
    <col min="3082" max="3082" width="33.5" style="47" customWidth="1"/>
    <col min="3083" max="3083" width="27.6640625" style="47" customWidth="1"/>
    <col min="3084" max="3084" width="38.6640625" style="47" customWidth="1"/>
    <col min="3085" max="3085" width="10.83203125" style="47" customWidth="1"/>
    <col min="3086" max="3086" width="17.1640625" style="47" customWidth="1"/>
    <col min="3087" max="3331" width="9.1640625" style="47"/>
    <col min="3332" max="3335" width="16.33203125" style="47" customWidth="1"/>
    <col min="3336" max="3336" width="22.5" style="47" customWidth="1"/>
    <col min="3337" max="3337" width="29.5" style="47" customWidth="1"/>
    <col min="3338" max="3338" width="33.5" style="47" customWidth="1"/>
    <col min="3339" max="3339" width="27.6640625" style="47" customWidth="1"/>
    <col min="3340" max="3340" width="38.6640625" style="47" customWidth="1"/>
    <col min="3341" max="3341" width="10.83203125" style="47" customWidth="1"/>
    <col min="3342" max="3342" width="17.1640625" style="47" customWidth="1"/>
    <col min="3343" max="3587" width="9.1640625" style="47"/>
    <col min="3588" max="3591" width="16.33203125" style="47" customWidth="1"/>
    <col min="3592" max="3592" width="22.5" style="47" customWidth="1"/>
    <col min="3593" max="3593" width="29.5" style="47" customWidth="1"/>
    <col min="3594" max="3594" width="33.5" style="47" customWidth="1"/>
    <col min="3595" max="3595" width="27.6640625" style="47" customWidth="1"/>
    <col min="3596" max="3596" width="38.6640625" style="47" customWidth="1"/>
    <col min="3597" max="3597" width="10.83203125" style="47" customWidth="1"/>
    <col min="3598" max="3598" width="17.1640625" style="47" customWidth="1"/>
    <col min="3599" max="3843" width="9.1640625" style="47"/>
    <col min="3844" max="3847" width="16.33203125" style="47" customWidth="1"/>
    <col min="3848" max="3848" width="22.5" style="47" customWidth="1"/>
    <col min="3849" max="3849" width="29.5" style="47" customWidth="1"/>
    <col min="3850" max="3850" width="33.5" style="47" customWidth="1"/>
    <col min="3851" max="3851" width="27.6640625" style="47" customWidth="1"/>
    <col min="3852" max="3852" width="38.6640625" style="47" customWidth="1"/>
    <col min="3853" max="3853" width="10.83203125" style="47" customWidth="1"/>
    <col min="3854" max="3854" width="17.1640625" style="47" customWidth="1"/>
    <col min="3855" max="4099" width="9.1640625" style="47"/>
    <col min="4100" max="4103" width="16.33203125" style="47" customWidth="1"/>
    <col min="4104" max="4104" width="22.5" style="47" customWidth="1"/>
    <col min="4105" max="4105" width="29.5" style="47" customWidth="1"/>
    <col min="4106" max="4106" width="33.5" style="47" customWidth="1"/>
    <col min="4107" max="4107" width="27.6640625" style="47" customWidth="1"/>
    <col min="4108" max="4108" width="38.6640625" style="47" customWidth="1"/>
    <col min="4109" max="4109" width="10.83203125" style="47" customWidth="1"/>
    <col min="4110" max="4110" width="17.1640625" style="47" customWidth="1"/>
    <col min="4111" max="4355" width="9.1640625" style="47"/>
    <col min="4356" max="4359" width="16.33203125" style="47" customWidth="1"/>
    <col min="4360" max="4360" width="22.5" style="47" customWidth="1"/>
    <col min="4361" max="4361" width="29.5" style="47" customWidth="1"/>
    <col min="4362" max="4362" width="33.5" style="47" customWidth="1"/>
    <col min="4363" max="4363" width="27.6640625" style="47" customWidth="1"/>
    <col min="4364" max="4364" width="38.6640625" style="47" customWidth="1"/>
    <col min="4365" max="4365" width="10.83203125" style="47" customWidth="1"/>
    <col min="4366" max="4366" width="17.1640625" style="47" customWidth="1"/>
    <col min="4367" max="4611" width="9.1640625" style="47"/>
    <col min="4612" max="4615" width="16.33203125" style="47" customWidth="1"/>
    <col min="4616" max="4616" width="22.5" style="47" customWidth="1"/>
    <col min="4617" max="4617" width="29.5" style="47" customWidth="1"/>
    <col min="4618" max="4618" width="33.5" style="47" customWidth="1"/>
    <col min="4619" max="4619" width="27.6640625" style="47" customWidth="1"/>
    <col min="4620" max="4620" width="38.6640625" style="47" customWidth="1"/>
    <col min="4621" max="4621" width="10.83203125" style="47" customWidth="1"/>
    <col min="4622" max="4622" width="17.1640625" style="47" customWidth="1"/>
    <col min="4623" max="4867" width="9.1640625" style="47"/>
    <col min="4868" max="4871" width="16.33203125" style="47" customWidth="1"/>
    <col min="4872" max="4872" width="22.5" style="47" customWidth="1"/>
    <col min="4873" max="4873" width="29.5" style="47" customWidth="1"/>
    <col min="4874" max="4874" width="33.5" style="47" customWidth="1"/>
    <col min="4875" max="4875" width="27.6640625" style="47" customWidth="1"/>
    <col min="4876" max="4876" width="38.6640625" style="47" customWidth="1"/>
    <col min="4877" max="4877" width="10.83203125" style="47" customWidth="1"/>
    <col min="4878" max="4878" width="17.1640625" style="47" customWidth="1"/>
    <col min="4879" max="5123" width="9.1640625" style="47"/>
    <col min="5124" max="5127" width="16.33203125" style="47" customWidth="1"/>
    <col min="5128" max="5128" width="22.5" style="47" customWidth="1"/>
    <col min="5129" max="5129" width="29.5" style="47" customWidth="1"/>
    <col min="5130" max="5130" width="33.5" style="47" customWidth="1"/>
    <col min="5131" max="5131" width="27.6640625" style="47" customWidth="1"/>
    <col min="5132" max="5132" width="38.6640625" style="47" customWidth="1"/>
    <col min="5133" max="5133" width="10.83203125" style="47" customWidth="1"/>
    <col min="5134" max="5134" width="17.1640625" style="47" customWidth="1"/>
    <col min="5135" max="5379" width="9.1640625" style="47"/>
    <col min="5380" max="5383" width="16.33203125" style="47" customWidth="1"/>
    <col min="5384" max="5384" width="22.5" style="47" customWidth="1"/>
    <col min="5385" max="5385" width="29.5" style="47" customWidth="1"/>
    <col min="5386" max="5386" width="33.5" style="47" customWidth="1"/>
    <col min="5387" max="5387" width="27.6640625" style="47" customWidth="1"/>
    <col min="5388" max="5388" width="38.6640625" style="47" customWidth="1"/>
    <col min="5389" max="5389" width="10.83203125" style="47" customWidth="1"/>
    <col min="5390" max="5390" width="17.1640625" style="47" customWidth="1"/>
    <col min="5391" max="5635" width="9.1640625" style="47"/>
    <col min="5636" max="5639" width="16.33203125" style="47" customWidth="1"/>
    <col min="5640" max="5640" width="22.5" style="47" customWidth="1"/>
    <col min="5641" max="5641" width="29.5" style="47" customWidth="1"/>
    <col min="5642" max="5642" width="33.5" style="47" customWidth="1"/>
    <col min="5643" max="5643" width="27.6640625" style="47" customWidth="1"/>
    <col min="5644" max="5644" width="38.6640625" style="47" customWidth="1"/>
    <col min="5645" max="5645" width="10.83203125" style="47" customWidth="1"/>
    <col min="5646" max="5646" width="17.1640625" style="47" customWidth="1"/>
    <col min="5647" max="5891" width="9.1640625" style="47"/>
    <col min="5892" max="5895" width="16.33203125" style="47" customWidth="1"/>
    <col min="5896" max="5896" width="22.5" style="47" customWidth="1"/>
    <col min="5897" max="5897" width="29.5" style="47" customWidth="1"/>
    <col min="5898" max="5898" width="33.5" style="47" customWidth="1"/>
    <col min="5899" max="5899" width="27.6640625" style="47" customWidth="1"/>
    <col min="5900" max="5900" width="38.6640625" style="47" customWidth="1"/>
    <col min="5901" max="5901" width="10.83203125" style="47" customWidth="1"/>
    <col min="5902" max="5902" width="17.1640625" style="47" customWidth="1"/>
    <col min="5903" max="6147" width="9.1640625" style="47"/>
    <col min="6148" max="6151" width="16.33203125" style="47" customWidth="1"/>
    <col min="6152" max="6152" width="22.5" style="47" customWidth="1"/>
    <col min="6153" max="6153" width="29.5" style="47" customWidth="1"/>
    <col min="6154" max="6154" width="33.5" style="47" customWidth="1"/>
    <col min="6155" max="6155" width="27.6640625" style="47" customWidth="1"/>
    <col min="6156" max="6156" width="38.6640625" style="47" customWidth="1"/>
    <col min="6157" max="6157" width="10.83203125" style="47" customWidth="1"/>
    <col min="6158" max="6158" width="17.1640625" style="47" customWidth="1"/>
    <col min="6159" max="6403" width="9.1640625" style="47"/>
    <col min="6404" max="6407" width="16.33203125" style="47" customWidth="1"/>
    <col min="6408" max="6408" width="22.5" style="47" customWidth="1"/>
    <col min="6409" max="6409" width="29.5" style="47" customWidth="1"/>
    <col min="6410" max="6410" width="33.5" style="47" customWidth="1"/>
    <col min="6411" max="6411" width="27.6640625" style="47" customWidth="1"/>
    <col min="6412" max="6412" width="38.6640625" style="47" customWidth="1"/>
    <col min="6413" max="6413" width="10.83203125" style="47" customWidth="1"/>
    <col min="6414" max="6414" width="17.1640625" style="47" customWidth="1"/>
    <col min="6415" max="6659" width="9.1640625" style="47"/>
    <col min="6660" max="6663" width="16.33203125" style="47" customWidth="1"/>
    <col min="6664" max="6664" width="22.5" style="47" customWidth="1"/>
    <col min="6665" max="6665" width="29.5" style="47" customWidth="1"/>
    <col min="6666" max="6666" width="33.5" style="47" customWidth="1"/>
    <col min="6667" max="6667" width="27.6640625" style="47" customWidth="1"/>
    <col min="6668" max="6668" width="38.6640625" style="47" customWidth="1"/>
    <col min="6669" max="6669" width="10.83203125" style="47" customWidth="1"/>
    <col min="6670" max="6670" width="17.1640625" style="47" customWidth="1"/>
    <col min="6671" max="6915" width="9.1640625" style="47"/>
    <col min="6916" max="6919" width="16.33203125" style="47" customWidth="1"/>
    <col min="6920" max="6920" width="22.5" style="47" customWidth="1"/>
    <col min="6921" max="6921" width="29.5" style="47" customWidth="1"/>
    <col min="6922" max="6922" width="33.5" style="47" customWidth="1"/>
    <col min="6923" max="6923" width="27.6640625" style="47" customWidth="1"/>
    <col min="6924" max="6924" width="38.6640625" style="47" customWidth="1"/>
    <col min="6925" max="6925" width="10.83203125" style="47" customWidth="1"/>
    <col min="6926" max="6926" width="17.1640625" style="47" customWidth="1"/>
    <col min="6927" max="7171" width="9.1640625" style="47"/>
    <col min="7172" max="7175" width="16.33203125" style="47" customWidth="1"/>
    <col min="7176" max="7176" width="22.5" style="47" customWidth="1"/>
    <col min="7177" max="7177" width="29.5" style="47" customWidth="1"/>
    <col min="7178" max="7178" width="33.5" style="47" customWidth="1"/>
    <col min="7179" max="7179" width="27.6640625" style="47" customWidth="1"/>
    <col min="7180" max="7180" width="38.6640625" style="47" customWidth="1"/>
    <col min="7181" max="7181" width="10.83203125" style="47" customWidth="1"/>
    <col min="7182" max="7182" width="17.1640625" style="47" customWidth="1"/>
    <col min="7183" max="7427" width="9.1640625" style="47"/>
    <col min="7428" max="7431" width="16.33203125" style="47" customWidth="1"/>
    <col min="7432" max="7432" width="22.5" style="47" customWidth="1"/>
    <col min="7433" max="7433" width="29.5" style="47" customWidth="1"/>
    <col min="7434" max="7434" width="33.5" style="47" customWidth="1"/>
    <col min="7435" max="7435" width="27.6640625" style="47" customWidth="1"/>
    <col min="7436" max="7436" width="38.6640625" style="47" customWidth="1"/>
    <col min="7437" max="7437" width="10.83203125" style="47" customWidth="1"/>
    <col min="7438" max="7438" width="17.1640625" style="47" customWidth="1"/>
    <col min="7439" max="7683" width="9.1640625" style="47"/>
    <col min="7684" max="7687" width="16.33203125" style="47" customWidth="1"/>
    <col min="7688" max="7688" width="22.5" style="47" customWidth="1"/>
    <col min="7689" max="7689" width="29.5" style="47" customWidth="1"/>
    <col min="7690" max="7690" width="33.5" style="47" customWidth="1"/>
    <col min="7691" max="7691" width="27.6640625" style="47" customWidth="1"/>
    <col min="7692" max="7692" width="38.6640625" style="47" customWidth="1"/>
    <col min="7693" max="7693" width="10.83203125" style="47" customWidth="1"/>
    <col min="7694" max="7694" width="17.1640625" style="47" customWidth="1"/>
    <col min="7695" max="7939" width="9.1640625" style="47"/>
    <col min="7940" max="7943" width="16.33203125" style="47" customWidth="1"/>
    <col min="7944" max="7944" width="22.5" style="47" customWidth="1"/>
    <col min="7945" max="7945" width="29.5" style="47" customWidth="1"/>
    <col min="7946" max="7946" width="33.5" style="47" customWidth="1"/>
    <col min="7947" max="7947" width="27.6640625" style="47" customWidth="1"/>
    <col min="7948" max="7948" width="38.6640625" style="47" customWidth="1"/>
    <col min="7949" max="7949" width="10.83203125" style="47" customWidth="1"/>
    <col min="7950" max="7950" width="17.1640625" style="47" customWidth="1"/>
    <col min="7951" max="8195" width="9.1640625" style="47"/>
    <col min="8196" max="8199" width="16.33203125" style="47" customWidth="1"/>
    <col min="8200" max="8200" width="22.5" style="47" customWidth="1"/>
    <col min="8201" max="8201" width="29.5" style="47" customWidth="1"/>
    <col min="8202" max="8202" width="33.5" style="47" customWidth="1"/>
    <col min="8203" max="8203" width="27.6640625" style="47" customWidth="1"/>
    <col min="8204" max="8204" width="38.6640625" style="47" customWidth="1"/>
    <col min="8205" max="8205" width="10.83203125" style="47" customWidth="1"/>
    <col min="8206" max="8206" width="17.1640625" style="47" customWidth="1"/>
    <col min="8207" max="8451" width="9.1640625" style="47"/>
    <col min="8452" max="8455" width="16.33203125" style="47" customWidth="1"/>
    <col min="8456" max="8456" width="22.5" style="47" customWidth="1"/>
    <col min="8457" max="8457" width="29.5" style="47" customWidth="1"/>
    <col min="8458" max="8458" width="33.5" style="47" customWidth="1"/>
    <col min="8459" max="8459" width="27.6640625" style="47" customWidth="1"/>
    <col min="8460" max="8460" width="38.6640625" style="47" customWidth="1"/>
    <col min="8461" max="8461" width="10.83203125" style="47" customWidth="1"/>
    <col min="8462" max="8462" width="17.1640625" style="47" customWidth="1"/>
    <col min="8463" max="8707" width="9.1640625" style="47"/>
    <col min="8708" max="8711" width="16.33203125" style="47" customWidth="1"/>
    <col min="8712" max="8712" width="22.5" style="47" customWidth="1"/>
    <col min="8713" max="8713" width="29.5" style="47" customWidth="1"/>
    <col min="8714" max="8714" width="33.5" style="47" customWidth="1"/>
    <col min="8715" max="8715" width="27.6640625" style="47" customWidth="1"/>
    <col min="8716" max="8716" width="38.6640625" style="47" customWidth="1"/>
    <col min="8717" max="8717" width="10.83203125" style="47" customWidth="1"/>
    <col min="8718" max="8718" width="17.1640625" style="47" customWidth="1"/>
    <col min="8719" max="8963" width="9.1640625" style="47"/>
    <col min="8964" max="8967" width="16.33203125" style="47" customWidth="1"/>
    <col min="8968" max="8968" width="22.5" style="47" customWidth="1"/>
    <col min="8969" max="8969" width="29.5" style="47" customWidth="1"/>
    <col min="8970" max="8970" width="33.5" style="47" customWidth="1"/>
    <col min="8971" max="8971" width="27.6640625" style="47" customWidth="1"/>
    <col min="8972" max="8972" width="38.6640625" style="47" customWidth="1"/>
    <col min="8973" max="8973" width="10.83203125" style="47" customWidth="1"/>
    <col min="8974" max="8974" width="17.1640625" style="47" customWidth="1"/>
    <col min="8975" max="9219" width="9.1640625" style="47"/>
    <col min="9220" max="9223" width="16.33203125" style="47" customWidth="1"/>
    <col min="9224" max="9224" width="22.5" style="47" customWidth="1"/>
    <col min="9225" max="9225" width="29.5" style="47" customWidth="1"/>
    <col min="9226" max="9226" width="33.5" style="47" customWidth="1"/>
    <col min="9227" max="9227" width="27.6640625" style="47" customWidth="1"/>
    <col min="9228" max="9228" width="38.6640625" style="47" customWidth="1"/>
    <col min="9229" max="9229" width="10.83203125" style="47" customWidth="1"/>
    <col min="9230" max="9230" width="17.1640625" style="47" customWidth="1"/>
    <col min="9231" max="9475" width="9.1640625" style="47"/>
    <col min="9476" max="9479" width="16.33203125" style="47" customWidth="1"/>
    <col min="9480" max="9480" width="22.5" style="47" customWidth="1"/>
    <col min="9481" max="9481" width="29.5" style="47" customWidth="1"/>
    <col min="9482" max="9482" width="33.5" style="47" customWidth="1"/>
    <col min="9483" max="9483" width="27.6640625" style="47" customWidth="1"/>
    <col min="9484" max="9484" width="38.6640625" style="47" customWidth="1"/>
    <col min="9485" max="9485" width="10.83203125" style="47" customWidth="1"/>
    <col min="9486" max="9486" width="17.1640625" style="47" customWidth="1"/>
    <col min="9487" max="9731" width="9.1640625" style="47"/>
    <col min="9732" max="9735" width="16.33203125" style="47" customWidth="1"/>
    <col min="9736" max="9736" width="22.5" style="47" customWidth="1"/>
    <col min="9737" max="9737" width="29.5" style="47" customWidth="1"/>
    <col min="9738" max="9738" width="33.5" style="47" customWidth="1"/>
    <col min="9739" max="9739" width="27.6640625" style="47" customWidth="1"/>
    <col min="9740" max="9740" width="38.6640625" style="47" customWidth="1"/>
    <col min="9741" max="9741" width="10.83203125" style="47" customWidth="1"/>
    <col min="9742" max="9742" width="17.1640625" style="47" customWidth="1"/>
    <col min="9743" max="9987" width="9.1640625" style="47"/>
    <col min="9988" max="9991" width="16.33203125" style="47" customWidth="1"/>
    <col min="9992" max="9992" width="22.5" style="47" customWidth="1"/>
    <col min="9993" max="9993" width="29.5" style="47" customWidth="1"/>
    <col min="9994" max="9994" width="33.5" style="47" customWidth="1"/>
    <col min="9995" max="9995" width="27.6640625" style="47" customWidth="1"/>
    <col min="9996" max="9996" width="38.6640625" style="47" customWidth="1"/>
    <col min="9997" max="9997" width="10.83203125" style="47" customWidth="1"/>
    <col min="9998" max="9998" width="17.1640625" style="47" customWidth="1"/>
    <col min="9999" max="10243" width="9.1640625" style="47"/>
    <col min="10244" max="10247" width="16.33203125" style="47" customWidth="1"/>
    <col min="10248" max="10248" width="22.5" style="47" customWidth="1"/>
    <col min="10249" max="10249" width="29.5" style="47" customWidth="1"/>
    <col min="10250" max="10250" width="33.5" style="47" customWidth="1"/>
    <col min="10251" max="10251" width="27.6640625" style="47" customWidth="1"/>
    <col min="10252" max="10252" width="38.6640625" style="47" customWidth="1"/>
    <col min="10253" max="10253" width="10.83203125" style="47" customWidth="1"/>
    <col min="10254" max="10254" width="17.1640625" style="47" customWidth="1"/>
    <col min="10255" max="10499" width="9.1640625" style="47"/>
    <col min="10500" max="10503" width="16.33203125" style="47" customWidth="1"/>
    <col min="10504" max="10504" width="22.5" style="47" customWidth="1"/>
    <col min="10505" max="10505" width="29.5" style="47" customWidth="1"/>
    <col min="10506" max="10506" width="33.5" style="47" customWidth="1"/>
    <col min="10507" max="10507" width="27.6640625" style="47" customWidth="1"/>
    <col min="10508" max="10508" width="38.6640625" style="47" customWidth="1"/>
    <col min="10509" max="10509" width="10.83203125" style="47" customWidth="1"/>
    <col min="10510" max="10510" width="17.1640625" style="47" customWidth="1"/>
    <col min="10511" max="10755" width="9.1640625" style="47"/>
    <col min="10756" max="10759" width="16.33203125" style="47" customWidth="1"/>
    <col min="10760" max="10760" width="22.5" style="47" customWidth="1"/>
    <col min="10761" max="10761" width="29.5" style="47" customWidth="1"/>
    <col min="10762" max="10762" width="33.5" style="47" customWidth="1"/>
    <col min="10763" max="10763" width="27.6640625" style="47" customWidth="1"/>
    <col min="10764" max="10764" width="38.6640625" style="47" customWidth="1"/>
    <col min="10765" max="10765" width="10.83203125" style="47" customWidth="1"/>
    <col min="10766" max="10766" width="17.1640625" style="47" customWidth="1"/>
    <col min="10767" max="11011" width="9.1640625" style="47"/>
    <col min="11012" max="11015" width="16.33203125" style="47" customWidth="1"/>
    <col min="11016" max="11016" width="22.5" style="47" customWidth="1"/>
    <col min="11017" max="11017" width="29.5" style="47" customWidth="1"/>
    <col min="11018" max="11018" width="33.5" style="47" customWidth="1"/>
    <col min="11019" max="11019" width="27.6640625" style="47" customWidth="1"/>
    <col min="11020" max="11020" width="38.6640625" style="47" customWidth="1"/>
    <col min="11021" max="11021" width="10.83203125" style="47" customWidth="1"/>
    <col min="11022" max="11022" width="17.1640625" style="47" customWidth="1"/>
    <col min="11023" max="11267" width="9.1640625" style="47"/>
    <col min="11268" max="11271" width="16.33203125" style="47" customWidth="1"/>
    <col min="11272" max="11272" width="22.5" style="47" customWidth="1"/>
    <col min="11273" max="11273" width="29.5" style="47" customWidth="1"/>
    <col min="11274" max="11274" width="33.5" style="47" customWidth="1"/>
    <col min="11275" max="11275" width="27.6640625" style="47" customWidth="1"/>
    <col min="11276" max="11276" width="38.6640625" style="47" customWidth="1"/>
    <col min="11277" max="11277" width="10.83203125" style="47" customWidth="1"/>
    <col min="11278" max="11278" width="17.1640625" style="47" customWidth="1"/>
    <col min="11279" max="11523" width="9.1640625" style="47"/>
    <col min="11524" max="11527" width="16.33203125" style="47" customWidth="1"/>
    <col min="11528" max="11528" width="22.5" style="47" customWidth="1"/>
    <col min="11529" max="11529" width="29.5" style="47" customWidth="1"/>
    <col min="11530" max="11530" width="33.5" style="47" customWidth="1"/>
    <col min="11531" max="11531" width="27.6640625" style="47" customWidth="1"/>
    <col min="11532" max="11532" width="38.6640625" style="47" customWidth="1"/>
    <col min="11533" max="11533" width="10.83203125" style="47" customWidth="1"/>
    <col min="11534" max="11534" width="17.1640625" style="47" customWidth="1"/>
    <col min="11535" max="11779" width="9.1640625" style="47"/>
    <col min="11780" max="11783" width="16.33203125" style="47" customWidth="1"/>
    <col min="11784" max="11784" width="22.5" style="47" customWidth="1"/>
    <col min="11785" max="11785" width="29.5" style="47" customWidth="1"/>
    <col min="11786" max="11786" width="33.5" style="47" customWidth="1"/>
    <col min="11787" max="11787" width="27.6640625" style="47" customWidth="1"/>
    <col min="11788" max="11788" width="38.6640625" style="47" customWidth="1"/>
    <col min="11789" max="11789" width="10.83203125" style="47" customWidth="1"/>
    <col min="11790" max="11790" width="17.1640625" style="47" customWidth="1"/>
    <col min="11791" max="12035" width="9.1640625" style="47"/>
    <col min="12036" max="12039" width="16.33203125" style="47" customWidth="1"/>
    <col min="12040" max="12040" width="22.5" style="47" customWidth="1"/>
    <col min="12041" max="12041" width="29.5" style="47" customWidth="1"/>
    <col min="12042" max="12042" width="33.5" style="47" customWidth="1"/>
    <col min="12043" max="12043" width="27.6640625" style="47" customWidth="1"/>
    <col min="12044" max="12044" width="38.6640625" style="47" customWidth="1"/>
    <col min="12045" max="12045" width="10.83203125" style="47" customWidth="1"/>
    <col min="12046" max="12046" width="17.1640625" style="47" customWidth="1"/>
    <col min="12047" max="12291" width="9.1640625" style="47"/>
    <col min="12292" max="12295" width="16.33203125" style="47" customWidth="1"/>
    <col min="12296" max="12296" width="22.5" style="47" customWidth="1"/>
    <col min="12297" max="12297" width="29.5" style="47" customWidth="1"/>
    <col min="12298" max="12298" width="33.5" style="47" customWidth="1"/>
    <col min="12299" max="12299" width="27.6640625" style="47" customWidth="1"/>
    <col min="12300" max="12300" width="38.6640625" style="47" customWidth="1"/>
    <col min="12301" max="12301" width="10.83203125" style="47" customWidth="1"/>
    <col min="12302" max="12302" width="17.1640625" style="47" customWidth="1"/>
    <col min="12303" max="12547" width="9.1640625" style="47"/>
    <col min="12548" max="12551" width="16.33203125" style="47" customWidth="1"/>
    <col min="12552" max="12552" width="22.5" style="47" customWidth="1"/>
    <col min="12553" max="12553" width="29.5" style="47" customWidth="1"/>
    <col min="12554" max="12554" width="33.5" style="47" customWidth="1"/>
    <col min="12555" max="12555" width="27.6640625" style="47" customWidth="1"/>
    <col min="12556" max="12556" width="38.6640625" style="47" customWidth="1"/>
    <col min="12557" max="12557" width="10.83203125" style="47" customWidth="1"/>
    <col min="12558" max="12558" width="17.1640625" style="47" customWidth="1"/>
    <col min="12559" max="12803" width="9.1640625" style="47"/>
    <col min="12804" max="12807" width="16.33203125" style="47" customWidth="1"/>
    <col min="12808" max="12808" width="22.5" style="47" customWidth="1"/>
    <col min="12809" max="12809" width="29.5" style="47" customWidth="1"/>
    <col min="12810" max="12810" width="33.5" style="47" customWidth="1"/>
    <col min="12811" max="12811" width="27.6640625" style="47" customWidth="1"/>
    <col min="12812" max="12812" width="38.6640625" style="47" customWidth="1"/>
    <col min="12813" max="12813" width="10.83203125" style="47" customWidth="1"/>
    <col min="12814" max="12814" width="17.1640625" style="47" customWidth="1"/>
    <col min="12815" max="13059" width="9.1640625" style="47"/>
    <col min="13060" max="13063" width="16.33203125" style="47" customWidth="1"/>
    <col min="13064" max="13064" width="22.5" style="47" customWidth="1"/>
    <col min="13065" max="13065" width="29.5" style="47" customWidth="1"/>
    <col min="13066" max="13066" width="33.5" style="47" customWidth="1"/>
    <col min="13067" max="13067" width="27.6640625" style="47" customWidth="1"/>
    <col min="13068" max="13068" width="38.6640625" style="47" customWidth="1"/>
    <col min="13069" max="13069" width="10.83203125" style="47" customWidth="1"/>
    <col min="13070" max="13070" width="17.1640625" style="47" customWidth="1"/>
    <col min="13071" max="13315" width="9.1640625" style="47"/>
    <col min="13316" max="13319" width="16.33203125" style="47" customWidth="1"/>
    <col min="13320" max="13320" width="22.5" style="47" customWidth="1"/>
    <col min="13321" max="13321" width="29.5" style="47" customWidth="1"/>
    <col min="13322" max="13322" width="33.5" style="47" customWidth="1"/>
    <col min="13323" max="13323" width="27.6640625" style="47" customWidth="1"/>
    <col min="13324" max="13324" width="38.6640625" style="47" customWidth="1"/>
    <col min="13325" max="13325" width="10.83203125" style="47" customWidth="1"/>
    <col min="13326" max="13326" width="17.1640625" style="47" customWidth="1"/>
    <col min="13327" max="13571" width="9.1640625" style="47"/>
    <col min="13572" max="13575" width="16.33203125" style="47" customWidth="1"/>
    <col min="13576" max="13576" width="22.5" style="47" customWidth="1"/>
    <col min="13577" max="13577" width="29.5" style="47" customWidth="1"/>
    <col min="13578" max="13578" width="33.5" style="47" customWidth="1"/>
    <col min="13579" max="13579" width="27.6640625" style="47" customWidth="1"/>
    <col min="13580" max="13580" width="38.6640625" style="47" customWidth="1"/>
    <col min="13581" max="13581" width="10.83203125" style="47" customWidth="1"/>
    <col min="13582" max="13582" width="17.1640625" style="47" customWidth="1"/>
    <col min="13583" max="13827" width="9.1640625" style="47"/>
    <col min="13828" max="13831" width="16.33203125" style="47" customWidth="1"/>
    <col min="13832" max="13832" width="22.5" style="47" customWidth="1"/>
    <col min="13833" max="13833" width="29.5" style="47" customWidth="1"/>
    <col min="13834" max="13834" width="33.5" style="47" customWidth="1"/>
    <col min="13835" max="13835" width="27.6640625" style="47" customWidth="1"/>
    <col min="13836" max="13836" width="38.6640625" style="47" customWidth="1"/>
    <col min="13837" max="13837" width="10.83203125" style="47" customWidth="1"/>
    <col min="13838" max="13838" width="17.1640625" style="47" customWidth="1"/>
    <col min="13839" max="14083" width="9.1640625" style="47"/>
    <col min="14084" max="14087" width="16.33203125" style="47" customWidth="1"/>
    <col min="14088" max="14088" width="22.5" style="47" customWidth="1"/>
    <col min="14089" max="14089" width="29.5" style="47" customWidth="1"/>
    <col min="14090" max="14090" width="33.5" style="47" customWidth="1"/>
    <col min="14091" max="14091" width="27.6640625" style="47" customWidth="1"/>
    <col min="14092" max="14092" width="38.6640625" style="47" customWidth="1"/>
    <col min="14093" max="14093" width="10.83203125" style="47" customWidth="1"/>
    <col min="14094" max="14094" width="17.1640625" style="47" customWidth="1"/>
    <col min="14095" max="14339" width="9.1640625" style="47"/>
    <col min="14340" max="14343" width="16.33203125" style="47" customWidth="1"/>
    <col min="14344" max="14344" width="22.5" style="47" customWidth="1"/>
    <col min="14345" max="14345" width="29.5" style="47" customWidth="1"/>
    <col min="14346" max="14346" width="33.5" style="47" customWidth="1"/>
    <col min="14347" max="14347" width="27.6640625" style="47" customWidth="1"/>
    <col min="14348" max="14348" width="38.6640625" style="47" customWidth="1"/>
    <col min="14349" max="14349" width="10.83203125" style="47" customWidth="1"/>
    <col min="14350" max="14350" width="17.1640625" style="47" customWidth="1"/>
    <col min="14351" max="14595" width="9.1640625" style="47"/>
    <col min="14596" max="14599" width="16.33203125" style="47" customWidth="1"/>
    <col min="14600" max="14600" width="22.5" style="47" customWidth="1"/>
    <col min="14601" max="14601" width="29.5" style="47" customWidth="1"/>
    <col min="14602" max="14602" width="33.5" style="47" customWidth="1"/>
    <col min="14603" max="14603" width="27.6640625" style="47" customWidth="1"/>
    <col min="14604" max="14604" width="38.6640625" style="47" customWidth="1"/>
    <col min="14605" max="14605" width="10.83203125" style="47" customWidth="1"/>
    <col min="14606" max="14606" width="17.1640625" style="47" customWidth="1"/>
    <col min="14607" max="14851" width="9.1640625" style="47"/>
    <col min="14852" max="14855" width="16.33203125" style="47" customWidth="1"/>
    <col min="14856" max="14856" width="22.5" style="47" customWidth="1"/>
    <col min="14857" max="14857" width="29.5" style="47" customWidth="1"/>
    <col min="14858" max="14858" width="33.5" style="47" customWidth="1"/>
    <col min="14859" max="14859" width="27.6640625" style="47" customWidth="1"/>
    <col min="14860" max="14860" width="38.6640625" style="47" customWidth="1"/>
    <col min="14861" max="14861" width="10.83203125" style="47" customWidth="1"/>
    <col min="14862" max="14862" width="17.1640625" style="47" customWidth="1"/>
    <col min="14863" max="15107" width="9.1640625" style="47"/>
    <col min="15108" max="15111" width="16.33203125" style="47" customWidth="1"/>
    <col min="15112" max="15112" width="22.5" style="47" customWidth="1"/>
    <col min="15113" max="15113" width="29.5" style="47" customWidth="1"/>
    <col min="15114" max="15114" width="33.5" style="47" customWidth="1"/>
    <col min="15115" max="15115" width="27.6640625" style="47" customWidth="1"/>
    <col min="15116" max="15116" width="38.6640625" style="47" customWidth="1"/>
    <col min="15117" max="15117" width="10.83203125" style="47" customWidth="1"/>
    <col min="15118" max="15118" width="17.1640625" style="47" customWidth="1"/>
    <col min="15119" max="15363" width="9.1640625" style="47"/>
    <col min="15364" max="15367" width="16.33203125" style="47" customWidth="1"/>
    <col min="15368" max="15368" width="22.5" style="47" customWidth="1"/>
    <col min="15369" max="15369" width="29.5" style="47" customWidth="1"/>
    <col min="15370" max="15370" width="33.5" style="47" customWidth="1"/>
    <col min="15371" max="15371" width="27.6640625" style="47" customWidth="1"/>
    <col min="15372" max="15372" width="38.6640625" style="47" customWidth="1"/>
    <col min="15373" max="15373" width="10.83203125" style="47" customWidth="1"/>
    <col min="15374" max="15374" width="17.1640625" style="47" customWidth="1"/>
    <col min="15375" max="15619" width="9.1640625" style="47"/>
    <col min="15620" max="15623" width="16.33203125" style="47" customWidth="1"/>
    <col min="15624" max="15624" width="22.5" style="47" customWidth="1"/>
    <col min="15625" max="15625" width="29.5" style="47" customWidth="1"/>
    <col min="15626" max="15626" width="33.5" style="47" customWidth="1"/>
    <col min="15627" max="15627" width="27.6640625" style="47" customWidth="1"/>
    <col min="15628" max="15628" width="38.6640625" style="47" customWidth="1"/>
    <col min="15629" max="15629" width="10.83203125" style="47" customWidth="1"/>
    <col min="15630" max="15630" width="17.1640625" style="47" customWidth="1"/>
    <col min="15631" max="15875" width="9.1640625" style="47"/>
    <col min="15876" max="15879" width="16.33203125" style="47" customWidth="1"/>
    <col min="15880" max="15880" width="22.5" style="47" customWidth="1"/>
    <col min="15881" max="15881" width="29.5" style="47" customWidth="1"/>
    <col min="15882" max="15882" width="33.5" style="47" customWidth="1"/>
    <col min="15883" max="15883" width="27.6640625" style="47" customWidth="1"/>
    <col min="15884" max="15884" width="38.6640625" style="47" customWidth="1"/>
    <col min="15885" max="15885" width="10.83203125" style="47" customWidth="1"/>
    <col min="15886" max="15886" width="17.1640625" style="47" customWidth="1"/>
    <col min="15887" max="16131" width="9.1640625" style="47"/>
    <col min="16132" max="16135" width="16.33203125" style="47" customWidth="1"/>
    <col min="16136" max="16136" width="22.5" style="47" customWidth="1"/>
    <col min="16137" max="16137" width="29.5" style="47" customWidth="1"/>
    <col min="16138" max="16138" width="33.5" style="47" customWidth="1"/>
    <col min="16139" max="16139" width="27.6640625" style="47" customWidth="1"/>
    <col min="16140" max="16140" width="38.6640625" style="47" customWidth="1"/>
    <col min="16141" max="16141" width="10.83203125" style="47" customWidth="1"/>
    <col min="16142" max="16142" width="17.1640625" style="47" customWidth="1"/>
    <col min="16143" max="16384" width="9.1640625" style="47"/>
  </cols>
  <sheetData>
    <row r="2" spans="2:11">
      <c r="B2" s="46"/>
      <c r="C2" s="46"/>
    </row>
    <row r="3" spans="2:11">
      <c r="B3" s="46"/>
      <c r="C3" s="46"/>
    </row>
    <row r="4" spans="2:11">
      <c r="B4" s="46"/>
      <c r="C4" s="46"/>
    </row>
    <row r="5" spans="2:11" ht="14" thickBot="1">
      <c r="B5" s="46"/>
      <c r="C5" s="46"/>
    </row>
    <row r="6" spans="2:11" ht="17.25" customHeight="1" thickBot="1">
      <c r="C6" s="46"/>
      <c r="D6" s="218" t="s">
        <v>203</v>
      </c>
      <c r="E6" s="219"/>
      <c r="F6" s="220"/>
    </row>
    <row r="7" spans="2:11" ht="17.25" customHeight="1" thickBot="1">
      <c r="B7" s="46"/>
      <c r="C7" s="46"/>
      <c r="D7" s="67" t="s">
        <v>204</v>
      </c>
      <c r="E7" s="47">
        <f>'UAV_Data '!D10</f>
        <v>5</v>
      </c>
      <c r="F7" s="68" t="s">
        <v>12</v>
      </c>
    </row>
    <row r="8" spans="2:11" ht="17.25" customHeight="1">
      <c r="B8" s="46"/>
      <c r="C8" s="46"/>
      <c r="D8" s="69" t="s">
        <v>205</v>
      </c>
      <c r="E8" s="125">
        <f>0.5*'UAV_Data '!D8*E7^2*'UAV_Data '!D23</f>
        <v>22.98</v>
      </c>
      <c r="F8" s="70" t="s">
        <v>206</v>
      </c>
    </row>
    <row r="9" spans="2:11" ht="17.25" customHeight="1" thickBot="1">
      <c r="B9" s="46"/>
      <c r="C9" s="46"/>
      <c r="D9" s="71" t="s">
        <v>207</v>
      </c>
      <c r="E9" s="72">
        <f>0.5*'UAV_Data '!D8*E7^2*'UAV_Data '!D24</f>
        <v>26.044</v>
      </c>
      <c r="F9" s="73" t="s">
        <v>206</v>
      </c>
    </row>
    <row r="10" spans="2:11">
      <c r="B10" s="46"/>
      <c r="C10" s="46"/>
    </row>
    <row r="11" spans="2:11" ht="14" thickBot="1">
      <c r="B11" s="46"/>
      <c r="C11" s="46"/>
    </row>
    <row r="12" spans="2:11" ht="14" thickBot="1">
      <c r="B12" s="46"/>
      <c r="C12" s="46"/>
      <c r="K12" s="74" t="s">
        <v>208</v>
      </c>
    </row>
    <row r="13" spans="2:11" ht="15">
      <c r="B13" s="46"/>
      <c r="C13" s="46"/>
      <c r="J13" s="74" t="s">
        <v>209</v>
      </c>
      <c r="K13" s="75">
        <f>'UAV_Data '!D23-0.2</f>
        <v>1.3</v>
      </c>
    </row>
    <row r="14" spans="2:11">
      <c r="B14" s="46"/>
      <c r="C14" s="46"/>
      <c r="J14" s="76">
        <f>-'UAV_Data '!D$19/'UAV_Data '!F$21*LN(1-'UAV_Data '!D20/'UAV_Data '!D19)</f>
        <v>3.4657359027997265</v>
      </c>
      <c r="K14" s="75" t="s">
        <v>210</v>
      </c>
    </row>
    <row r="15" spans="2:11" ht="14" thickBot="1">
      <c r="B15" s="46"/>
      <c r="C15" s="46"/>
      <c r="J15" s="77" t="s">
        <v>12</v>
      </c>
      <c r="K15" s="77">
        <f>'UAV_Data '!D7+'UAV_Data '!D6*Constraint_Diagram!K13^2</f>
        <v>0.12693834582503699</v>
      </c>
    </row>
    <row r="16" spans="2:11">
      <c r="B16" s="46"/>
      <c r="C16" s="46"/>
    </row>
    <row r="17" spans="2:14">
      <c r="B17" s="46"/>
      <c r="C17" s="46"/>
    </row>
    <row r="18" spans="2:14">
      <c r="B18" s="46"/>
      <c r="C18" s="46"/>
    </row>
    <row r="19" spans="2:14">
      <c r="B19" s="46"/>
      <c r="C19" s="46"/>
    </row>
    <row r="20" spans="2:14">
      <c r="C20" s="46"/>
    </row>
    <row r="23" spans="2:14" s="78" customFormat="1">
      <c r="C23" s="78" t="s">
        <v>211</v>
      </c>
      <c r="G23" s="78" t="s">
        <v>212</v>
      </c>
      <c r="H23" s="78" t="s">
        <v>213</v>
      </c>
      <c r="I23" s="79" t="s">
        <v>214</v>
      </c>
      <c r="J23" s="78" t="s">
        <v>215</v>
      </c>
      <c r="K23" s="78" t="s">
        <v>216</v>
      </c>
      <c r="L23" s="78" t="s">
        <v>217</v>
      </c>
    </row>
    <row r="24" spans="2:14">
      <c r="C24" s="47">
        <v>0.5</v>
      </c>
      <c r="D24" s="80">
        <f>('UAV_Data '!D$11*SQRT(0.5*'UAV_Data '!D$8)/('UAV_Data '!D$16^3))*(('UAV_Data '!D$24^1.5)/'UAV_Data '!D$26)*SQRT(1/C24)</f>
        <v>4.4716014565429401</v>
      </c>
      <c r="E24" s="47">
        <f>EXP(1.5*'UAV_Data '!D$8*'UAV_Data '!D$5*'UAV_Data '!D$26*'UAV_Data '!D$14/C24)</f>
        <v>2.1644797287617175E+32</v>
      </c>
      <c r="F24" s="81">
        <f>(E24-1)/E24</f>
        <v>1</v>
      </c>
      <c r="G24" s="80">
        <f>D24*F24</f>
        <v>4.4716014565429401</v>
      </c>
      <c r="H24" s="81">
        <f>2*'UAV_Data '!D$11*C24/(1.1*'UAV_Data '!D$8*'UAV_Data '!D$9^3*'UAV_Data '!D$7)</f>
        <v>3.2142574570773005E-2</v>
      </c>
      <c r="I24" s="82">
        <f>'UAV_Data '!D$11/((0.5*'UAV_Data '!D$8*'UAV_Data '!D$9^3*'UAV_Data '!D$7)/C24 + ('UAV_Data '!D$6*'UAV_Data '!D$18^2)/(0.5*'UAV_Data '!D$8*'UAV_Data '!D$9)*C24)</f>
        <v>3.5325029470331171E-2</v>
      </c>
      <c r="J24" s="82">
        <f>'UAV_Data '!D$11/($J$14+SQRT(C24)*4*('UAV_Data '!D$6^0.75)*('UAV_Data '!D$7^0.25)/(SQRT(0.5*'UAV_Data '!D$8)*3^0.75))</f>
        <v>0.18371127697353226</v>
      </c>
      <c r="K24" s="48">
        <f>'UAV_Data '!D$11*SQRT(0.5*'UAV_Data '!D$8*K$13)/(('UAV_Data '!D$22+K$15/K$13)*SQRT(C24))</f>
        <v>2.7565190015045875</v>
      </c>
      <c r="L24" s="81">
        <f>'UAV_Data '!D$5*'UAV_Data '!D$8*('UAV_Data '!D$6*'UAV_Data '!D$27^2-'UAV_Data '!D$13*'UAV_Data '!D$27+'UAV_Data '!D$7)*'UAV_Data '!D$15/LN('UAV_Data '!D$17^2*('UAV_Data '!D$6*'UAV_Data '!D$27^2-'UAV_Data '!D$13*'UAV_Data '!D$27+'UAV_Data '!D$7)/('UAV_Data '!D$13*'UAV_Data '!D$24)+1)</f>
        <v>70.827854039662384</v>
      </c>
    </row>
    <row r="25" spans="2:14">
      <c r="C25" s="47">
        <v>1</v>
      </c>
      <c r="D25" s="80">
        <f>('UAV_Data '!D$11*SQRT(0.5*'UAV_Data '!D$8)/('UAV_Data '!D$16^3))*(('UAV_Data '!D$24^1.5)/'UAV_Data '!D$26)*SQRT(1/C25)</f>
        <v>3.1618997126851558</v>
      </c>
      <c r="E25" s="47">
        <f>EXP(1.5*'UAV_Data '!D$8*'UAV_Data '!D$5*'UAV_Data '!D$26*'UAV_Data '!D$14/C25)</f>
        <v>1.471217090969826E+16</v>
      </c>
      <c r="F25" s="81">
        <f t="shared" ref="F25:F54" si="0">(E25-1)/E25</f>
        <v>1</v>
      </c>
      <c r="G25" s="80">
        <f>D25*F25</f>
        <v>3.1618997126851558</v>
      </c>
      <c r="H25" s="81">
        <f>2*'UAV_Data '!D$11*C25/(1.1*'UAV_Data '!D$8*'UAV_Data '!D$9^3*'UAV_Data '!D$7)</f>
        <v>6.4285149141546011E-2</v>
      </c>
      <c r="I25" s="82">
        <f>'UAV_Data '!D$11/((0.5*'UAV_Data '!D$8*'UAV_Data '!D$9^3*'UAV_Data '!D$7)/C25 + ('UAV_Data '!D$6*'UAV_Data '!D$18^2)/(0.5*'UAV_Data '!D$8*'UAV_Data '!D$9)*C25)</f>
        <v>7.0459928281879275E-2</v>
      </c>
      <c r="J25" s="82">
        <f>'UAV_Data '!D$11/($J$14+SQRT(C25)*4*('UAV_Data '!D$6^0.75)*('UAV_Data '!D$7^0.25)/(SQRT(0.5*'UAV_Data '!D$8)*3^0.75))</f>
        <v>0.18216672527525332</v>
      </c>
      <c r="K25" s="48">
        <f>'UAV_Data '!D$11*SQRT(0.5*'UAV_Data '!D$8*K$13)/(('UAV_Data '!D$22+K$15/K$13)*SQRT(C25))</f>
        <v>1.9491532784334651</v>
      </c>
      <c r="L25" s="80"/>
    </row>
    <row r="26" spans="2:14">
      <c r="C26" s="47">
        <f>C25+1</f>
        <v>2</v>
      </c>
      <c r="D26" s="80">
        <f>('UAV_Data '!D$11*SQRT(0.5*'UAV_Data '!D$8)/('UAV_Data '!D$16^3))*(('UAV_Data '!D$24^1.5)/'UAV_Data '!D$26)*SQRT(1/C26)</f>
        <v>2.23580072827147</v>
      </c>
      <c r="E26" s="47">
        <f>EXP(1.5*'UAV_Data '!D$8*'UAV_Data '!D$5*'UAV_Data '!D$26*'UAV_Data '!D$14/C26)</f>
        <v>121293738.13061522</v>
      </c>
      <c r="F26" s="81">
        <f t="shared" si="0"/>
        <v>0.99999999175555132</v>
      </c>
      <c r="G26" s="80">
        <f>D26*F26</f>
        <v>2.2358007098385255</v>
      </c>
      <c r="H26" s="81">
        <f>2*'UAV_Data '!D$11*C26/(1.1*'UAV_Data '!D$8*'UAV_Data '!D$9^3*'UAV_Data '!D$7)</f>
        <v>0.12857029828309202</v>
      </c>
      <c r="I26" s="82">
        <f>'UAV_Data '!D$11/((0.5*'UAV_Data '!D$8*'UAV_Data '!D$9^3*'UAV_Data '!D$7)/C26 + ('UAV_Data '!D$6*'UAV_Data '!D$18^2)/(0.5*'UAV_Data '!D$8*'UAV_Data '!D$9)*C26)</f>
        <v>0.13941906020709283</v>
      </c>
      <c r="J26" s="82">
        <f>'UAV_Data '!D$11/($J$14+SQRT(C26)*4*('UAV_Data '!D$6^0.75)*('UAV_Data '!D$7^0.25)/(SQRT(0.5*'UAV_Data '!D$8)*3^0.75))</f>
        <v>0.1800262146838445</v>
      </c>
      <c r="K26" s="48">
        <f>'UAV_Data '!D$11*SQRT(0.5*'UAV_Data '!D$8*K$13)/(('UAV_Data '!D$22+K$15/K$13)*SQRT(C26))</f>
        <v>1.3782595007522938</v>
      </c>
      <c r="L26" s="80"/>
    </row>
    <row r="27" spans="2:14">
      <c r="C27" s="47">
        <f t="shared" ref="C27:C74" si="1">C26+1</f>
        <v>3</v>
      </c>
      <c r="D27" s="80">
        <f>('UAV_Data '!D$11*SQRT(0.5*'UAV_Data '!D$8)/('UAV_Data '!D$16^3))*(('UAV_Data '!D$24^1.5)/'UAV_Data '!D$26)*SQRT(1/C27)</f>
        <v>1.825523650269375</v>
      </c>
      <c r="E27" s="47">
        <f>EXP(1.5*'UAV_Data '!D$8*'UAV_Data '!D$5*'UAV_Data '!D$26*'UAV_Data '!D$14/C27)</f>
        <v>245033.56979795016</v>
      </c>
      <c r="F27" s="81">
        <f t="shared" si="0"/>
        <v>0.99999591892653394</v>
      </c>
      <c r="G27" s="80">
        <f>D27*F27</f>
        <v>1.8255162001732443</v>
      </c>
      <c r="H27" s="81">
        <f>2*'UAV_Data '!D$11*C27/(1.1*'UAV_Data '!D$8*'UAV_Data '!D$9^3*'UAV_Data '!D$7)</f>
        <v>0.19285544742463803</v>
      </c>
      <c r="I27" s="82">
        <f>'UAV_Data '!D$11/((0.5*'UAV_Data '!D$8*'UAV_Data '!D$9^3*'UAV_Data '!D$7)/C27 + ('UAV_Data '!D$6*'UAV_Data '!D$18^2)/(0.5*'UAV_Data '!D$8*'UAV_Data '!D$9)*C27)</f>
        <v>0.20548129756021705</v>
      </c>
      <c r="J27" s="82">
        <f>'UAV_Data '!D$11/($J$14+SQRT(C27)*4*('UAV_Data '!D$6^0.75)*('UAV_Data '!D$7^0.25)/(SQRT(0.5*'UAV_Data '!D$8)*3^0.75))</f>
        <v>0.17841754689104966</v>
      </c>
      <c r="K27" s="48">
        <f>'UAV_Data '!D$11*SQRT(0.5*'UAV_Data '!D$8*K$13)/(('UAV_Data '!D$22+K$15/K$13)*SQRT(C27))</f>
        <v>1.1253441699954028</v>
      </c>
      <c r="L27" s="80"/>
    </row>
    <row r="28" spans="2:14">
      <c r="C28" s="47">
        <f t="shared" si="1"/>
        <v>4</v>
      </c>
      <c r="D28" s="80">
        <f>('UAV_Data '!D$11*SQRT(0.5*'UAV_Data '!D$8)/('UAV_Data '!D$16^3))*(('UAV_Data '!D$24^1.5)/'UAV_Data '!D$26)*SQRT(1/C28)</f>
        <v>1.5809498563425779</v>
      </c>
      <c r="E28" s="47">
        <f>EXP(1.5*'UAV_Data '!D$8*'UAV_Data '!D$5*'UAV_Data '!D$26*'UAV_Data '!D$14/C28)</f>
        <v>11013.34363990406</v>
      </c>
      <c r="F28" s="81">
        <f t="shared" si="0"/>
        <v>0.99990920105349512</v>
      </c>
      <c r="G28" s="80">
        <f t="shared" ref="G28:G54" si="2">D28*F28</f>
        <v>1.5808063077611449</v>
      </c>
      <c r="H28" s="81">
        <f>2*'UAV_Data '!D$11*C28/(1.1*'UAV_Data '!D$8*'UAV_Data '!D$9^3*'UAV_Data '!D$7)</f>
        <v>0.25714059656618404</v>
      </c>
      <c r="I28" s="82">
        <f>'UAV_Data '!D$11/((0.5*'UAV_Data '!D$8*'UAV_Data '!D$9^3*'UAV_Data '!D$7)/C28 + ('UAV_Data '!D$6*'UAV_Data '!D$18^2)/(0.5*'UAV_Data '!D$8*'UAV_Data '!D$9)*C28)</f>
        <v>0.26744496575177651</v>
      </c>
      <c r="J28" s="82">
        <f>'UAV_Data '!D$11/($J$14+SQRT(C28)*4*('UAV_Data '!D$6^0.75)*('UAV_Data '!D$7^0.25)/(SQRT(0.5*'UAV_Data '!D$8)*3^0.75))</f>
        <v>0.17708354486653416</v>
      </c>
      <c r="K28" s="48">
        <f>'UAV_Data '!D$11*SQRT(0.5*'UAV_Data '!D$8*K$13)/(('UAV_Data '!D$22+K$15/K$13)*SQRT(C28))</f>
        <v>0.97457663921673254</v>
      </c>
      <c r="L28" s="80"/>
    </row>
    <row r="29" spans="2:14">
      <c r="C29" s="47">
        <f t="shared" si="1"/>
        <v>5</v>
      </c>
      <c r="D29" s="80">
        <f>('UAV_Data '!D$11*SQRT(0.5*'UAV_Data '!D$8)/('UAV_Data '!D$16^3))*(('UAV_Data '!D$24^1.5)/'UAV_Data '!D$26)*SQRT(1/C29)</f>
        <v>1.4140445391202126</v>
      </c>
      <c r="E29" s="47">
        <f>EXP(1.5*'UAV_Data '!D$8*'UAV_Data '!D$5*'UAV_Data '!D$26*'UAV_Data '!D$14/C29)</f>
        <v>1712.1245407729018</v>
      </c>
      <c r="F29" s="81">
        <f t="shared" si="0"/>
        <v>0.9994159303390695</v>
      </c>
      <c r="G29" s="80">
        <f t="shared" si="2"/>
        <v>1.413218638605708</v>
      </c>
      <c r="H29" s="81">
        <f>2*'UAV_Data '!D$11*C29/(1.1*'UAV_Data '!D$8*'UAV_Data '!D$9^3*'UAV_Data '!D$7)</f>
        <v>0.32142574570773003</v>
      </c>
      <c r="I29" s="82">
        <f>'UAV_Data '!D$11/((0.5*'UAV_Data '!D$8*'UAV_Data '!D$9^3*'UAV_Data '!D$7)/C29 + ('UAV_Data '!D$6*'UAV_Data '!D$18^2)/(0.5*'UAV_Data '!D$8*'UAV_Data '!D$9)*C29)</f>
        <v>0.32436615549072539</v>
      </c>
      <c r="J29" s="82">
        <f>'UAV_Data '!D$11/($J$14+SQRT(C29)*4*('UAV_Data '!D$6^0.75)*('UAV_Data '!D$7^0.25)/(SQRT(0.5*'UAV_Data '!D$8)*3^0.75))</f>
        <v>0.1759246865614105</v>
      </c>
      <c r="K29" s="48">
        <f>'UAV_Data '!D$11*SQRT(0.5*'UAV_Data '!D$8*K$13)/(('UAV_Data '!D$22+K$15/K$13)*SQRT(C29))</f>
        <v>0.87168784582876047</v>
      </c>
    </row>
    <row r="30" spans="2:14">
      <c r="C30" s="47">
        <f t="shared" si="1"/>
        <v>6</v>
      </c>
      <c r="D30" s="80">
        <f>('UAV_Data '!D$11*SQRT(0.5*'UAV_Data '!D$8)/('UAV_Data '!D$16^3))*(('UAV_Data '!D$24^1.5)/'UAV_Data '!D$26)*SQRT(1/C30)</f>
        <v>1.2908401523218944</v>
      </c>
      <c r="E30" s="47">
        <f>EXP(1.5*'UAV_Data '!D$8*'UAV_Data '!D$5*'UAV_Data '!D$26*'UAV_Data '!D$14/C30)</f>
        <v>495.00865628587763</v>
      </c>
      <c r="F30" s="81">
        <f t="shared" si="0"/>
        <v>0.9979798333073544</v>
      </c>
      <c r="G30" s="80">
        <f t="shared" si="2"/>
        <v>1.2882324400406442</v>
      </c>
      <c r="H30" s="81">
        <f>2*'UAV_Data '!D$11*C30/(1.1*'UAV_Data '!D$8*'UAV_Data '!D$9^3*'UAV_Data '!D$7)</f>
        <v>0.38571089484927606</v>
      </c>
      <c r="I30" s="82">
        <f>'UAV_Data '!D$11/((0.5*'UAV_Data '!D$8*'UAV_Data '!D$9^3*'UAV_Data '!D$7)/C30 + ('UAV_Data '!D$6*'UAV_Data '!D$18^2)/(0.5*'UAV_Data '!D$8*'UAV_Data '!D$9)*C30)</f>
        <v>0.37559014359884363</v>
      </c>
      <c r="J30" s="82">
        <f>'UAV_Data '!D$11/($J$14+SQRT(C30)*4*('UAV_Data '!D$6^0.75)*('UAV_Data '!D$7^0.25)/(SQRT(0.5*'UAV_Data '!D$8)*3^0.75))</f>
        <v>0.17488997648528795</v>
      </c>
      <c r="K30" s="48">
        <f>'UAV_Data '!D$11*SQRT(0.5*'UAV_Data '!D$8*K$13)/(('UAV_Data '!D$22+K$15/K$13)*SQRT(C30))</f>
        <v>0.79573849377249617</v>
      </c>
    </row>
    <row r="31" spans="2:14">
      <c r="C31" s="47">
        <f t="shared" si="1"/>
        <v>7</v>
      </c>
      <c r="D31" s="80">
        <f>('UAV_Data '!D$11*SQRT(0.5*'UAV_Data '!D$8)/('UAV_Data '!D$16^3))*(('UAV_Data '!D$24^1.5)/'UAV_Data '!D$26)*SQRT(1/C31)</f>
        <v>1.1950857586130719</v>
      </c>
      <c r="E31" s="47">
        <f>EXP(1.5*'UAV_Data '!D$8*'UAV_Data '!D$5*'UAV_Data '!D$26*'UAV_Data '!D$14/C31)</f>
        <v>204.01782286731307</v>
      </c>
      <c r="F31" s="81">
        <f t="shared" si="0"/>
        <v>0.99509846744786423</v>
      </c>
      <c r="G31" s="80">
        <f t="shared" si="2"/>
        <v>1.1892280068646359</v>
      </c>
      <c r="H31" s="81">
        <f>2*'UAV_Data '!D$11*C31/(1.1*'UAV_Data '!D$8*'UAV_Data '!D$9^3*'UAV_Data '!D$7)</f>
        <v>0.44999604399082205</v>
      </c>
      <c r="I31" s="82">
        <f>'UAV_Data '!D$11/((0.5*'UAV_Data '!D$8*'UAV_Data '!D$9^3*'UAV_Data '!D$7)/C31 + ('UAV_Data '!D$6*'UAV_Data '!D$18^2)/(0.5*'UAV_Data '!D$8*'UAV_Data '!D$9)*C31)</f>
        <v>0.4207516412229465</v>
      </c>
      <c r="J31" s="82">
        <f>'UAV_Data '!D$11/($J$14+SQRT(C31)*4*('UAV_Data '!D$6^0.75)*('UAV_Data '!D$7^0.25)/(SQRT(0.5*'UAV_Data '!D$8)*3^0.75))</f>
        <v>0.17394914735917419</v>
      </c>
      <c r="K31" s="48">
        <f>'UAV_Data '!D$11*SQRT(0.5*'UAV_Data '!D$8*K$13)/(('UAV_Data '!D$22+K$15/K$13)*SQRT(C31))</f>
        <v>0.73671069169731218</v>
      </c>
    </row>
    <row r="32" spans="2:14">
      <c r="C32" s="47">
        <f t="shared" si="1"/>
        <v>8</v>
      </c>
      <c r="D32" s="80">
        <f>('UAV_Data '!D$11*SQRT(0.5*'UAV_Data '!D$8)/('UAV_Data '!D$16^3))*(('UAV_Data '!D$24^1.5)/'UAV_Data '!D$26)*SQRT(1/C32)</f>
        <v>1.117900364135735</v>
      </c>
      <c r="E32" s="80">
        <f>EXP(1.5*'UAV_Data '!D$8*'UAV_Data '!D$5*'UAV_Data '!D$26*'UAV_Data '!D$14/C32)</f>
        <v>104.94447884431111</v>
      </c>
      <c r="F32" s="81">
        <f t="shared" si="0"/>
        <v>0.99047115187942825</v>
      </c>
      <c r="G32" s="80">
        <f t="shared" si="2"/>
        <v>1.1072480613519537</v>
      </c>
      <c r="H32" s="81">
        <f>2*'UAV_Data '!D$11*C32/(1.1*'UAV_Data '!D$8*'UAV_Data '!D$9^3*'UAV_Data '!D$7)</f>
        <v>0.51428119313236809</v>
      </c>
      <c r="I32" s="82">
        <f>'UAV_Data '!D$11/((0.5*'UAV_Data '!D$8*'UAV_Data '!D$9^3*'UAV_Data '!D$7)/C32 + ('UAV_Data '!D$6*'UAV_Data '!D$18^2)/(0.5*'UAV_Data '!D$8*'UAV_Data '!D$9)*C32)</f>
        <v>0.45974958646353886</v>
      </c>
      <c r="J32" s="82">
        <f>'UAV_Data '!D$11/($J$14+SQRT(C32)*4*('UAV_Data '!D$6^0.75)*('UAV_Data '!D$7^0.25)/(SQRT(0.5*'UAV_Data '!D$8)*3^0.75))</f>
        <v>0.17308249531089462</v>
      </c>
      <c r="K32" s="48">
        <f>'UAV_Data '!D$11*SQRT(0.5*'UAV_Data '!D$8*K$13)/(('UAV_Data '!D$22+K$15/K$13)*SQRT(C32))</f>
        <v>0.68912975037614688</v>
      </c>
      <c r="M32" s="141" t="s">
        <v>218</v>
      </c>
      <c r="N32" s="150">
        <f>'Aircraft Sizing'!E37</f>
        <v>6.0635497363392048</v>
      </c>
    </row>
    <row r="33" spans="3:14" ht="16">
      <c r="C33" s="47">
        <f t="shared" si="1"/>
        <v>9</v>
      </c>
      <c r="D33" s="80">
        <f>('UAV_Data '!D$11*SQRT(0.5*'UAV_Data '!D$8)/('UAV_Data '!D$16^3))*(('UAV_Data '!D$24^1.5)/'UAV_Data '!D$26)*SQRT(1/C33)</f>
        <v>1.0539665708950519</v>
      </c>
      <c r="E33" s="80">
        <f>EXP(1.5*'UAV_Data '!D$8*'UAV_Data '!D$5*'UAV_Data '!D$26*'UAV_Data '!D$14/C33)</f>
        <v>62.576105246340333</v>
      </c>
      <c r="F33" s="81">
        <f t="shared" si="0"/>
        <v>0.9840194592478495</v>
      </c>
      <c r="G33" s="80">
        <f t="shared" si="2"/>
        <v>1.0371236151574592</v>
      </c>
      <c r="H33" s="81">
        <f>2*'UAV_Data '!D$11*C33/(1.1*'UAV_Data '!D$8*'UAV_Data '!D$9^3*'UAV_Data '!D$7)</f>
        <v>0.57856634227391412</v>
      </c>
      <c r="I33" s="82">
        <f>'UAV_Data '!D$11/((0.5*'UAV_Data '!D$8*'UAV_Data '!D$9^3*'UAV_Data '!D$7)/C33 + ('UAV_Data '!D$6*'UAV_Data '!D$18^2)/(0.5*'UAV_Data '!D$8*'UAV_Data '!D$9)*C33)</f>
        <v>0.49270489756801239</v>
      </c>
      <c r="J33" s="82">
        <f>'UAV_Data '!D$11/($J$14+SQRT(C33)*4*('UAV_Data '!D$6^0.75)*('UAV_Data '!D$7^0.25)/(SQRT(0.5*'UAV_Data '!D$8)*3^0.75))</f>
        <v>0.17227634561757266</v>
      </c>
      <c r="K33" s="48">
        <f>'UAV_Data '!D$11*SQRT(0.5*'UAV_Data '!D$8*K$13)/(('UAV_Data '!D$22+K$15/K$13)*SQRT(C33))</f>
        <v>0.64971775947782162</v>
      </c>
      <c r="M33" s="141" t="s">
        <v>219</v>
      </c>
      <c r="N33" s="143">
        <v>670</v>
      </c>
    </row>
    <row r="34" spans="3:14">
      <c r="C34" s="47">
        <f t="shared" si="1"/>
        <v>10</v>
      </c>
      <c r="D34" s="80">
        <f>('UAV_Data '!D$11*SQRT(0.5*'UAV_Data '!D$8)/('UAV_Data '!D$16^3))*(('UAV_Data '!D$24^1.5)/'UAV_Data '!D$26)*SQRT(1/C34)</f>
        <v>0.99988048251170858</v>
      </c>
      <c r="E34" s="80">
        <f>EXP(1.5*'UAV_Data '!D$8*'UAV_Data '!D$5*'UAV_Data '!D$26*'UAV_Data '!D$14/C34)</f>
        <v>41.377826680154456</v>
      </c>
      <c r="F34" s="81">
        <f t="shared" si="0"/>
        <v>0.97583246680088165</v>
      </c>
      <c r="G34" s="80">
        <f t="shared" si="2"/>
        <v>0.97571583775545634</v>
      </c>
      <c r="H34" s="81">
        <f>2*'UAV_Data '!D$11*C34/(1.1*'UAV_Data '!D$8*'UAV_Data '!D$9^3*'UAV_Data '!D$7)</f>
        <v>0.64285149141546005</v>
      </c>
      <c r="I34" s="82">
        <f>'UAV_Data '!D$11/((0.5*'UAV_Data '!D$8*'UAV_Data '!D$9^3*'UAV_Data '!D$7)/C34 + ('UAV_Data '!D$6*'UAV_Data '!D$18^2)/(0.5*'UAV_Data '!D$8*'UAV_Data '!D$9)*C34)</f>
        <v>0.5199099900802725</v>
      </c>
      <c r="J34" s="82">
        <f>'UAV_Data '!D$11/($J$14+SQRT(C34)*4*('UAV_Data '!D$6^0.75)*('UAV_Data '!D$7^0.25)/(SQRT(0.5*'UAV_Data '!D$8)*3^0.75))</f>
        <v>0.17152075019084931</v>
      </c>
      <c r="K34" s="48">
        <f>'UAV_Data '!D$11*SQRT(0.5*'UAV_Data '!D$8*K$13)/(('UAV_Data '!D$22+K$15/K$13)*SQRT(C34))</f>
        <v>0.61637638686341034</v>
      </c>
      <c r="M34" s="141" t="s">
        <v>220</v>
      </c>
      <c r="N34" s="142">
        <f>'Aircraft Sizing'!B13</f>
        <v>1.4</v>
      </c>
    </row>
    <row r="35" spans="3:14">
      <c r="C35" s="47">
        <f t="shared" si="1"/>
        <v>11</v>
      </c>
      <c r="D35" s="80">
        <f>('UAV_Data '!D$11*SQRT(0.5*'UAV_Data '!D$8)/('UAV_Data '!D$16^3))*(('UAV_Data '!D$24^1.5)/'UAV_Data '!D$26)*SQRT(1/C35)</f>
        <v>0.95334863379174584</v>
      </c>
      <c r="E35" s="80">
        <f>EXP(1.5*'UAV_Data '!D$8*'UAV_Data '!D$5*'UAV_Data '!D$26*'UAV_Data '!D$14/C35)</f>
        <v>29.497743610831222</v>
      </c>
      <c r="F35" s="81">
        <f t="shared" si="0"/>
        <v>0.96609910191121151</v>
      </c>
      <c r="G35" s="80">
        <f t="shared" si="2"/>
        <v>0.92102925891448617</v>
      </c>
      <c r="H35" s="81">
        <f>2*'UAV_Data '!D$11*C35/(1.1*'UAV_Data '!D$8*'UAV_Data '!D$9^3*'UAV_Data '!D$7)</f>
        <v>0.70713664055700609</v>
      </c>
      <c r="I35" s="82">
        <f>'UAV_Data '!D$11/((0.5*'UAV_Data '!D$8*'UAV_Data '!D$9^3*'UAV_Data '!D$7)/C35 + ('UAV_Data '!D$6*'UAV_Data '!D$18^2)/(0.5*'UAV_Data '!D$8*'UAV_Data '!D$9)*C35)</f>
        <v>0.54177754512498688</v>
      </c>
      <c r="J35" s="82">
        <f>'UAV_Data '!D$11/($J$14+SQRT(C35)*4*('UAV_Data '!D$6^0.75)*('UAV_Data '!D$7^0.25)/(SQRT(0.5*'UAV_Data '!D$8)*3^0.75))</f>
        <v>0.17080820531498014</v>
      </c>
      <c r="K35" s="48">
        <f>'UAV_Data '!D$11*SQRT(0.5*'UAV_Data '!D$8*K$13)/(('UAV_Data '!D$22+K$15/K$13)*SQRT(C35))</f>
        <v>0.58769182576863011</v>
      </c>
      <c r="M35" s="141" t="s">
        <v>221</v>
      </c>
      <c r="N35" s="149">
        <f>N32*9.81/N33</f>
        <v>8.8781228229085976E-2</v>
      </c>
    </row>
    <row r="36" spans="3:14">
      <c r="C36" s="47">
        <f t="shared" si="1"/>
        <v>12</v>
      </c>
      <c r="D36" s="80">
        <f>('UAV_Data '!D$11*SQRT(0.5*'UAV_Data '!D$8)/('UAV_Data '!D$16^3))*(('UAV_Data '!D$24^1.5)/'UAV_Data '!D$26)*SQRT(1/C36)</f>
        <v>0.91276182513468751</v>
      </c>
      <c r="E36" s="80">
        <f>EXP(1.5*'UAV_Data '!D$8*'UAV_Data '!D$5*'UAV_Data '!D$26*'UAV_Data '!D$14/C36)</f>
        <v>22.248789995994784</v>
      </c>
      <c r="F36" s="81">
        <f t="shared" si="0"/>
        <v>0.95505373549842398</v>
      </c>
      <c r="G36" s="80">
        <f t="shared" si="2"/>
        <v>0.87173659071524257</v>
      </c>
      <c r="H36" s="81">
        <f>2*'UAV_Data '!D$11*C36/(1.1*'UAV_Data '!D$8*'UAV_Data '!D$9^3*'UAV_Data '!D$7)</f>
        <v>0.77142178969855213</v>
      </c>
      <c r="I36" s="82">
        <f>'UAV_Data '!D$11/((0.5*'UAV_Data '!D$8*'UAV_Data '!D$9^3*'UAV_Data '!D$7)/C36 + ('UAV_Data '!D$6*'UAV_Data '!D$18^2)/(0.5*'UAV_Data '!D$8*'UAV_Data '!D$9)*C36)</f>
        <v>0.55879384279211064</v>
      </c>
      <c r="J36" s="82">
        <f>'UAV_Data '!D$11/($J$14+SQRT(C36)*4*('UAV_Data '!D$6^0.75)*('UAV_Data '!D$7^0.25)/(SQRT(0.5*'UAV_Data '!D$8)*3^0.75))</f>
        <v>0.17013288619949538</v>
      </c>
      <c r="K36" s="48">
        <f>'UAV_Data '!D$11*SQRT(0.5*'UAV_Data '!D$8*K$13)/(('UAV_Data '!D$22+K$15/K$13)*SQRT(C36))</f>
        <v>0.56267208499770138</v>
      </c>
      <c r="M36" s="141" t="s">
        <v>211</v>
      </c>
      <c r="N36" s="150">
        <f>N32*9.81/N34</f>
        <v>42.488159223919716</v>
      </c>
    </row>
    <row r="37" spans="3:14">
      <c r="C37" s="47">
        <f t="shared" si="1"/>
        <v>13</v>
      </c>
      <c r="D37" s="80">
        <f>('UAV_Data '!D$11*SQRT(0.5*'UAV_Data '!D$8)/('UAV_Data '!D$16^3))*(('UAV_Data '!D$24^1.5)/'UAV_Data '!D$26)*SQRT(1/C37)</f>
        <v>0.87695319553547579</v>
      </c>
      <c r="E37" s="80">
        <f>EXP(1.5*'UAV_Data '!D$8*'UAV_Data '!D$5*'UAV_Data '!D$26*'UAV_Data '!D$14/C37)</f>
        <v>17.525379988184266</v>
      </c>
      <c r="F37" s="81">
        <f t="shared" si="0"/>
        <v>0.94293989627190922</v>
      </c>
      <c r="G37" s="80">
        <f t="shared" si="2"/>
        <v>0.82691415523354084</v>
      </c>
      <c r="H37" s="81">
        <f>2*'UAV_Data '!D$11*C37/(1.1*'UAV_Data '!D$8*'UAV_Data '!D$9^3*'UAV_Data '!D$7)</f>
        <v>0.83570693884009817</v>
      </c>
      <c r="I37" s="82">
        <f>'UAV_Data '!D$11/((0.5*'UAV_Data '!D$8*'UAV_Data '!D$9^3*'UAV_Data '!D$7)/C37 + ('UAV_Data '!D$6*'UAV_Data '!D$18^2)/(0.5*'UAV_Data '!D$8*'UAV_Data '!D$9)*C37)</f>
        <v>0.57147968920755787</v>
      </c>
      <c r="J37" s="82">
        <f>'UAV_Data '!D$11/($J$14+SQRT(C37)*4*('UAV_Data '!D$6^0.75)*('UAV_Data '!D$7^0.25)/(SQRT(0.5*'UAV_Data '!D$8)*3^0.75))</f>
        <v>0.16949016452627372</v>
      </c>
      <c r="K37" s="48">
        <f>'UAV_Data '!D$11*SQRT(0.5*'UAV_Data '!D$8*K$13)/(('UAV_Data '!D$22+K$15/K$13)*SQRT(C37))</f>
        <v>0.54059785301004593</v>
      </c>
    </row>
    <row r="38" spans="3:14">
      <c r="C38" s="47">
        <f t="shared" si="1"/>
        <v>14</v>
      </c>
      <c r="D38" s="80">
        <f>('UAV_Data '!D$11*SQRT(0.5*'UAV_Data '!D$8)/('UAV_Data '!D$16^3))*(('UAV_Data '!D$24^1.5)/'UAV_Data '!D$26)*SQRT(1/C38)</f>
        <v>0.84505324401477266</v>
      </c>
      <c r="E38" s="80">
        <f>EXP(1.5*'UAV_Data '!D$8*'UAV_Data '!D$5*'UAV_Data '!D$26*'UAV_Data '!D$14/C38)</f>
        <v>14.283480768612147</v>
      </c>
      <c r="F38" s="81">
        <f t="shared" si="0"/>
        <v>0.92998905405484267</v>
      </c>
      <c r="G38" s="80">
        <f t="shared" si="2"/>
        <v>0.7858902670272746</v>
      </c>
      <c r="H38" s="81">
        <f>2*'UAV_Data '!D$11*C38/(1.1*'UAV_Data '!D$8*'UAV_Data '!D$9^3*'UAV_Data '!D$7)</f>
        <v>0.8999920879816441</v>
      </c>
      <c r="I38" s="82">
        <f>'UAV_Data '!D$11/((0.5*'UAV_Data '!D$8*'UAV_Data '!D$9^3*'UAV_Data '!D$7)/C38 + ('UAV_Data '!D$6*'UAV_Data '!D$18^2)/(0.5*'UAV_Data '!D$8*'UAV_Data '!D$9)*C38)</f>
        <v>0.58036004516856066</v>
      </c>
      <c r="J38" s="82">
        <f>'UAV_Data '!D$11/($J$14+SQRT(C38)*4*('UAV_Data '!D$6^0.75)*('UAV_Data '!D$7^0.25)/(SQRT(0.5*'UAV_Data '!D$8)*3^0.75))</f>
        <v>0.16887629076060759</v>
      </c>
      <c r="K38" s="48">
        <f>'UAV_Data '!D$11*SQRT(0.5*'UAV_Data '!D$8*K$13)/(('UAV_Data '!D$22+K$15/K$13)*SQRT(C38))</f>
        <v>0.52093312587180141</v>
      </c>
    </row>
    <row r="39" spans="3:14">
      <c r="C39" s="47">
        <f t="shared" si="1"/>
        <v>15</v>
      </c>
      <c r="D39" s="80">
        <f>('UAV_Data '!D$11*SQRT(0.5*'UAV_Data '!D$8)/('UAV_Data '!D$16^3))*(('UAV_Data '!D$24^1.5)/'UAV_Data '!D$26)*SQRT(1/C39)</f>
        <v>0.81639899530717486</v>
      </c>
      <c r="E39" s="80">
        <f>EXP(1.5*'UAV_Data '!D$8*'UAV_Data '!D$5*'UAV_Data '!D$26*'UAV_Data '!D$14/C39)</f>
        <v>11.963138134639944</v>
      </c>
      <c r="F39" s="81">
        <f t="shared" si="0"/>
        <v>0.91640989272668827</v>
      </c>
      <c r="G39" s="80">
        <f t="shared" si="2"/>
        <v>0.74815611571162421</v>
      </c>
      <c r="H39" s="81">
        <f>2*'UAV_Data '!D$11*C39/(1.1*'UAV_Data '!D$8*'UAV_Data '!D$9^3*'UAV_Data '!D$7)</f>
        <v>0.96427723712319013</v>
      </c>
      <c r="I39" s="82">
        <f>'UAV_Data '!D$11/((0.5*'UAV_Data '!D$8*'UAV_Data '!D$9^3*'UAV_Data '!D$7)/C39 + ('UAV_Data '!D$6*'UAV_Data '!D$18^2)/(0.5*'UAV_Data '!D$8*'UAV_Data '!D$9)*C39)</f>
        <v>0.58594210697619897</v>
      </c>
      <c r="J39" s="82">
        <f>'UAV_Data '!D$11/($J$14+SQRT(C39)*4*('UAV_Data '!D$6^0.75)*('UAV_Data '!D$7^0.25)/(SQRT(0.5*'UAV_Data '!D$8)*3^0.75))</f>
        <v>0.16828817727818765</v>
      </c>
      <c r="K39" s="48">
        <f>'UAV_Data '!D$11*SQRT(0.5*'UAV_Data '!D$8*K$13)/(('UAV_Data '!D$22+K$15/K$13)*SQRT(C39))</f>
        <v>0.50326921243855993</v>
      </c>
    </row>
    <row r="40" spans="3:14">
      <c r="C40" s="47">
        <f t="shared" si="1"/>
        <v>16</v>
      </c>
      <c r="D40" s="80">
        <f>('UAV_Data '!D$11*SQRT(0.5*'UAV_Data '!D$8)/('UAV_Data '!D$16^3))*(('UAV_Data '!D$24^1.5)/'UAV_Data '!D$26)*SQRT(1/C40)</f>
        <v>0.79047492817128895</v>
      </c>
      <c r="E40" s="80">
        <f>EXP(1.5*'UAV_Data '!D$8*'UAV_Data '!D$5*'UAV_Data '!D$26*'UAV_Data '!D$14/C40)</f>
        <v>10.24424125273859</v>
      </c>
      <c r="F40" s="81">
        <f t="shared" si="0"/>
        <v>0.90238418099215789</v>
      </c>
      <c r="G40" s="80">
        <f t="shared" si="2"/>
        <v>0.71331207065268343</v>
      </c>
      <c r="H40" s="81">
        <f>2*'UAV_Data '!D$11*C40/(1.1*'UAV_Data '!D$8*'UAV_Data '!D$9^3*'UAV_Data '!D$7)</f>
        <v>1.0285623862647362</v>
      </c>
      <c r="I40" s="82">
        <f>'UAV_Data '!D$11/((0.5*'UAV_Data '!D$8*'UAV_Data '!D$9^3*'UAV_Data '!D$7)/C40 + ('UAV_Data '!D$6*'UAV_Data '!D$18^2)/(0.5*'UAV_Data '!D$8*'UAV_Data '!D$9)*C40)</f>
        <v>0.58870079292253419</v>
      </c>
      <c r="J40" s="82">
        <f>'UAV_Data '!D$11/($J$14+SQRT(C40)*4*('UAV_Data '!D$6^0.75)*('UAV_Data '!D$7^0.25)/(SQRT(0.5*'UAV_Data '!D$8)*3^0.75))</f>
        <v>0.16772324577022271</v>
      </c>
      <c r="K40" s="48">
        <f>'UAV_Data '!D$11*SQRT(0.5*'UAV_Data '!D$8*K$13)/(('UAV_Data '!D$22+K$15/K$13)*SQRT(C40))</f>
        <v>0.48728831960836627</v>
      </c>
      <c r="M40" s="47" t="s">
        <v>222</v>
      </c>
      <c r="N40" s="163">
        <f>('Aircraft Sizing'!B3*Constraint_Diagram!O62)/'Aircraft Sizing'!L2</f>
        <v>269932.918640677</v>
      </c>
    </row>
    <row r="41" spans="3:14">
      <c r="C41" s="47">
        <f t="shared" si="1"/>
        <v>17</v>
      </c>
      <c r="D41" s="80">
        <f>('UAV_Data '!D$11*SQRT(0.5*'UAV_Data '!D$8)/('UAV_Data '!D$16^3))*(('UAV_Data '!D$24^1.5)/'UAV_Data '!D$26)*SQRT(1/C41)</f>
        <v>0.76687332311829592</v>
      </c>
      <c r="E41" s="80">
        <f>EXP(1.5*'UAV_Data '!D$8*'UAV_Data '!D$5*'UAV_Data '!D$26*'UAV_Data '!D$14/C41)</f>
        <v>8.9338737210954893</v>
      </c>
      <c r="F41" s="81">
        <f t="shared" si="0"/>
        <v>0.88806647248228865</v>
      </c>
      <c r="G41" s="80">
        <f t="shared" si="2"/>
        <v>0.6810344869024354</v>
      </c>
      <c r="H41" s="81">
        <f>2*'UAV_Data '!D$11*C41/(1.1*'UAV_Data '!D$8*'UAV_Data '!D$9^3*'UAV_Data '!D$7)</f>
        <v>1.0928475354062821</v>
      </c>
      <c r="I41" s="82">
        <f>'UAV_Data '!D$11/((0.5*'UAV_Data '!D$8*'UAV_Data '!D$9^3*'UAV_Data '!D$7)/C41 + ('UAV_Data '!D$6*'UAV_Data '!D$18^2)/(0.5*'UAV_Data '!D$8*'UAV_Data '!D$9)*C41)</f>
        <v>0.58907024119395723</v>
      </c>
      <c r="J41" s="82">
        <f>'UAV_Data '!D$11/($J$14+SQRT(C41)*4*('UAV_Data '!D$6^0.75)*('UAV_Data '!D$7^0.25)/(SQRT(0.5*'UAV_Data '!D$8)*3^0.75))</f>
        <v>0.16717931707621894</v>
      </c>
      <c r="K41" s="48">
        <f>'UAV_Data '!D$11*SQRT(0.5*'UAV_Data '!D$8*K$13)/(('UAV_Data '!D$22+K$15/K$13)*SQRT(C41))</f>
        <v>0.47273910867647795</v>
      </c>
      <c r="M41" s="46"/>
    </row>
    <row r="42" spans="3:14">
      <c r="C42" s="47">
        <f t="shared" si="1"/>
        <v>18</v>
      </c>
      <c r="D42" s="80">
        <f>('UAV_Data '!D$11*SQRT(0.5*'UAV_Data '!D$8)/('UAV_Data '!D$16^3))*(('UAV_Data '!D$24^1.5)/'UAV_Data '!D$26)*SQRT(1/C42)</f>
        <v>0.74526690942382334</v>
      </c>
      <c r="E42" s="80">
        <f>EXP(1.5*'UAV_Data '!D$8*'UAV_Data '!D$5*'UAV_Data '!D$26*'UAV_Data '!D$14/C42)</f>
        <v>7.9105060044437314</v>
      </c>
      <c r="F42" s="81">
        <f t="shared" si="0"/>
        <v>0.87358583642585574</v>
      </c>
      <c r="G42" s="80">
        <f t="shared" si="2"/>
        <v>0.65105461642952323</v>
      </c>
      <c r="H42" s="81">
        <f>2*'UAV_Data '!D$11*C42/(1.1*'UAV_Data '!D$8*'UAV_Data '!D$9^3*'UAV_Data '!D$7)</f>
        <v>1.1571326845478282</v>
      </c>
      <c r="I42" s="82">
        <f>'UAV_Data '!D$11/((0.5*'UAV_Data '!D$8*'UAV_Data '!D$9^3*'UAV_Data '!D$7)/C42 + ('UAV_Data '!D$6*'UAV_Data '!D$18^2)/(0.5*'UAV_Data '!D$8*'UAV_Data '!D$9)*C42)</f>
        <v>0.58743988451642071</v>
      </c>
      <c r="J42" s="82">
        <f>'UAV_Data '!D$11/($J$14+SQRT(C42)*4*('UAV_Data '!D$6^0.75)*('UAV_Data '!D$7^0.25)/(SQRT(0.5*'UAV_Data '!D$8)*3^0.75))</f>
        <v>0.16665452986355331</v>
      </c>
      <c r="K42" s="48">
        <f>'UAV_Data '!D$11*SQRT(0.5*'UAV_Data '!D$8*K$13)/(('UAV_Data '!D$22+K$15/K$13)*SQRT(C42))</f>
        <v>0.45941983358409805</v>
      </c>
    </row>
    <row r="43" spans="3:14">
      <c r="C43" s="47">
        <f t="shared" si="1"/>
        <v>19</v>
      </c>
      <c r="D43" s="80">
        <f>('UAV_Data '!D$11*SQRT(0.5*'UAV_Data '!D$8)/('UAV_Data '!D$16^3))*(('UAV_Data '!D$24^1.5)/'UAV_Data '!D$26)*SQRT(1/C43)</f>
        <v>0.7253895430107834</v>
      </c>
      <c r="E43" s="80">
        <f>EXP(1.5*'UAV_Data '!D$8*'UAV_Data '!D$5*'UAV_Data '!D$26*'UAV_Data '!D$14/C43)</f>
        <v>7.0946398809592299</v>
      </c>
      <c r="F43" s="81">
        <f t="shared" si="0"/>
        <v>0.85904851877206279</v>
      </c>
      <c r="G43" s="80">
        <f t="shared" si="2"/>
        <v>0.62314481245615705</v>
      </c>
      <c r="H43" s="81">
        <f>2*'UAV_Data '!D$11*C43/(1.1*'UAV_Data '!D$8*'UAV_Data '!D$9^3*'UAV_Data '!D$7)</f>
        <v>1.2214178336893742</v>
      </c>
      <c r="I43" s="82">
        <f>'UAV_Data '!D$11/((0.5*'UAV_Data '!D$8*'UAV_Data '!D$9^3*'UAV_Data '!D$7)/C43 + ('UAV_Data '!D$6*'UAV_Data '!D$18^2)/(0.5*'UAV_Data '!D$8*'UAV_Data '!D$9)*C43)</f>
        <v>0.58415380468824474</v>
      </c>
      <c r="J43" s="82">
        <f>'UAV_Data '!D$11/($J$14+SQRT(C43)*4*('UAV_Data '!D$6^0.75)*('UAV_Data '!D$7^0.25)/(SQRT(0.5*'UAV_Data '!D$8)*3^0.75))</f>
        <v>0.16614727942904442</v>
      </c>
      <c r="K43" s="48">
        <f>'UAV_Data '!D$11*SQRT(0.5*'UAV_Data '!D$8*K$13)/(('UAV_Data '!D$22+K$15/K$13)*SQRT(C43))</f>
        <v>0.44716642979802473</v>
      </c>
      <c r="M43" s="46"/>
    </row>
    <row r="44" spans="3:14">
      <c r="C44" s="47">
        <f t="shared" si="1"/>
        <v>20</v>
      </c>
      <c r="D44" s="80">
        <f>('UAV_Data '!D$11*SQRT(0.5*'UAV_Data '!D$8)/('UAV_Data '!D$16^3))*(('UAV_Data '!D$24^1.5)/'UAV_Data '!D$26)*SQRT(1/C44)</f>
        <v>0.70702226956010628</v>
      </c>
      <c r="E44" s="80">
        <f>EXP(1.5*'UAV_Data '!D$8*'UAV_Data '!D$5*'UAV_Data '!D$26*'UAV_Data '!D$14/C44)</f>
        <v>6.4325598854697388</v>
      </c>
      <c r="F44" s="81">
        <f t="shared" si="0"/>
        <v>0.84454089541259281</v>
      </c>
      <c r="G44" s="80">
        <f t="shared" si="2"/>
        <v>0.59710922061093574</v>
      </c>
      <c r="H44" s="81">
        <f>2*'UAV_Data '!D$11*C44/(1.1*'UAV_Data '!D$8*'UAV_Data '!D$9^3*'UAV_Data '!D$7)</f>
        <v>1.2857029828309201</v>
      </c>
      <c r="I44" s="82">
        <f>'UAV_Data '!D$11/((0.5*'UAV_Data '!D$8*'UAV_Data '!D$9^3*'UAV_Data '!D$7)/C44 + ('UAV_Data '!D$6*'UAV_Data '!D$18^2)/(0.5*'UAV_Data '!D$8*'UAV_Data '!D$9)*C44)</f>
        <v>0.57951228900874441</v>
      </c>
      <c r="J44" s="82">
        <f>'UAV_Data '!D$11/($J$14+SQRT(C44)*4*('UAV_Data '!D$6^0.75)*('UAV_Data '!D$7^0.25)/(SQRT(0.5*'UAV_Data '!D$8)*3^0.75))</f>
        <v>0.16565617085429135</v>
      </c>
      <c r="K44" s="48">
        <f>'UAV_Data '!D$11*SQRT(0.5*'UAV_Data '!D$8*K$13)/(('UAV_Data '!D$22+K$15/K$13)*SQRT(C44))</f>
        <v>0.43584392291438023</v>
      </c>
      <c r="M44" s="46"/>
    </row>
    <row r="45" spans="3:14">
      <c r="C45" s="47">
        <f t="shared" si="1"/>
        <v>21</v>
      </c>
      <c r="D45" s="80">
        <f>('UAV_Data '!D$11*SQRT(0.5*'UAV_Data '!D$8)/('UAV_Data '!D$16^3))*(('UAV_Data '!D$24^1.5)/'UAV_Data '!D$26)*SQRT(1/C45)</f>
        <v>0.68998308443994516</v>
      </c>
      <c r="E45" s="80">
        <f>EXP(1.5*'UAV_Data '!D$8*'UAV_Data '!D$5*'UAV_Data '!D$26*'UAV_Data '!D$14/C45)</f>
        <v>5.8869367482261588</v>
      </c>
      <c r="F45" s="81">
        <f t="shared" si="0"/>
        <v>0.83013236887566044</v>
      </c>
      <c r="G45" s="80">
        <f t="shared" si="2"/>
        <v>0.57277729237026653</v>
      </c>
      <c r="H45" s="81">
        <f>2*'UAV_Data '!D$11*C45/(1.1*'UAV_Data '!D$8*'UAV_Data '!D$9^3*'UAV_Data '!D$7)</f>
        <v>1.3499881319724663</v>
      </c>
      <c r="I45" s="82">
        <f>'UAV_Data '!D$11/((0.5*'UAV_Data '!D$8*'UAV_Data '!D$9^3*'UAV_Data '!D$7)/C45 + ('UAV_Data '!D$6*'UAV_Data '!D$18^2)/(0.5*'UAV_Data '!D$8*'UAV_Data '!D$9)*C45)</f>
        <v>0.57377474702377418</v>
      </c>
      <c r="J45" s="82">
        <f>'UAV_Data '!D$11/($J$14+SQRT(C45)*4*('UAV_Data '!D$6^0.75)*('UAV_Data '!D$7^0.25)/(SQRT(0.5*'UAV_Data '!D$8)*3^0.75))</f>
        <v>0.16517998260414848</v>
      </c>
      <c r="K45" s="48">
        <f>'UAV_Data '!D$11*SQRT(0.5*'UAV_Data '!D$8*K$13)/(('UAV_Data '!D$22+K$15/K$13)*SQRT(C45))</f>
        <v>0.42534011616631856</v>
      </c>
      <c r="M45" s="46"/>
    </row>
    <row r="46" spans="3:14">
      <c r="C46" s="47">
        <f t="shared" si="1"/>
        <v>22</v>
      </c>
      <c r="D46" s="80">
        <f>('UAV_Data '!D$11*SQRT(0.5*'UAV_Data '!D$8)/('UAV_Data '!D$16^3))*(('UAV_Data '!D$24^1.5)/'UAV_Data '!D$26)*SQRT(1/C46)</f>
        <v>0.67411928378907404</v>
      </c>
      <c r="E46" s="80">
        <f>EXP(1.5*'UAV_Data '!D$8*'UAV_Data '!D$5*'UAV_Data '!D$26*'UAV_Data '!D$14/C46)</f>
        <v>5.4311825241683067</v>
      </c>
      <c r="F46" s="81">
        <f t="shared" si="0"/>
        <v>0.8158780347465614</v>
      </c>
      <c r="G46" s="80">
        <f t="shared" si="2"/>
        <v>0.54999911644258925</v>
      </c>
      <c r="H46" s="81">
        <f>2*'UAV_Data '!D$11*C46/(1.1*'UAV_Data '!D$8*'UAV_Data '!D$9^3*'UAV_Data '!D$7)</f>
        <v>1.4142732811140122</v>
      </c>
      <c r="I46" s="82">
        <f>'UAV_Data '!D$11/((0.5*'UAV_Data '!D$8*'UAV_Data '!D$9^3*'UAV_Data '!D$7)/C46 + ('UAV_Data '!D$6*'UAV_Data '!D$18^2)/(0.5*'UAV_Data '!D$8*'UAV_Data '!D$9)*C46)</f>
        <v>0.56716336420427649</v>
      </c>
      <c r="J46" s="82">
        <f>'UAV_Data '!D$11/($J$14+SQRT(C46)*4*('UAV_Data '!D$6^0.75)*('UAV_Data '!D$7^0.25)/(SQRT(0.5*'UAV_Data '!D$8)*3^0.75))</f>
        <v>0.16471763785752214</v>
      </c>
      <c r="K46" s="48">
        <f>'UAV_Data '!D$11*SQRT(0.5*'UAV_Data '!D$8*K$13)/(('UAV_Data '!D$22+K$15/K$13)*SQRT(C46))</f>
        <v>0.41556087524890128</v>
      </c>
    </row>
    <row r="47" spans="3:14">
      <c r="C47" s="47">
        <f t="shared" si="1"/>
        <v>23</v>
      </c>
      <c r="D47" s="80">
        <f>('UAV_Data '!D$11*SQRT(0.5*'UAV_Data '!D$8)/('UAV_Data '!D$16^3))*(('UAV_Data '!D$24^1.5)/'UAV_Data '!D$26)*SQRT(1/C47)</f>
        <v>0.65930166589777828</v>
      </c>
      <c r="E47" s="80">
        <f>EXP(1.5*'UAV_Data '!D$8*'UAV_Data '!D$5*'UAV_Data '!D$26*'UAV_Data '!D$14/C47)</f>
        <v>5.0459444820498041</v>
      </c>
      <c r="F47" s="81">
        <f t="shared" si="0"/>
        <v>0.80182104588004266</v>
      </c>
      <c r="G47" s="80">
        <f t="shared" si="2"/>
        <v>0.52864195130061098</v>
      </c>
      <c r="H47" s="81">
        <f>2*'UAV_Data '!D$11*C47/(1.1*'UAV_Data '!D$8*'UAV_Data '!D$9^3*'UAV_Data '!D$7)</f>
        <v>1.4785584302555583</v>
      </c>
      <c r="I47" s="82">
        <f>'UAV_Data '!D$11/((0.5*'UAV_Data '!D$8*'UAV_Data '!D$9^3*'UAV_Data '!D$7)/C47 + ('UAV_Data '!D$6*'UAV_Data '!D$18^2)/(0.5*'UAV_Data '!D$8*'UAV_Data '!D$9)*C47)</f>
        <v>0.55986705293773598</v>
      </c>
      <c r="J47" s="82">
        <f>'UAV_Data '!D$11/($J$14+SQRT(C47)*4*('UAV_Data '!D$6^0.75)*('UAV_Data '!D$7^0.25)/(SQRT(0.5*'UAV_Data '!D$8)*3^0.75))</f>
        <v>0.16426818165383542</v>
      </c>
      <c r="K47" s="48">
        <f>'UAV_Data '!D$11*SQRT(0.5*'UAV_Data '!D$8*K$13)/(('UAV_Data '!D$22+K$15/K$13)*SQRT(C47))</f>
        <v>0.40642655375998027</v>
      </c>
    </row>
    <row r="48" spans="3:14">
      <c r="C48" s="47">
        <f t="shared" si="1"/>
        <v>24</v>
      </c>
      <c r="D48" s="80">
        <f>('UAV_Data '!D$11*SQRT(0.5*'UAV_Data '!D$8)/('UAV_Data '!D$16^3))*(('UAV_Data '!D$24^1.5)/'UAV_Data '!D$26)*SQRT(1/C48)</f>
        <v>0.64542007616094721</v>
      </c>
      <c r="E48" s="80">
        <f>EXP(1.5*'UAV_Data '!D$8*'UAV_Data '!D$5*'UAV_Data '!D$26*'UAV_Data '!D$14/C48)</f>
        <v>4.7168623041164546</v>
      </c>
      <c r="F48" s="81">
        <f t="shared" si="0"/>
        <v>0.78799465926166856</v>
      </c>
      <c r="G48" s="80">
        <f t="shared" si="2"/>
        <v>0.50858757299508572</v>
      </c>
      <c r="H48" s="81">
        <f>2*'UAV_Data '!D$11*C48/(1.1*'UAV_Data '!D$8*'UAV_Data '!D$9^3*'UAV_Data '!D$7)</f>
        <v>1.5428435793971043</v>
      </c>
      <c r="I48" s="82">
        <f>'UAV_Data '!D$11/((0.5*'UAV_Data '!D$8*'UAV_Data '!D$9^3*'UAV_Data '!D$7)/C48 + ('UAV_Data '!D$6*'UAV_Data '!D$18^2)/(0.5*'UAV_Data '!D$8*'UAV_Data '!D$9)*C48)</f>
        <v>0.55204540649806377</v>
      </c>
      <c r="J48" s="82">
        <f>'UAV_Data '!D$11/($J$14+SQRT(C48)*4*('UAV_Data '!D$6^0.75)*('UAV_Data '!D$7^0.25)/(SQRT(0.5*'UAV_Data '!D$8)*3^0.75))</f>
        <v>0.16383076247576772</v>
      </c>
      <c r="K48" s="48">
        <f>'UAV_Data '!D$11*SQRT(0.5*'UAV_Data '!D$8*K$13)/(('UAV_Data '!D$22+K$15/K$13)*SQRT(C48))</f>
        <v>0.39786924688624808</v>
      </c>
    </row>
    <row r="49" spans="3:20" ht="14" thickBot="1">
      <c r="C49" s="47">
        <f t="shared" si="1"/>
        <v>25</v>
      </c>
      <c r="D49" s="80">
        <f>('UAV_Data '!D$11*SQRT(0.5*'UAV_Data '!D$8)/('UAV_Data '!D$16^3))*(('UAV_Data '!D$24^1.5)/'UAV_Data '!D$26)*SQRT(1/C49)</f>
        <v>0.63237994253703123</v>
      </c>
      <c r="E49" s="80">
        <f>EXP(1.5*'UAV_Data '!D$8*'UAV_Data '!D$5*'UAV_Data '!D$26*'UAV_Data '!D$14/C49)</f>
        <v>4.4330953291611603</v>
      </c>
      <c r="F49" s="81">
        <f t="shared" si="0"/>
        <v>0.7744239801427365</v>
      </c>
      <c r="G49" s="80">
        <f t="shared" si="2"/>
        <v>0.48973019206196272</v>
      </c>
      <c r="H49" s="81">
        <f>2*'UAV_Data '!D$11*C49/(1.1*'UAV_Data '!D$8*'UAV_Data '!D$9^3*'UAV_Data '!D$7)</f>
        <v>1.6071287285386502</v>
      </c>
      <c r="I49" s="82">
        <f>'UAV_Data '!D$11/((0.5*'UAV_Data '!D$8*'UAV_Data '!D$9^3*'UAV_Data '!D$7)/C49 + ('UAV_Data '!D$6*'UAV_Data '!D$18^2)/(0.5*'UAV_Data '!D$8*'UAV_Data '!D$9)*C49)</f>
        <v>0.54383247103206322</v>
      </c>
      <c r="J49" s="82">
        <f>'UAV_Data '!D$11/($J$14+SQRT(C49)*4*('UAV_Data '!D$6^0.75)*('UAV_Data '!D$7^0.25)/(SQRT(0.5*'UAV_Data '!D$8)*3^0.75))</f>
        <v>0.1634046172595377</v>
      </c>
      <c r="K49" s="48">
        <f>'UAV_Data '!D$11*SQRT(0.5*'UAV_Data '!D$8*K$13)/(('UAV_Data '!D$22+K$15/K$13)*SQRT(C49))</f>
        <v>0.38983065568669301</v>
      </c>
    </row>
    <row r="50" spans="3:20" ht="14" thickBot="1">
      <c r="C50" s="47">
        <f t="shared" si="1"/>
        <v>26</v>
      </c>
      <c r="D50" s="80">
        <f>('UAV_Data '!D$11*SQRT(0.5*'UAV_Data '!D$8)/('UAV_Data '!D$16^3))*(('UAV_Data '!D$24^1.5)/'UAV_Data '!D$26)*SQRT(1/C50)</f>
        <v>0.62009955134634731</v>
      </c>
      <c r="E50" s="80">
        <f>EXP(1.5*'UAV_Data '!D$8*'UAV_Data '!D$5*'UAV_Data '!D$26*'UAV_Data '!D$14/C50)</f>
        <v>4.1863325224095931</v>
      </c>
      <c r="F50" s="81">
        <f t="shared" si="0"/>
        <v>0.76112743203102884</v>
      </c>
      <c r="G50" s="80">
        <f t="shared" si="2"/>
        <v>0.47197477911983843</v>
      </c>
      <c r="H50" s="81">
        <f>2*'UAV_Data '!D$11*C50/(1.1*'UAV_Data '!D$8*'UAV_Data '!D$9^3*'UAV_Data '!D$7)</f>
        <v>1.6714138776801963</v>
      </c>
      <c r="I50" s="82">
        <f>'UAV_Data '!D$11/((0.5*'UAV_Data '!D$8*'UAV_Data '!D$9^3*'UAV_Data '!D$7)/C50 + ('UAV_Data '!D$6*'UAV_Data '!D$18^2)/(0.5*'UAV_Data '!D$8*'UAV_Data '!D$9)*C50)</f>
        <v>0.53534022955461469</v>
      </c>
      <c r="J50" s="82">
        <f>'UAV_Data '!D$11/($J$14+SQRT(C50)*4*('UAV_Data '!D$6^0.75)*('UAV_Data '!D$7^0.25)/(SQRT(0.5*'UAV_Data '!D$8)*3^0.75))</f>
        <v>0.16298905908429062</v>
      </c>
      <c r="K50" s="48">
        <f>'UAV_Data '!D$11*SQRT(0.5*'UAV_Data '!D$8*K$13)/(('UAV_Data '!D$22+K$15/K$13)*SQRT(C50))</f>
        <v>0.38226040775829195</v>
      </c>
      <c r="N50" s="221" t="s">
        <v>223</v>
      </c>
      <c r="O50" s="222"/>
      <c r="P50" s="223"/>
    </row>
    <row r="51" spans="3:20">
      <c r="C51" s="47">
        <f t="shared" si="1"/>
        <v>27</v>
      </c>
      <c r="D51" s="80">
        <f>('UAV_Data '!D$11*SQRT(0.5*'UAV_Data '!D$8)/('UAV_Data '!D$16^3))*(('UAV_Data '!D$24^1.5)/'UAV_Data '!D$26)*SQRT(1/C51)</f>
        <v>0.60850788342312501</v>
      </c>
      <c r="E51" s="80">
        <f>EXP(1.5*'UAV_Data '!D$8*'UAV_Data '!D$5*'UAV_Data '!D$26*'UAV_Data '!D$14/C51)</f>
        <v>3.9701127705244645</v>
      </c>
      <c r="F51" s="81">
        <f t="shared" si="0"/>
        <v>0.74811798611254643</v>
      </c>
      <c r="G51" s="80">
        <f t="shared" si="2"/>
        <v>0.45523569228011646</v>
      </c>
      <c r="H51" s="81">
        <f>2*'UAV_Data '!D$11*C51/(1.1*'UAV_Data '!D$8*'UAV_Data '!D$9^3*'UAV_Data '!D$7)</f>
        <v>1.7356990268217423</v>
      </c>
      <c r="I51" s="82">
        <f>'UAV_Data '!D$11/((0.5*'UAV_Data '!D$8*'UAV_Data '!D$9^3*'UAV_Data '!D$7)/C51 + ('UAV_Data '!D$6*'UAV_Data '!D$18^2)/(0.5*'UAV_Data '!D$8*'UAV_Data '!D$9)*C51)</f>
        <v>0.5266617467166903</v>
      </c>
      <c r="J51" s="82">
        <f>'UAV_Data '!D$11/($J$14+SQRT(C51)*4*('UAV_Data '!D$6^0.75)*('UAV_Data '!D$7^0.25)/(SQRT(0.5*'UAV_Data '!D$8)*3^0.75))</f>
        <v>0.16258346697790407</v>
      </c>
      <c r="K51" s="48">
        <f>'UAV_Data '!D$11*SQRT(0.5*'UAV_Data '!D$8*K$13)/(('UAV_Data '!D$22+K$15/K$13)*SQRT(C51))</f>
        <v>0.37511472333180085</v>
      </c>
      <c r="N51" s="83" t="s">
        <v>224</v>
      </c>
      <c r="O51" s="84">
        <f>N35</f>
        <v>8.8781228229085976E-2</v>
      </c>
      <c r="P51" s="85" t="s">
        <v>225</v>
      </c>
    </row>
    <row r="52" spans="3:20" ht="16" thickBot="1">
      <c r="C52" s="47">
        <f t="shared" si="1"/>
        <v>28</v>
      </c>
      <c r="D52" s="80">
        <f>('UAV_Data '!D$11*SQRT(0.5*'UAV_Data '!D$8)/('UAV_Data '!D$16^3))*(('UAV_Data '!D$24^1.5)/'UAV_Data '!D$26)*SQRT(1/C52)</f>
        <v>0.59754287930653593</v>
      </c>
      <c r="E52" s="80">
        <f>EXP(1.5*'UAV_Data '!D$8*'UAV_Data '!D$5*'UAV_Data '!D$26*'UAV_Data '!D$14/C52)</f>
        <v>3.7793492520025387</v>
      </c>
      <c r="F52" s="81">
        <f t="shared" si="0"/>
        <v>0.73540418381017936</v>
      </c>
      <c r="G52" s="80">
        <f t="shared" si="2"/>
        <v>0.43943553344800756</v>
      </c>
      <c r="H52" s="81">
        <f>2*'UAV_Data '!D$11*C52/(1.1*'UAV_Data '!D$8*'UAV_Data '!D$9^3*'UAV_Data '!D$7)</f>
        <v>1.7999841759632882</v>
      </c>
      <c r="I52" s="82">
        <f>'UAV_Data '!D$11/((0.5*'UAV_Data '!D$8*'UAV_Data '!D$9^3*'UAV_Data '!D$7)/C52 + ('UAV_Data '!D$6*'UAV_Data '!D$18^2)/(0.5*'UAV_Data '!D$8*'UAV_Data '!D$9)*C52)</f>
        <v>0.51787395953458992</v>
      </c>
      <c r="J52" s="82">
        <f>'UAV_Data '!D$11/($J$14+SQRT(C52)*4*('UAV_Data '!D$6^0.75)*('UAV_Data '!D$7^0.25)/(SQRT(0.5*'UAV_Data '!D$8)*3^0.75))</f>
        <v>0.16218727741103797</v>
      </c>
      <c r="K52" s="48">
        <f>'UAV_Data '!D$11*SQRT(0.5*'UAV_Data '!D$8*K$13)/(('UAV_Data '!D$22+K$15/K$13)*SQRT(C52))</f>
        <v>0.36835534584865609</v>
      </c>
      <c r="N52" s="86" t="s">
        <v>226</v>
      </c>
      <c r="O52" s="84">
        <f>N36</f>
        <v>42.488159223919716</v>
      </c>
      <c r="P52" s="87" t="s">
        <v>206</v>
      </c>
    </row>
    <row r="53" spans="3:20" ht="14" thickBot="1">
      <c r="C53" s="47">
        <f t="shared" si="1"/>
        <v>29</v>
      </c>
      <c r="D53" s="80">
        <f>('UAV_Data '!D$11*SQRT(0.5*'UAV_Data '!D$8)/('UAV_Data '!D$16^3))*(('UAV_Data '!D$24^1.5)/'UAV_Data '!D$26)*SQRT(1/C53)</f>
        <v>0.58715003642899311</v>
      </c>
      <c r="E53" s="80">
        <f>EXP(1.5*'UAV_Data '!D$8*'UAV_Data '!D$5*'UAV_Data '!D$26*'UAV_Data '!D$14/C53)</f>
        <v>3.6099908008818931</v>
      </c>
      <c r="F53" s="81">
        <f t="shared" si="0"/>
        <v>0.72299098386740823</v>
      </c>
      <c r="G53" s="80">
        <f t="shared" si="2"/>
        <v>0.42450418251558231</v>
      </c>
      <c r="H53" s="81">
        <f>2*'UAV_Data '!D$11*C53/(1.1*'UAV_Data '!D$8*'UAV_Data '!D$9^3*'UAV_Data '!D$7)</f>
        <v>1.8642693251048343</v>
      </c>
      <c r="I53" s="82">
        <f>'UAV_Data '!D$11/((0.5*'UAV_Data '!D$8*'UAV_Data '!D$9^3*'UAV_Data '!D$7)/C53 + ('UAV_Data '!D$6*'UAV_Data '!D$18^2)/(0.5*'UAV_Data '!D$8*'UAV_Data '!D$9)*C53)</f>
        <v>0.50904012228751372</v>
      </c>
      <c r="J53" s="82">
        <f>'UAV_Data '!D$11/($J$14+SQRT(C53)*4*('UAV_Data '!D$6^0.75)*('UAV_Data '!D$7^0.25)/(SQRT(0.5*'UAV_Data '!D$8)*3^0.75))</f>
        <v>0.16179997714998326</v>
      </c>
      <c r="K53" s="48">
        <f>'UAV_Data '!D$11*SQRT(0.5*'UAV_Data '!D$8*K$13)/(('UAV_Data '!D$22+K$15/K$13)*SQRT(C53))</f>
        <v>0.36194867719761165</v>
      </c>
    </row>
    <row r="54" spans="3:20" ht="15">
      <c r="C54" s="47">
        <f t="shared" si="1"/>
        <v>30</v>
      </c>
      <c r="D54" s="80">
        <f>('UAV_Data '!D$11*SQRT(0.5*'UAV_Data '!D$8)/('UAV_Data '!D$16^3))*(('UAV_Data '!D$24^1.5)/'UAV_Data '!D$26)*SQRT(1/C54)</f>
        <v>0.5772812657355878</v>
      </c>
      <c r="E54" s="80">
        <f>EXP(1.5*'UAV_Data '!D$8*'UAV_Data '!D$5*'UAV_Data '!D$26*'UAV_Data '!D$14/C54)</f>
        <v>3.4587769709306126</v>
      </c>
      <c r="F54" s="81">
        <f t="shared" si="0"/>
        <v>0.71088046196544963</v>
      </c>
      <c r="G54" s="80">
        <f t="shared" si="2"/>
        <v>0.41037797287011413</v>
      </c>
      <c r="H54" s="81">
        <f>2*'UAV_Data '!D$11*C54/(1.1*'UAV_Data '!D$8*'UAV_Data '!D$9^3*'UAV_Data '!D$7)</f>
        <v>1.9285544742463803</v>
      </c>
      <c r="I54" s="82">
        <f>'UAV_Data '!D$11/((0.5*'UAV_Data '!D$8*'UAV_Data '!D$9^3*'UAV_Data '!D$7)/C54 + ('UAV_Data '!D$6*'UAV_Data '!D$18^2)/(0.5*'UAV_Data '!D$8*'UAV_Data '!D$9)*C54)</f>
        <v>0.50021192733609154</v>
      </c>
      <c r="J54" s="82">
        <f>'UAV_Data '!D$11/($J$14+SQRT(C54)*4*('UAV_Data '!D$6^0.75)*('UAV_Data '!D$7^0.25)/(SQRT(0.5*'UAV_Data '!D$8)*3^0.75))</f>
        <v>0.16142109721222508</v>
      </c>
      <c r="K54" s="48">
        <f>'UAV_Data '!D$11*SQRT(0.5*'UAV_Data '!D$8*K$13)/(('UAV_Data '!D$22+K$15/K$13)*SQRT(C54))</f>
        <v>0.3558650728777189</v>
      </c>
      <c r="N54" s="88" t="s">
        <v>227</v>
      </c>
      <c r="O54" s="161">
        <f>N32</f>
        <v>6.0635497363392048</v>
      </c>
      <c r="P54" s="90" t="s">
        <v>19</v>
      </c>
      <c r="Q54" s="89"/>
      <c r="R54" s="89"/>
      <c r="S54" s="89"/>
      <c r="T54" s="91"/>
    </row>
    <row r="55" spans="3:20" ht="15">
      <c r="C55" s="47">
        <f t="shared" si="1"/>
        <v>31</v>
      </c>
      <c r="D55" s="80">
        <f>('UAV_Data '!D$11*SQRT(0.5*'UAV_Data '!D$8)/('UAV_Data '!D$16^3))*(('UAV_Data '!D$24^1.5)/'UAV_Data '!D$26)*SQRT(1/C55)</f>
        <v>0.56789395287519018</v>
      </c>
      <c r="E55" s="80">
        <f>EXP(1.5*'UAV_Data '!D$8*'UAV_Data '!D$5*'UAV_Data '!D$26*'UAV_Data '!D$14/C55)</f>
        <v>3.3230582954314523</v>
      </c>
      <c r="F55" s="81">
        <f t="shared" ref="F55" si="3">(E55-1)/E55</f>
        <v>0.69907238721186382</v>
      </c>
      <c r="G55" s="80">
        <f t="shared" ref="G55" si="4">D55*F55</f>
        <v>0.3969989813196409</v>
      </c>
      <c r="H55" s="81">
        <f>2*'UAV_Data '!D$11*C55/(1.1*'UAV_Data '!D$8*'UAV_Data '!D$9^3*'UAV_Data '!D$7)</f>
        <v>1.9928396233879264</v>
      </c>
      <c r="I55" s="82">
        <f>'UAV_Data '!D$11/((0.5*'UAV_Data '!D$8*'UAV_Data '!D$9^3*'UAV_Data '!D$7)/C55 + ('UAV_Data '!D$6*'UAV_Data '!D$18^2)/(0.5*'UAV_Data '!D$8*'UAV_Data '!D$9)*C55)</f>
        <v>0.49143133067944889</v>
      </c>
      <c r="J55" s="82">
        <f>'UAV_Data '!D$11/($J$14+SQRT(C55)*4*('UAV_Data '!D$6^0.75)*('UAV_Data '!D$7^0.25)/(SQRT(0.5*'UAV_Data '!D$8)*3^0.75))</f>
        <v>0.1610502077237721</v>
      </c>
      <c r="K55" s="48">
        <f>'UAV_Data '!D$11*SQRT(0.5*'UAV_Data '!D$8*K$13)/(('UAV_Data '!D$22+K$15/K$13)*SQRT(C55))</f>
        <v>0.35007826326952102</v>
      </c>
      <c r="N55" s="92" t="s">
        <v>228</v>
      </c>
      <c r="O55" s="93">
        <f>O54*'UAV_Data '!D5</f>
        <v>59.483422913487601</v>
      </c>
      <c r="P55" s="94" t="s">
        <v>229</v>
      </c>
      <c r="Q55" s="93"/>
      <c r="R55" s="93"/>
      <c r="S55" s="93"/>
      <c r="T55" s="95"/>
    </row>
    <row r="56" spans="3:20">
      <c r="C56" s="47">
        <f>C55+1</f>
        <v>32</v>
      </c>
      <c r="D56" s="80">
        <f>('UAV_Data '!D$11*SQRT(0.5*'UAV_Data '!D$8)/('UAV_Data '!D$16^3))*(('UAV_Data '!D$24^1.5)/'UAV_Data '!D$26)*SQRT(1/C56)</f>
        <v>0.55895018206786751</v>
      </c>
      <c r="E56" s="80">
        <f>EXP(1.5*'UAV_Data '!D$8*'UAV_Data '!D$5*'UAV_Data '!D$26*'UAV_Data '!D$14/C56)</f>
        <v>3.2006626271349794</v>
      </c>
      <c r="F56" s="81">
        <f t="shared" ref="F56:F60" si="5">(E56-1)/E56</f>
        <v>0.68756469628442729</v>
      </c>
      <c r="G56" s="80">
        <f t="shared" ref="G56:G60" si="6">D56*F56</f>
        <v>0.38431441217161866</v>
      </c>
      <c r="H56" s="81">
        <f>2*'UAV_Data '!D$11*C56/(1.1*'UAV_Data '!D$8*'UAV_Data '!D$9^3*'UAV_Data '!D$7)</f>
        <v>2.0571247725294723</v>
      </c>
      <c r="I56" s="82">
        <f>'UAV_Data '!D$11/((0.5*'UAV_Data '!D$8*'UAV_Data '!D$9^3*'UAV_Data '!D$7)/C56 + ('UAV_Data '!D$6*'UAV_Data '!D$18^2)/(0.5*'UAV_Data '!D$8*'UAV_Data '!D$9)*C56)</f>
        <v>0.48273211385274645</v>
      </c>
      <c r="J56" s="82">
        <f>'UAV_Data '!D$11/($J$14+SQRT(C56)*4*('UAV_Data '!D$6^0.75)*('UAV_Data '!D$7^0.25)/(SQRT(0.5*'UAV_Data '!D$8)*3^0.75))</f>
        <v>0.16068691351918554</v>
      </c>
      <c r="K56" s="48">
        <f>'UAV_Data '!D$11*SQRT(0.5*'UAV_Data '!D$8*K$13)/(('UAV_Data '!D$22+K$15/K$13)*SQRT(C56))</f>
        <v>0.34456487518807344</v>
      </c>
      <c r="N56" s="92" t="s">
        <v>230</v>
      </c>
      <c r="O56" s="93">
        <f>N33</f>
        <v>670</v>
      </c>
      <c r="P56" s="94" t="s">
        <v>231</v>
      </c>
      <c r="Q56" s="106">
        <f>O56/1000</f>
        <v>0.67</v>
      </c>
      <c r="R56" s="93" t="s">
        <v>232</v>
      </c>
      <c r="S56" s="106">
        <f>O56*0.001341022</f>
        <v>0.89848474000000011</v>
      </c>
      <c r="T56" s="95" t="s">
        <v>233</v>
      </c>
    </row>
    <row r="57" spans="3:20" ht="16" thickBot="1">
      <c r="C57" s="47">
        <f t="shared" si="1"/>
        <v>33</v>
      </c>
      <c r="D57" s="80">
        <f>('UAV_Data '!D$11*SQRT(0.5*'UAV_Data '!D$8)/('UAV_Data '!D$16^3))*(('UAV_Data '!D$24^1.5)/'UAV_Data '!D$26)*SQRT(1/C57)</f>
        <v>0.55041609035122641</v>
      </c>
      <c r="E57" s="80">
        <f>EXP(1.5*'UAV_Data '!D$8*'UAV_Data '!D$5*'UAV_Data '!D$26*'UAV_Data '!D$14/C57)</f>
        <v>3.0897945217529617</v>
      </c>
      <c r="F57" s="81">
        <f t="shared" si="5"/>
        <v>0.67635388277125275</v>
      </c>
      <c r="G57" s="80">
        <f t="shared" si="6"/>
        <v>0.37227605984882467</v>
      </c>
      <c r="H57" s="81">
        <f>2*'UAV_Data '!D$11*C57/(1.1*'UAV_Data '!D$8*'UAV_Data '!D$9^3*'UAV_Data '!D$7)</f>
        <v>2.1214099216710181</v>
      </c>
      <c r="I57" s="82">
        <f>'UAV_Data '!D$11/((0.5*'UAV_Data '!D$8*'UAV_Data '!D$9^3*'UAV_Data '!D$7)/C57 + ('UAV_Data '!D$6*'UAV_Data '!D$18^2)/(0.5*'UAV_Data '!D$8*'UAV_Data '!D$9)*C57)</f>
        <v>0.47414121384149127</v>
      </c>
      <c r="J57" s="82">
        <f>'UAV_Data '!D$11/($J$14+SQRT(C57)*4*('UAV_Data '!D$6^0.75)*('UAV_Data '!D$7^0.25)/(SQRT(0.5*'UAV_Data '!D$8)*3^0.75))</f>
        <v>0.16033085035736089</v>
      </c>
      <c r="K57" s="48">
        <f>'UAV_Data '!D$11*SQRT(0.5*'UAV_Data '!D$8*K$13)/(('UAV_Data '!D$22+K$15/K$13)*SQRT(C57))</f>
        <v>0.33930403380806123</v>
      </c>
      <c r="N57" s="96" t="s">
        <v>234</v>
      </c>
      <c r="O57" s="107">
        <f>O55/O52</f>
        <v>1.4</v>
      </c>
      <c r="P57" s="97" t="s">
        <v>235</v>
      </c>
      <c r="Q57" s="98"/>
      <c r="R57" s="98"/>
      <c r="S57" s="98"/>
      <c r="T57" s="99"/>
    </row>
    <row r="58" spans="3:20" ht="14" thickBot="1">
      <c r="C58" s="47">
        <f t="shared" si="1"/>
        <v>34</v>
      </c>
      <c r="D58" s="80">
        <f>('UAV_Data '!D$11*SQRT(0.5*'UAV_Data '!D$8)/('UAV_Data '!D$16^3))*(('UAV_Data '!D$24^1.5)/'UAV_Data '!D$26)*SQRT(1/C58)</f>
        <v>0.54226132708800945</v>
      </c>
      <c r="E58" s="80">
        <f>EXP(1.5*'UAV_Data '!D$8*'UAV_Data '!D$5*'UAV_Data '!D$26*'UAV_Data '!D$14/C58)</f>
        <v>2.9889586348920067</v>
      </c>
      <c r="F58" s="81">
        <f t="shared" si="5"/>
        <v>0.6654353163920147</v>
      </c>
      <c r="G58" s="80">
        <f t="shared" si="6"/>
        <v>0.36083983775796336</v>
      </c>
      <c r="H58" s="81">
        <f>2*'UAV_Data '!D$11*C58/(1.1*'UAV_Data '!D$8*'UAV_Data '!D$9^3*'UAV_Data '!D$7)</f>
        <v>2.1856950708125642</v>
      </c>
      <c r="I58" s="82">
        <f>'UAV_Data '!D$11/((0.5*'UAV_Data '!D$8*'UAV_Data '!D$9^3*'UAV_Data '!D$7)/C58 + ('UAV_Data '!D$6*'UAV_Data '!D$18^2)/(0.5*'UAV_Data '!D$8*'UAV_Data '!D$9)*C58)</f>
        <v>0.46567985114495825</v>
      </c>
      <c r="J58" s="82">
        <f>'UAV_Data '!D$11/($J$14+SQRT(C58)*4*('UAV_Data '!D$6^0.75)*('UAV_Data '!D$7^0.25)/(SQRT(0.5*'UAV_Data '!D$8)*3^0.75))</f>
        <v>0.15998168165098145</v>
      </c>
      <c r="K58" s="48">
        <f>'UAV_Data '!D$11*SQRT(0.5*'UAV_Data '!D$8*K$13)/(('UAV_Data '!D$22+K$15/K$13)*SQRT(C58))</f>
        <v>0.33427702947722182</v>
      </c>
    </row>
    <row r="59" spans="3:20" ht="14" thickBot="1">
      <c r="C59" s="47">
        <f t="shared" si="1"/>
        <v>35</v>
      </c>
      <c r="D59" s="80">
        <f>('UAV_Data '!D$11*SQRT(0.5*'UAV_Data '!D$8)/('UAV_Data '!D$16^3))*(('UAV_Data '!D$24^1.5)/'UAV_Data '!D$26)*SQRT(1/C59)</f>
        <v>0.5344585990401467</v>
      </c>
      <c r="E59" s="80">
        <f>EXP(1.5*'UAV_Data '!D$8*'UAV_Data '!D$5*'UAV_Data '!D$26*'UAV_Data '!D$14/C59)</f>
        <v>2.8969007870323833</v>
      </c>
      <c r="F59" s="81">
        <f t="shared" si="5"/>
        <v>0.65480350432559653</v>
      </c>
      <c r="G59" s="80">
        <f t="shared" si="6"/>
        <v>0.34996536356843694</v>
      </c>
      <c r="H59" s="81">
        <f>2*'UAV_Data '!D$11*C59/(1.1*'UAV_Data '!D$8*'UAV_Data '!D$9^3*'UAV_Data '!D$7)</f>
        <v>2.2499802199541103</v>
      </c>
      <c r="I59" s="82">
        <f>'UAV_Data '!D$11/((0.5*'UAV_Data '!D$8*'UAV_Data '!D$9^3*'UAV_Data '!D$7)/C59 + ('UAV_Data '!D$6*'UAV_Data '!D$18^2)/(0.5*'UAV_Data '!D$8*'UAV_Data '!D$9)*C59)</f>
        <v>0.45736448369741489</v>
      </c>
      <c r="J59" s="82">
        <f>'UAV_Data '!D$11/($J$14+SQRT(C59)*4*('UAV_Data '!D$6^0.75)*('UAV_Data '!D$7^0.25)/(SQRT(0.5*'UAV_Data '!D$8)*3^0.75))</f>
        <v>0.15963909562697165</v>
      </c>
      <c r="K59" s="48">
        <f>'UAV_Data '!D$11*SQRT(0.5*'UAV_Data '!D$8*K$13)/(('UAV_Data '!D$22+K$15/K$13)*SQRT(C59))</f>
        <v>0.32946703727721599</v>
      </c>
      <c r="N59" s="100" t="s">
        <v>236</v>
      </c>
      <c r="O59" s="178">
        <f>'Aircraft Sizing'!B14</f>
        <v>6.007142857142858</v>
      </c>
    </row>
    <row r="60" spans="3:20" ht="14" thickBot="1">
      <c r="C60" s="47">
        <f t="shared" si="1"/>
        <v>36</v>
      </c>
      <c r="D60" s="80">
        <f>('UAV_Data '!D$11*SQRT(0.5*'UAV_Data '!D$8)/('UAV_Data '!D$16^3))*(('UAV_Data '!D$24^1.5)/'UAV_Data '!D$26)*SQRT(1/C60)</f>
        <v>0.52698328544752593</v>
      </c>
      <c r="E60" s="80">
        <f>EXP(1.5*'UAV_Data '!D$8*'UAV_Data '!D$5*'UAV_Data '!D$26*'UAV_Data '!D$14/C60)</f>
        <v>2.8125621778804697</v>
      </c>
      <c r="F60" s="81">
        <f t="shared" si="5"/>
        <v>0.64445230478296689</v>
      </c>
      <c r="G60" s="80">
        <f t="shared" si="6"/>
        <v>0.3396155928887582</v>
      </c>
      <c r="H60" s="81">
        <f>2*'UAV_Data '!D$11*C60/(1.1*'UAV_Data '!D$8*'UAV_Data '!D$9^3*'UAV_Data '!D$7)</f>
        <v>2.3142653690956565</v>
      </c>
      <c r="I60" s="82">
        <f>'UAV_Data '!D$11/((0.5*'UAV_Data '!D$8*'UAV_Data '!D$9^3*'UAV_Data '!D$7)/C60 + ('UAV_Data '!D$6*'UAV_Data '!D$18^2)/(0.5*'UAV_Data '!D$8*'UAV_Data '!D$9)*C60)</f>
        <v>0.44920761153769517</v>
      </c>
      <c r="J60" s="82">
        <f>'UAV_Data '!D$11/($J$14+SQRT(C60)*4*('UAV_Data '!D$6^0.75)*('UAV_Data '!D$7^0.25)/(SQRT(0.5*'UAV_Data '!D$8)*3^0.75))</f>
        <v>0.15930280285055037</v>
      </c>
      <c r="K60" s="48">
        <f>'UAV_Data '!D$11*SQRT(0.5*'UAV_Data '!D$8*K$13)/(('UAV_Data '!D$22+K$15/K$13)*SQRT(C60))</f>
        <v>0.32485887973891081</v>
      </c>
    </row>
    <row r="61" spans="3:20">
      <c r="C61" s="47">
        <f t="shared" si="1"/>
        <v>37</v>
      </c>
      <c r="D61" s="80">
        <f>('UAV_Data '!D$11*SQRT(0.5*'UAV_Data '!D$8)/('UAV_Data '!D$16^3))*(('UAV_Data '!D$24^1.5)/'UAV_Data '!D$26)*SQRT(1/C61)</f>
        <v>0.5198131107265398</v>
      </c>
      <c r="E61" s="80">
        <f>EXP(1.5*'UAV_Data '!D$8*'UAV_Data '!D$5*'UAV_Data '!D$26*'UAV_Data '!D$14/C61)</f>
        <v>2.7350434921558491</v>
      </c>
      <c r="F61" s="81">
        <f t="shared" ref="F61:F75" si="7">(E61-1)/E61</f>
        <v>0.63437510121209517</v>
      </c>
      <c r="G61" s="80">
        <f t="shared" ref="G61:G75" si="8">D61*F61</f>
        <v>0.3297564947285227</v>
      </c>
      <c r="H61" s="81">
        <f>2*'UAV_Data '!D$11*C61/(1.1*'UAV_Data '!D$8*'UAV_Data '!D$9^3*'UAV_Data '!D$7)</f>
        <v>2.3785505182372022</v>
      </c>
      <c r="I61" s="82">
        <f>'UAV_Data '!D$11/((0.5*'UAV_Data '!D$8*'UAV_Data '!D$9^3*'UAV_Data '!D$7)/C61 + ('UAV_Data '!D$6*'UAV_Data '!D$18^2)/(0.5*'UAV_Data '!D$8*'UAV_Data '!D$9)*C61)</f>
        <v>0.44121845421237588</v>
      </c>
      <c r="J61" s="82">
        <f>'UAV_Data '!D$11/($J$14+SQRT(C61)*4*('UAV_Data '!D$6^0.75)*('UAV_Data '!D$7^0.25)/(SQRT(0.5*'UAV_Data '!D$8)*3^0.75))</f>
        <v>0.15897253405759365</v>
      </c>
      <c r="K61" s="48">
        <f>'UAV_Data '!D$11*SQRT(0.5*'UAV_Data '!D$8*K$13)/(('UAV_Data '!D$22+K$15/K$13)*SQRT(C61))</f>
        <v>0.32043882507737881</v>
      </c>
      <c r="N61" s="101" t="s">
        <v>237</v>
      </c>
      <c r="O61" s="109">
        <f>SQRT(O59*O57)</f>
        <v>2.9</v>
      </c>
      <c r="P61" s="91" t="s">
        <v>5</v>
      </c>
      <c r="R61" s="48"/>
    </row>
    <row r="62" spans="3:20" ht="14" thickBot="1">
      <c r="C62" s="47">
        <f t="shared" si="1"/>
        <v>38</v>
      </c>
      <c r="D62" s="80">
        <f>('UAV_Data '!D$11*SQRT(0.5*'UAV_Data '!D$8)/('UAV_Data '!D$16^3))*(('UAV_Data '!D$24^1.5)/'UAV_Data '!D$26)*SQRT(1/C62)</f>
        <v>0.51292786486473574</v>
      </c>
      <c r="E62" s="80">
        <f>EXP(1.5*'UAV_Data '!D$8*'UAV_Data '!D$5*'UAV_Data '!D$26*'UAV_Data '!D$14/C62)</f>
        <v>2.6635765205751514</v>
      </c>
      <c r="F62" s="81">
        <f t="shared" si="7"/>
        <v>0.62456494406097707</v>
      </c>
      <c r="G62" s="80">
        <f t="shared" si="8"/>
        <v>0.32035676322656009</v>
      </c>
      <c r="H62" s="81">
        <f>2*'UAV_Data '!D$11*C62/(1.1*'UAV_Data '!D$8*'UAV_Data '!D$9^3*'UAV_Data '!D$7)</f>
        <v>2.4428356673787484</v>
      </c>
      <c r="I62" s="82">
        <f>'UAV_Data '!D$11/((0.5*'UAV_Data '!D$8*'UAV_Data '!D$9^3*'UAV_Data '!D$7)/C62 + ('UAV_Data '!D$6*'UAV_Data '!D$18^2)/(0.5*'UAV_Data '!D$8*'UAV_Data '!D$9)*C62)</f>
        <v>0.43340352009065269</v>
      </c>
      <c r="J62" s="82">
        <f>'UAV_Data '!D$11/($J$14+SQRT(C62)*4*('UAV_Data '!D$6^0.75)*('UAV_Data '!D$7^0.25)/(SQRT(0.5*'UAV_Data '!D$8)*3^0.75))</f>
        <v>0.15864803824968138</v>
      </c>
      <c r="K62" s="48">
        <f>'UAV_Data '!D$11*SQRT(0.5*'UAV_Data '!D$8*K$13)/(('UAV_Data '!D$22+K$15/K$13)*SQRT(C62))</f>
        <v>0.31619441482916161</v>
      </c>
      <c r="N62" s="102" t="s">
        <v>238</v>
      </c>
      <c r="O62" s="126">
        <f>O61/O59</f>
        <v>0.48275862068965508</v>
      </c>
      <c r="P62" s="99" t="s">
        <v>5</v>
      </c>
    </row>
    <row r="63" spans="3:20">
      <c r="C63" s="47">
        <f t="shared" si="1"/>
        <v>39</v>
      </c>
      <c r="D63" s="80">
        <f>('UAV_Data '!D$11*SQRT(0.5*'UAV_Data '!D$8)/('UAV_Data '!D$16^3))*(('UAV_Data '!D$24^1.5)/'UAV_Data '!D$26)*SQRT(1/C63)</f>
        <v>0.50630916350910948</v>
      </c>
      <c r="E63" s="80">
        <f>EXP(1.5*'UAV_Data '!D$8*'UAV_Data '!D$5*'UAV_Data '!D$26*'UAV_Data '!D$14/C63)</f>
        <v>2.5975015440819003</v>
      </c>
      <c r="F63" s="81">
        <f t="shared" si="7"/>
        <v>0.61501466581285325</v>
      </c>
      <c r="G63" s="80">
        <f t="shared" si="8"/>
        <v>0.31138756099354026</v>
      </c>
      <c r="H63" s="81">
        <f>2*'UAV_Data '!D$11*C63/(1.1*'UAV_Data '!D$8*'UAV_Data '!D$9^3*'UAV_Data '!D$7)</f>
        <v>2.5071208165202945</v>
      </c>
      <c r="I63" s="82">
        <f>'UAV_Data '!D$11/((0.5*'UAV_Data '!D$8*'UAV_Data '!D$9^3*'UAV_Data '!D$7)/C63 + ('UAV_Data '!D$6*'UAV_Data '!D$18^2)/(0.5*'UAV_Data '!D$8*'UAV_Data '!D$9)*C63)</f>
        <v>0.42576708416333903</v>
      </c>
      <c r="J63" s="82">
        <f>'UAV_Data '!D$11/($J$14+SQRT(C63)*4*('UAV_Data '!D$6^0.75)*('UAV_Data '!D$7^0.25)/(SQRT(0.5*'UAV_Data '!D$8)*3^0.75))</f>
        <v>0.15832908101396961</v>
      </c>
      <c r="K63" s="48">
        <f>'UAV_Data '!D$11*SQRT(0.5*'UAV_Data '!D$8*K$13)/(('UAV_Data '!D$22+K$15/K$13)*SQRT(C63))</f>
        <v>0.31211431595868372</v>
      </c>
      <c r="N63" s="103" t="s">
        <v>239</v>
      </c>
      <c r="O63" s="104">
        <v>0</v>
      </c>
      <c r="R63" s="108"/>
    </row>
    <row r="64" spans="3:20">
      <c r="C64" s="47">
        <f t="shared" si="1"/>
        <v>40</v>
      </c>
      <c r="D64" s="80">
        <f>('UAV_Data '!D$11*SQRT(0.5*'UAV_Data '!D$8)/('UAV_Data '!D$16^3))*(('UAV_Data '!D$24^1.5)/'UAV_Data '!D$26)*SQRT(1/C64)</f>
        <v>0.49994024125585429</v>
      </c>
      <c r="E64" s="80">
        <f>EXP(1.5*'UAV_Data '!D$8*'UAV_Data '!D$5*'UAV_Data '!D$26*'UAV_Data '!D$14/C64)</f>
        <v>2.536249176534068</v>
      </c>
      <c r="F64" s="81">
        <f t="shared" si="7"/>
        <v>0.60571697400546498</v>
      </c>
      <c r="G64" s="80">
        <f t="shared" si="8"/>
        <v>0.30282229011705819</v>
      </c>
      <c r="H64" s="81">
        <f>2*'UAV_Data '!D$11*C64/(1.1*'UAV_Data '!D$8*'UAV_Data '!D$9^3*'UAV_Data '!D$7)</f>
        <v>2.5714059656618402</v>
      </c>
      <c r="I64" s="82">
        <f>'UAV_Data '!D$11/((0.5*'UAV_Data '!D$8*'UAV_Data '!D$9^3*'UAV_Data '!D$7)/C64 + ('UAV_Data '!D$6*'UAV_Data '!D$18^2)/(0.5*'UAV_Data '!D$8*'UAV_Data '!D$9)*C64)</f>
        <v>0.41831158854402029</v>
      </c>
      <c r="J64" s="82">
        <f>'UAV_Data '!D$11/($J$14+SQRT(C64)*4*('UAV_Data '!D$6^0.75)*('UAV_Data '!D$7^0.25)/(SQRT(0.5*'UAV_Data '!D$8)*3^0.75))</f>
        <v>0.15801544303631293</v>
      </c>
      <c r="K64" s="48">
        <f>'UAV_Data '!D$11*SQRT(0.5*'UAV_Data '!D$8*K$13)/(('UAV_Data '!D$22+K$15/K$13)*SQRT(C64))</f>
        <v>0.30818819343170517</v>
      </c>
    </row>
    <row r="65" spans="1:70">
      <c r="C65" s="47">
        <f t="shared" si="1"/>
        <v>41</v>
      </c>
      <c r="D65" s="80">
        <f>('UAV_Data '!D$11*SQRT(0.5*'UAV_Data '!D$8)/('UAV_Data '!D$16^3))*(('UAV_Data '!D$24^1.5)/'UAV_Data '!D$26)*SQRT(1/C65)</f>
        <v>0.49380577284454347</v>
      </c>
      <c r="E65" s="80">
        <f>EXP(1.5*'UAV_Data '!D$8*'UAV_Data '!D$5*'UAV_Data '!D$26*'UAV_Data '!D$14/C65)</f>
        <v>2.4793256848404495</v>
      </c>
      <c r="F65" s="81">
        <f t="shared" si="7"/>
        <v>0.59666452611918452</v>
      </c>
      <c r="G65" s="80">
        <f t="shared" si="8"/>
        <v>0.29463638744920723</v>
      </c>
      <c r="H65" s="81">
        <f>2*'UAV_Data '!D$11*C65/(1.1*'UAV_Data '!D$8*'UAV_Data '!D$9^3*'UAV_Data '!D$7)</f>
        <v>2.6356911148033864</v>
      </c>
      <c r="I65" s="82">
        <f>'UAV_Data '!D$11/((0.5*'UAV_Data '!D$8*'UAV_Data '!D$9^3*'UAV_Data '!D$7)/C65 + ('UAV_Data '!D$6*'UAV_Data '!D$18^2)/(0.5*'UAV_Data '!D$8*'UAV_Data '!D$9)*C65)</f>
        <v>0.4110379778030816</v>
      </c>
      <c r="J65" s="82">
        <f>'UAV_Data '!D$11/($J$14+SQRT(C65)*4*('UAV_Data '!D$6^0.75)*('UAV_Data '!D$7^0.25)/(SQRT(0.5*'UAV_Data '!D$8)*3^0.75))</f>
        <v>0.15770691878116752</v>
      </c>
      <c r="K65" s="48">
        <f>'UAV_Data '!D$11*SQRT(0.5*'UAV_Data '!D$8*K$13)/(('UAV_Data '!D$22+K$15/K$13)*SQRT(C65))</f>
        <v>0.30440659999046388</v>
      </c>
    </row>
    <row r="66" spans="1:70">
      <c r="C66" s="47">
        <f t="shared" si="1"/>
        <v>42</v>
      </c>
      <c r="D66" s="80">
        <f>('UAV_Data '!D$11*SQRT(0.5*'UAV_Data '!D$8)/('UAV_Data '!D$16^3))*(('UAV_Data '!D$24^1.5)/'UAV_Data '!D$26)*SQRT(1/C66)</f>
        <v>0.48789171791149544</v>
      </c>
      <c r="E66" s="80">
        <f>EXP(1.5*'UAV_Data '!D$8*'UAV_Data '!D$5*'UAV_Data '!D$26*'UAV_Data '!D$14/C66)</f>
        <v>2.426301042374206</v>
      </c>
      <c r="F66" s="81">
        <f t="shared" si="7"/>
        <v>0.58784998953737788</v>
      </c>
      <c r="G66" s="80">
        <f t="shared" si="8"/>
        <v>0.2868071412696459</v>
      </c>
      <c r="H66" s="81">
        <f>2*'UAV_Data '!D$11*C66/(1.1*'UAV_Data '!D$8*'UAV_Data '!D$9^3*'UAV_Data '!D$7)</f>
        <v>2.6999762639449325</v>
      </c>
      <c r="I66" s="82">
        <f>'UAV_Data '!D$11/((0.5*'UAV_Data '!D$8*'UAV_Data '!D$9^3*'UAV_Data '!D$7)/C66 + ('UAV_Data '!D$6*'UAV_Data '!D$18^2)/(0.5*'UAV_Data '!D$8*'UAV_Data '!D$9)*C66)</f>
        <v>0.40394597944031174</v>
      </c>
      <c r="J66" s="82">
        <f>'UAV_Data '!D$11/($J$14+SQRT(C66)*4*('UAV_Data '!D$6^0.75)*('UAV_Data '!D$7^0.25)/(SQRT(0.5*'UAV_Data '!D$8)*3^0.75))</f>
        <v>0.15740331531598611</v>
      </c>
      <c r="K66" s="48">
        <f>'UAV_Data '!D$11*SQRT(0.5*'UAV_Data '!D$8*K$13)/(('UAV_Data '!D$22+K$15/K$13)*SQRT(C66))</f>
        <v>0.30076088045187777</v>
      </c>
    </row>
    <row r="67" spans="1:70">
      <c r="C67" s="47">
        <f t="shared" si="1"/>
        <v>43</v>
      </c>
      <c r="D67" s="80">
        <f>('UAV_Data '!D$11*SQRT(0.5*'UAV_Data '!D$8)/('UAV_Data '!D$16^3))*(('UAV_Data '!D$24^1.5)/'UAV_Data '!D$26)*SQRT(1/C67)</f>
        <v>0.48218518571955971</v>
      </c>
      <c r="E67" s="80">
        <f>EXP(1.5*'UAV_Data '!D$8*'UAV_Data '!D$5*'UAV_Data '!D$26*'UAV_Data '!D$14/C67)</f>
        <v>2.3767991463985676</v>
      </c>
      <c r="F67" s="81">
        <f t="shared" si="7"/>
        <v>0.57926608922119283</v>
      </c>
      <c r="G67" s="80">
        <f t="shared" si="8"/>
        <v>0.27931352681216393</v>
      </c>
      <c r="H67" s="81">
        <f>2*'UAV_Data '!D$11*C67/(1.1*'UAV_Data '!D$8*'UAV_Data '!D$9^3*'UAV_Data '!D$7)</f>
        <v>2.7642614130864782</v>
      </c>
      <c r="I67" s="82">
        <f>'UAV_Data '!D$11/((0.5*'UAV_Data '!D$8*'UAV_Data '!D$9^3*'UAV_Data '!D$7)/C67 + ('UAV_Data '!D$6*'UAV_Data '!D$18^2)/(0.5*'UAV_Data '!D$8*'UAV_Data '!D$9)*C67)</f>
        <v>0.39703433822256268</v>
      </c>
      <c r="J67" s="82">
        <f>'UAV_Data '!D$11/($J$14+SQRT(C67)*4*('UAV_Data '!D$6^0.75)*('UAV_Data '!D$7^0.25)/(SQRT(0.5*'UAV_Data '!D$8)*3^0.75))</f>
        <v>0.15710445126125069</v>
      </c>
      <c r="K67" s="48">
        <f>'UAV_Data '!D$11*SQRT(0.5*'UAV_Data '!D$8*K$13)/(('UAV_Data '!D$22+K$15/K$13)*SQRT(C67))</f>
        <v>0.29724308832021273</v>
      </c>
    </row>
    <row r="68" spans="1:70">
      <c r="C68" s="47">
        <f t="shared" si="1"/>
        <v>44</v>
      </c>
      <c r="D68" s="80">
        <f>('UAV_Data '!D$11*SQRT(0.5*'UAV_Data '!D$8)/('UAV_Data '!D$16^3))*(('UAV_Data '!D$24^1.5)/'UAV_Data '!D$26)*SQRT(1/C68)</f>
        <v>0.47667431689587292</v>
      </c>
      <c r="E68" s="80">
        <f>EXP(1.5*'UAV_Data '!D$8*'UAV_Data '!D$5*'UAV_Data '!D$26*'UAV_Data '!D$14/C68)</f>
        <v>2.3304897605800177</v>
      </c>
      <c r="F68" s="81">
        <f t="shared" si="7"/>
        <v>0.57090564527899157</v>
      </c>
      <c r="G68" s="80">
        <f t="shared" si="8"/>
        <v>0.27213605847536082</v>
      </c>
      <c r="H68" s="81">
        <f>2*'UAV_Data '!D$11*C68/(1.1*'UAV_Data '!D$8*'UAV_Data '!D$9^3*'UAV_Data '!D$7)</f>
        <v>2.8285465622280244</v>
      </c>
      <c r="I68" s="82">
        <f>'UAV_Data '!D$11/((0.5*'UAV_Data '!D$8*'UAV_Data '!D$9^3*'UAV_Data '!D$7)/C68 + ('UAV_Data '!D$6*'UAV_Data '!D$18^2)/(0.5*'UAV_Data '!D$8*'UAV_Data '!D$9)*C68)</f>
        <v>0.39030101175711374</v>
      </c>
      <c r="J68" s="82">
        <f>'UAV_Data '!D$11/($J$14+SQRT(C68)*4*('UAV_Data '!D$6^0.75)*('UAV_Data '!D$7^0.25)/(SQRT(0.5*'UAV_Data '!D$8)*3^0.75))</f>
        <v>0.15681015585012756</v>
      </c>
      <c r="K68" s="48">
        <f>'UAV_Data '!D$11*SQRT(0.5*'UAV_Data '!D$8*K$13)/(('UAV_Data '!D$22+K$15/K$13)*SQRT(C68))</f>
        <v>0.29384591288431505</v>
      </c>
    </row>
    <row r="69" spans="1:70">
      <c r="C69" s="47">
        <f t="shared" si="1"/>
        <v>45</v>
      </c>
      <c r="D69" s="80">
        <f>('UAV_Data '!D$11*SQRT(0.5*'UAV_Data '!D$8)/('UAV_Data '!D$16^3))*(('UAV_Data '!D$24^1.5)/'UAV_Data '!D$26)*SQRT(1/C69)</f>
        <v>0.47134817970673754</v>
      </c>
      <c r="E69" s="80">
        <f>EXP(1.5*'UAV_Data '!D$8*'UAV_Data '!D$5*'UAV_Data '!D$26*'UAV_Data '!D$14/C69)</f>
        <v>2.2870818416243077</v>
      </c>
      <c r="F69" s="81">
        <f t="shared" si="7"/>
        <v>0.56276160223029437</v>
      </c>
      <c r="G69" s="80">
        <f t="shared" si="8"/>
        <v>0.26525665682009636</v>
      </c>
      <c r="H69" s="81">
        <f>2*'UAV_Data '!D$11*C69/(1.1*'UAV_Data '!D$8*'UAV_Data '!D$9^3*'UAV_Data '!D$7)</f>
        <v>2.8928317113695705</v>
      </c>
      <c r="I69" s="82">
        <f>'UAV_Data '!D$11/((0.5*'UAV_Data '!D$8*'UAV_Data '!D$9^3*'UAV_Data '!D$7)/C69 + ('UAV_Data '!D$6*'UAV_Data '!D$18^2)/(0.5*'UAV_Data '!D$8*'UAV_Data '!D$9)*C69)</f>
        <v>0.38374333351433049</v>
      </c>
      <c r="J69" s="82">
        <f>'UAV_Data '!D$11/($J$14+SQRT(C69)*4*('UAV_Data '!D$6^0.75)*('UAV_Data '!D$7^0.25)/(SQRT(0.5*'UAV_Data '!D$8)*3^0.75))</f>
        <v>0.15652026808408581</v>
      </c>
      <c r="K69" s="48">
        <f>'UAV_Data '!D$11*SQRT(0.5*'UAV_Data '!D$8*K$13)/(('UAV_Data '!D$22+K$15/K$13)*SQRT(C69))</f>
        <v>0.29056261527625349</v>
      </c>
    </row>
    <row r="70" spans="1:70">
      <c r="C70" s="47">
        <f t="shared" si="1"/>
        <v>46</v>
      </c>
      <c r="D70" s="80">
        <f>('UAV_Data '!D$11*SQRT(0.5*'UAV_Data '!D$8)/('UAV_Data '!D$16^3))*(('UAV_Data '!D$24^1.5)/'UAV_Data '!D$26)*SQRT(1/C70)</f>
        <v>0.46619667880390658</v>
      </c>
      <c r="E70" s="80">
        <f>EXP(1.5*'UAV_Data '!D$8*'UAV_Data '!D$5*'UAV_Data '!D$26*'UAV_Data '!D$14/C70)</f>
        <v>2.2463179832894995</v>
      </c>
      <c r="F70" s="81">
        <f t="shared" si="7"/>
        <v>0.55482705145083522</v>
      </c>
      <c r="G70" s="80">
        <f t="shared" si="8"/>
        <v>0.25865852869694356</v>
      </c>
      <c r="H70" s="81">
        <f>2*'UAV_Data '!D$11*C70/(1.1*'UAV_Data '!D$8*'UAV_Data '!D$9^3*'UAV_Data '!D$7)</f>
        <v>2.9571168605111167</v>
      </c>
      <c r="I70" s="82">
        <f>'UAV_Data '!D$11/((0.5*'UAV_Data '!D$8*'UAV_Data '!D$9^3*'UAV_Data '!D$7)/C70 + ('UAV_Data '!D$6*'UAV_Data '!D$18^2)/(0.5*'UAV_Data '!D$8*'UAV_Data '!D$9)*C70)</f>
        <v>0.37735814853033606</v>
      </c>
      <c r="J70" s="82">
        <f>'UAV_Data '!D$11/($J$14+SQRT(C70)*4*('UAV_Data '!D$6^0.75)*('UAV_Data '!D$7^0.25)/(SQRT(0.5*'UAV_Data '!D$8)*3^0.75))</f>
        <v>0.15623463597278767</v>
      </c>
      <c r="K70" s="48">
        <f>'UAV_Data '!D$11*SQRT(0.5*'UAV_Data '!D$8*K$13)/(('UAV_Data '!D$22+K$15/K$13)*SQRT(C70))</f>
        <v>0.28738697221796095</v>
      </c>
    </row>
    <row r="71" spans="1:70">
      <c r="C71" s="47">
        <f t="shared" si="1"/>
        <v>47</v>
      </c>
      <c r="D71" s="80">
        <f>('UAV_Data '!D$11*SQRT(0.5*'UAV_Data '!D$8)/('UAV_Data '!D$16^3))*(('UAV_Data '!D$24^1.5)/'UAV_Data '!D$26)*SQRT(1/C71)</f>
        <v>0.46121047470801552</v>
      </c>
      <c r="E71" s="80">
        <f>EXP(1.5*'UAV_Data '!D$8*'UAV_Data '!D$5*'UAV_Data '!D$26*'UAV_Data '!D$14/C71)</f>
        <v>2.207969767691921</v>
      </c>
      <c r="F71" s="81">
        <f t="shared" si="7"/>
        <v>0.54709524802717746</v>
      </c>
      <c r="G71" s="80">
        <f t="shared" si="8"/>
        <v>0.252326059053114</v>
      </c>
      <c r="H71" s="81">
        <f>2*'UAV_Data '!D$11*C71/(1.1*'UAV_Data '!D$8*'UAV_Data '!D$9^3*'UAV_Data '!D$7)</f>
        <v>3.0214020096526624</v>
      </c>
      <c r="I71" s="82">
        <f>'UAV_Data '!D$11/((0.5*'UAV_Data '!D$8*'UAV_Data '!D$9^3*'UAV_Data '!D$7)/C71 + ('UAV_Data '!D$6*'UAV_Data '!D$18^2)/(0.5*'UAV_Data '!D$8*'UAV_Data '!D$9)*C71)</f>
        <v>0.37114192618845881</v>
      </c>
      <c r="J71" s="82">
        <f>'UAV_Data '!D$11/($J$14+SQRT(C71)*4*('UAV_Data '!D$6^0.75)*('UAV_Data '!D$7^0.25)/(SQRT(0.5*'UAV_Data '!D$8)*3^0.75))</f>
        <v>0.15595311584820343</v>
      </c>
      <c r="K71" s="48">
        <f>'UAV_Data '!D$11*SQRT(0.5*'UAV_Data '!D$8*K$13)/(('UAV_Data '!D$22+K$15/K$13)*SQRT(C71))</f>
        <v>0.28431322638679069</v>
      </c>
    </row>
    <row r="72" spans="1:70">
      <c r="C72" s="47">
        <f t="shared" si="1"/>
        <v>48</v>
      </c>
      <c r="D72" s="80">
        <f>('UAV_Data '!D$11*SQRT(0.5*'UAV_Data '!D$8)/('UAV_Data '!D$16^3))*(('UAV_Data '!D$24^1.5)/'UAV_Data '!D$26)*SQRT(1/C72)</f>
        <v>0.45638091256734376</v>
      </c>
      <c r="E72" s="80">
        <f>EXP(1.5*'UAV_Data '!D$8*'UAV_Data '!D$5*'UAV_Data '!D$26*'UAV_Data '!D$14/C72)</f>
        <v>2.1718338573925156</v>
      </c>
      <c r="F72" s="81">
        <f t="shared" si="7"/>
        <v>0.53955962303645499</v>
      </c>
      <c r="G72" s="80">
        <f t="shared" si="8"/>
        <v>0.24624471314586932</v>
      </c>
      <c r="H72" s="81">
        <f>2*'UAV_Data '!D$11*C72/(1.1*'UAV_Data '!D$8*'UAV_Data '!D$9^3*'UAV_Data '!D$7)</f>
        <v>3.0856871587942085</v>
      </c>
      <c r="I72" s="82">
        <f>'UAV_Data '!D$11/((0.5*'UAV_Data '!D$8*'UAV_Data '!D$9^3*'UAV_Data '!D$7)/C72 + ('UAV_Data '!D$6*'UAV_Data '!D$18^2)/(0.5*'UAV_Data '!D$8*'UAV_Data '!D$9)*C72)</f>
        <v>0.36509085377591</v>
      </c>
      <c r="J72" s="82">
        <f>'UAV_Data '!D$11/($J$14+SQRT(C72)*4*('UAV_Data '!D$6^0.75)*('UAV_Data '!D$7^0.25)/(SQRT(0.5*'UAV_Data '!D$8)*3^0.75))</f>
        <v>0.1556755717442897</v>
      </c>
      <c r="K72" s="48">
        <f>'UAV_Data '!D$11*SQRT(0.5*'UAV_Data '!D$8*K$13)/(('UAV_Data '!D$22+K$15/K$13)*SQRT(C72))</f>
        <v>0.28133604249885069</v>
      </c>
    </row>
    <row r="73" spans="1:70" s="105" customFormat="1">
      <c r="A73" s="47"/>
      <c r="B73" s="47"/>
      <c r="C73" s="47">
        <f t="shared" si="1"/>
        <v>49</v>
      </c>
      <c r="D73" s="80">
        <f>('UAV_Data '!D$11*SQRT(0.5*'UAV_Data '!D$8)/('UAV_Data '!D$16^3))*(('UAV_Data '!D$24^1.5)/'UAV_Data '!D$26)*SQRT(1/C73)</f>
        <v>0.45169995895502224</v>
      </c>
      <c r="E73" s="80">
        <f>EXP(1.5*'UAV_Data '!D$8*'UAV_Data '!D$5*'UAV_Data '!D$26*'UAV_Data '!D$14/C73)</f>
        <v>2.1377286954872741</v>
      </c>
      <c r="F73" s="81">
        <f t="shared" si="7"/>
        <v>0.53221379209111475</v>
      </c>
      <c r="G73" s="80">
        <f t="shared" si="8"/>
        <v>0.24040094804285328</v>
      </c>
      <c r="H73" s="81">
        <f>2*'UAV_Data '!D$11*C73/(1.1*'UAV_Data '!D$8*'UAV_Data '!D$9^3*'UAV_Data '!D$7)</f>
        <v>3.1499723079357547</v>
      </c>
      <c r="I73" s="82">
        <f>'UAV_Data '!D$11/((0.5*'UAV_Data '!D$8*'UAV_Data '!D$9^3*'UAV_Data '!D$7)/C73 + ('UAV_Data '!D$6*'UAV_Data '!D$18^2)/(0.5*'UAV_Data '!D$8*'UAV_Data '!D$9)*C73)</f>
        <v>0.35920091392049264</v>
      </c>
      <c r="J73" s="82">
        <f>'UAV_Data '!D$11/($J$14+SQRT(C73)*4*('UAV_Data '!D$6^0.75)*('UAV_Data '!D$7^0.25)/(SQRT(0.5*'UAV_Data '!D$8)*3^0.75))</f>
        <v>0.15540187483473833</v>
      </c>
      <c r="K73" s="48">
        <f>'UAV_Data '!D$11*SQRT(0.5*'UAV_Data '!D$8*K$13)/(('UAV_Data '!D$22+K$15/K$13)*SQRT(C73))</f>
        <v>0.27845046834763787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</row>
    <row r="74" spans="1:70" s="105" customFormat="1">
      <c r="A74" s="47"/>
      <c r="B74" s="47"/>
      <c r="C74" s="47">
        <f t="shared" si="1"/>
        <v>50</v>
      </c>
      <c r="D74" s="80">
        <f>('UAV_Data '!D$11*SQRT(0.5*'UAV_Data '!D$8)/('UAV_Data '!D$16^3))*(('UAV_Data '!D$24^1.5)/'UAV_Data '!D$26)*SQRT(1/C74)</f>
        <v>0.44716014565429396</v>
      </c>
      <c r="E74" s="80">
        <f>EXP(1.5*'UAV_Data '!D$8*'UAV_Data '!D$5*'UAV_Data '!D$26*'UAV_Data '!D$14/C74)</f>
        <v>2.1054917072173804</v>
      </c>
      <c r="F74" s="81">
        <f t="shared" si="7"/>
        <v>0.52505156084342841</v>
      </c>
      <c r="G74" s="80">
        <f t="shared" si="8"/>
        <v>0.23478213242276183</v>
      </c>
      <c r="H74" s="81">
        <f>2*'UAV_Data '!D$11*C74/(1.1*'UAV_Data '!D$8*'UAV_Data '!D$9^3*'UAV_Data '!D$7)</f>
        <v>3.2142574570773004</v>
      </c>
      <c r="I74" s="82">
        <f>'UAV_Data '!D$11/((0.5*'UAV_Data '!D$8*'UAV_Data '!D$9^3*'UAV_Data '!D$7)/C74 + ('UAV_Data '!D$6*'UAV_Data '!D$18^2)/(0.5*'UAV_Data '!D$8*'UAV_Data '!D$9)*C74)</f>
        <v>0.35346794851445645</v>
      </c>
      <c r="J74" s="82">
        <f>'UAV_Data '!D$11/($J$14+SQRT(C74)*4*('UAV_Data '!D$6^0.75)*('UAV_Data '!D$7^0.25)/(SQRT(0.5*'UAV_Data '!D$8)*3^0.75))</f>
        <v>0.1551319029222944</v>
      </c>
      <c r="K74" s="48">
        <f>'UAV_Data '!D$11*SQRT(0.5*'UAV_Data '!D$8*K$13)/(('UAV_Data '!D$22+K$15/K$13)*SQRT(C74))</f>
        <v>0.27565190015045882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</row>
    <row r="75" spans="1:70">
      <c r="C75" s="47">
        <f>C74+5</f>
        <v>55</v>
      </c>
      <c r="D75" s="80">
        <f>('UAV_Data '!D$11*SQRT(0.5*'UAV_Data '!D$8)/('UAV_Data '!D$16^3))*(('UAV_Data '!D$24^1.5)/'UAV_Data '!D$26)*SQRT(1/C75)</f>
        <v>0.42635047028297934</v>
      </c>
      <c r="E75" s="80">
        <f>EXP(1.5*'UAV_Data '!D$8*'UAV_Data '!D$5*'UAV_Data '!D$26*'UAV_Data '!D$14/C75)</f>
        <v>1.9676948968646983</v>
      </c>
      <c r="F75" s="81">
        <f t="shared" si="7"/>
        <v>0.49179113002051889</v>
      </c>
      <c r="G75" s="80">
        <f t="shared" si="8"/>
        <v>0.20967537956524607</v>
      </c>
      <c r="H75" s="81">
        <f>2*'UAV_Data '!D$11*C75/(1.1*'UAV_Data '!D$8*'UAV_Data '!D$9^3*'UAV_Data '!D$7)</f>
        <v>3.5356832027850302</v>
      </c>
      <c r="I75" s="82">
        <f>'UAV_Data '!D$11/((0.5*'UAV_Data '!D$8*'UAV_Data '!D$9^3*'UAV_Data '!D$7)/C75 + ('UAV_Data '!D$6*'UAV_Data '!D$18^2)/(0.5*'UAV_Data '!D$8*'UAV_Data '!D$9)*C75)</f>
        <v>0.32700823708789484</v>
      </c>
      <c r="J75" s="82">
        <f>'UAV_Data '!D$11/($J$14+SQRT(C75)*4*('UAV_Data '!D$6^0.75)*('UAV_Data '!D$7^0.25)/(SQRT(0.5*'UAV_Data '!D$8)*3^0.75))</f>
        <v>0.15383405017566654</v>
      </c>
      <c r="K75" s="48">
        <f>'UAV_Data '!D$11*SQRT(0.5*'UAV_Data '!D$8*K$13)/(('UAV_Data '!D$22+K$15/K$13)*SQRT(C75))</f>
        <v>0.26282377444792393</v>
      </c>
    </row>
    <row r="76" spans="1:70">
      <c r="C76" s="47">
        <f t="shared" ref="C76:C107" si="9">C75+5</f>
        <v>60</v>
      </c>
      <c r="D76" s="80">
        <f>('UAV_Data '!D$11*SQRT(0.5*'UAV_Data '!D$8)/('UAV_Data '!D$16^3))*(('UAV_Data '!D$24^1.5)/'UAV_Data '!D$26)*SQRT(1/C76)</f>
        <v>0.40819949765358743</v>
      </c>
      <c r="E76" s="80">
        <f>EXP(1.5*'UAV_Data '!D$8*'UAV_Data '!D$5*'UAV_Data '!D$26*'UAV_Data '!D$14/C76)</f>
        <v>1.8597787424665904</v>
      </c>
      <c r="F76" s="81">
        <f t="shared" ref="F76:F84" si="10">(E76-1)/E76</f>
        <v>0.4623016291315824</v>
      </c>
      <c r="G76" s="80">
        <f t="shared" ref="G76:G84" si="11">D76*F76</f>
        <v>0.188711292775947</v>
      </c>
      <c r="H76" s="81">
        <f>2*'UAV_Data '!D$11*C76/(1.1*'UAV_Data '!D$8*'UAV_Data '!D$9^3*'UAV_Data '!D$7)</f>
        <v>3.8571089484927605</v>
      </c>
      <c r="I76" s="82">
        <f>'UAV_Data '!D$11/((0.5*'UAV_Data '!D$8*'UAV_Data '!D$9^3*'UAV_Data '!D$7)/C76 + ('UAV_Data '!D$6*'UAV_Data '!D$18^2)/(0.5*'UAV_Data '!D$8*'UAV_Data '!D$9)*C76)</f>
        <v>0.30383792480878202</v>
      </c>
      <c r="J76" s="82">
        <f>'UAV_Data '!D$11/($J$14+SQRT(C76)*4*('UAV_Data '!D$6^0.75)*('UAV_Data '!D$7^0.25)/(SQRT(0.5*'UAV_Data '!D$8)*3^0.75))</f>
        <v>0.15261409418581451</v>
      </c>
      <c r="K76" s="48">
        <f>'UAV_Data '!D$11*SQRT(0.5*'UAV_Data '!D$8*K$13)/(('UAV_Data '!D$22+K$15/K$13)*SQRT(C76))</f>
        <v>0.25163460621927997</v>
      </c>
    </row>
    <row r="77" spans="1:70">
      <c r="C77" s="47">
        <f t="shared" si="9"/>
        <v>65</v>
      </c>
      <c r="D77" s="80">
        <f>('UAV_Data '!D$11*SQRT(0.5*'UAV_Data '!D$8)/('UAV_Data '!D$16^3))*(('UAV_Data '!D$24^1.5)/'UAV_Data '!D$26)*SQRT(1/C77)</f>
        <v>0.39218539166059774</v>
      </c>
      <c r="E77" s="80">
        <f>EXP(1.5*'UAV_Data '!D$8*'UAV_Data '!D$5*'UAV_Data '!D$26*'UAV_Data '!D$14/C77)</f>
        <v>1.7731010567384446</v>
      </c>
      <c r="F77" s="81">
        <f t="shared" si="10"/>
        <v>0.43601635327009286</v>
      </c>
      <c r="G77" s="80">
        <f t="shared" si="11"/>
        <v>0.17099924427765692</v>
      </c>
      <c r="H77" s="81">
        <f>2*'UAV_Data '!D$11*C77/(1.1*'UAV_Data '!D$8*'UAV_Data '!D$9^3*'UAV_Data '!D$7)</f>
        <v>4.1785346942004908</v>
      </c>
      <c r="I77" s="82">
        <f>'UAV_Data '!D$11/((0.5*'UAV_Data '!D$8*'UAV_Data '!D$9^3*'UAV_Data '!D$7)/C77 + ('UAV_Data '!D$6*'UAV_Data '!D$18^2)/(0.5*'UAV_Data '!D$8*'UAV_Data '!D$9)*C77)</f>
        <v>0.28346871099283805</v>
      </c>
      <c r="J77" s="82">
        <f>'UAV_Data '!D$11/($J$14+SQRT(C77)*4*('UAV_Data '!D$6^0.75)*('UAV_Data '!D$7^0.25)/(SQRT(0.5*'UAV_Data '!D$8)*3^0.75))</f>
        <v>0.15146203811669734</v>
      </c>
      <c r="K77" s="48">
        <f>'UAV_Data '!D$11*SQRT(0.5*'UAV_Data '!D$8*K$13)/(('UAV_Data '!D$22+K$15/K$13)*SQRT(C77))</f>
        <v>0.24176270956418039</v>
      </c>
    </row>
    <row r="78" spans="1:70">
      <c r="C78" s="47">
        <f t="shared" si="9"/>
        <v>70</v>
      </c>
      <c r="D78" s="80">
        <f>('UAV_Data '!D$11*SQRT(0.5*'UAV_Data '!D$8)/('UAV_Data '!D$16^3))*(('UAV_Data '!D$24^1.5)/'UAV_Data '!D$26)*SQRT(1/C78)</f>
        <v>0.37791929964474974</v>
      </c>
      <c r="E78" s="80">
        <f>EXP(1.5*'UAV_Data '!D$8*'UAV_Data '!D$5*'UAV_Data '!D$26*'UAV_Data '!D$14/C78)</f>
        <v>1.7020284330857647</v>
      </c>
      <c r="F78" s="81">
        <f t="shared" si="10"/>
        <v>0.41246574936059821</v>
      </c>
      <c r="G78" s="80">
        <f t="shared" si="11"/>
        <v>0.15587876712580415</v>
      </c>
      <c r="H78" s="81">
        <f>2*'UAV_Data '!D$11*C78/(1.1*'UAV_Data '!D$8*'UAV_Data '!D$9^3*'UAV_Data '!D$7)</f>
        <v>4.4999604399082207</v>
      </c>
      <c r="I78" s="82">
        <f>'UAV_Data '!D$11/((0.5*'UAV_Data '!D$8*'UAV_Data '!D$9^3*'UAV_Data '!D$7)/C78 + ('UAV_Data '!D$6*'UAV_Data '!D$18^2)/(0.5*'UAV_Data '!D$8*'UAV_Data '!D$9)*C78)</f>
        <v>0.2654763374328164</v>
      </c>
      <c r="J78" s="82">
        <f>'UAV_Data '!D$11/($J$14+SQRT(C78)*4*('UAV_Data '!D$6^0.75)*('UAV_Data '!D$7^0.25)/(SQRT(0.5*'UAV_Data '!D$8)*3^0.75))</f>
        <v>0.15036980503468905</v>
      </c>
      <c r="K78" s="48">
        <f>'UAV_Data '!D$11*SQRT(0.5*'UAV_Data '!D$8*K$13)/(('UAV_Data '!D$22+K$15/K$13)*SQRT(C78))</f>
        <v>0.23296837623616046</v>
      </c>
    </row>
    <row r="79" spans="1:70">
      <c r="C79" s="47">
        <f t="shared" si="9"/>
        <v>75</v>
      </c>
      <c r="D79" s="80">
        <f>('UAV_Data '!D$11*SQRT(0.5*'UAV_Data '!D$8)/('UAV_Data '!D$16^3))*(('UAV_Data '!D$24^1.5)/'UAV_Data '!D$26)*SQRT(1/C79)</f>
        <v>0.36510473005387506</v>
      </c>
      <c r="E79" s="80">
        <f>EXP(1.5*'UAV_Data '!D$8*'UAV_Data '!D$5*'UAV_Data '!D$26*'UAV_Data '!D$14/C79)</f>
        <v>1.6427407237341889</v>
      </c>
      <c r="F79" s="81">
        <f t="shared" si="10"/>
        <v>0.39126121027373428</v>
      </c>
      <c r="G79" s="80">
        <f t="shared" si="11"/>
        <v>0.14285131855754421</v>
      </c>
      <c r="H79" s="81">
        <f>2*'UAV_Data '!D$11*C79/(1.1*'UAV_Data '!D$8*'UAV_Data '!D$9^3*'UAV_Data '!D$7)</f>
        <v>4.8213861856159506</v>
      </c>
      <c r="I79" s="82">
        <f>'UAV_Data '!D$11/((0.5*'UAV_Data '!D$8*'UAV_Data '!D$9^3*'UAV_Data '!D$7)/C79 + ('UAV_Data '!D$6*'UAV_Data '!D$18^2)/(0.5*'UAV_Data '!D$8*'UAV_Data '!D$9)*C79)</f>
        <v>0.2495026207536778</v>
      </c>
      <c r="J79" s="82">
        <f>'UAV_Data '!D$11/($J$14+SQRT(C79)*4*('UAV_Data '!D$6^0.75)*('UAV_Data '!D$7^0.25)/(SQRT(0.5*'UAV_Data '!D$8)*3^0.75))</f>
        <v>0.14933076144829047</v>
      </c>
      <c r="K79" s="48">
        <f>'UAV_Data '!D$11*SQRT(0.5*'UAV_Data '!D$8*K$13)/(('UAV_Data '!D$22+K$15/K$13)*SQRT(C79))</f>
        <v>0.22506883399908048</v>
      </c>
    </row>
    <row r="80" spans="1:70">
      <c r="C80" s="47">
        <f t="shared" si="9"/>
        <v>80</v>
      </c>
      <c r="D80" s="80">
        <f>('UAV_Data '!D$11*SQRT(0.5*'UAV_Data '!D$8)/('UAV_Data '!D$16^3))*(('UAV_Data '!D$24^1.5)/'UAV_Data '!D$26)*SQRT(1/C80)</f>
        <v>0.35351113478005314</v>
      </c>
      <c r="E80" s="80">
        <f>EXP(1.5*'UAV_Data '!D$8*'UAV_Data '!D$5*'UAV_Data '!D$26*'UAV_Data '!D$14/C80)</f>
        <v>1.5925605723281198</v>
      </c>
      <c r="F80" s="81">
        <f t="shared" si="10"/>
        <v>0.37208039846288044</v>
      </c>
      <c r="G80" s="80">
        <f t="shared" si="11"/>
        <v>0.13153456389002721</v>
      </c>
      <c r="H80" s="81">
        <f>2*'UAV_Data '!D$11*C80/(1.1*'UAV_Data '!D$8*'UAV_Data '!D$9^3*'UAV_Data '!D$7)</f>
        <v>5.1428119313236804</v>
      </c>
      <c r="I80" s="82">
        <f>'UAV_Data '!D$11/((0.5*'UAV_Data '!D$8*'UAV_Data '!D$9^3*'UAV_Data '!D$7)/C80 + ('UAV_Data '!D$6*'UAV_Data '!D$18^2)/(0.5*'UAV_Data '!D$8*'UAV_Data '!D$9)*C80)</f>
        <v>0.23524887665508884</v>
      </c>
      <c r="J80" s="82">
        <f>'UAV_Data '!D$11/($J$14+SQRT(C80)*4*('UAV_Data '!D$6^0.75)*('UAV_Data '!D$7^0.25)/(SQRT(0.5*'UAV_Data '!D$8)*3^0.75))</f>
        <v>0.14833938252599888</v>
      </c>
      <c r="K80" s="48">
        <f>'UAV_Data '!D$11*SQRT(0.5*'UAV_Data '!D$8*K$13)/(('UAV_Data '!D$22+K$15/K$13)*SQRT(C80))</f>
        <v>0.21792196145719012</v>
      </c>
    </row>
    <row r="81" spans="3:11">
      <c r="C81" s="47">
        <f t="shared" si="9"/>
        <v>85</v>
      </c>
      <c r="D81" s="80">
        <f>('UAV_Data '!D$11*SQRT(0.5*'UAV_Data '!D$8)/('UAV_Data '!D$16^3))*(('UAV_Data '!D$24^1.5)/'UAV_Data '!D$26)*SQRT(1/C81)</f>
        <v>0.34295617612473411</v>
      </c>
      <c r="E81" s="80">
        <f>EXP(1.5*'UAV_Data '!D$8*'UAV_Data '!D$5*'UAV_Data '!D$26*'UAV_Data '!D$14/C81)</f>
        <v>1.5495584472996562</v>
      </c>
      <c r="F81" s="81">
        <f t="shared" si="10"/>
        <v>0.35465486846097755</v>
      </c>
      <c r="G81" s="80">
        <f t="shared" si="11"/>
        <v>0.12163107753139743</v>
      </c>
      <c r="H81" s="81">
        <f>2*'UAV_Data '!D$11*C81/(1.1*'UAV_Data '!D$8*'UAV_Data '!D$9^3*'UAV_Data '!D$7)</f>
        <v>5.4642376770314103</v>
      </c>
      <c r="I81" s="82">
        <f>'UAV_Data '!D$11/((0.5*'UAV_Data '!D$8*'UAV_Data '!D$9^3*'UAV_Data '!D$7)/C81 + ('UAV_Data '!D$6*'UAV_Data '!D$18^2)/(0.5*'UAV_Data '!D$8*'UAV_Data '!D$9)*C81)</f>
        <v>0.22246707748367886</v>
      </c>
      <c r="J81" s="82">
        <f>'UAV_Data '!D$11/($J$14+SQRT(C81)*4*('UAV_Data '!D$6^0.75)*('UAV_Data '!D$7^0.25)/(SQRT(0.5*'UAV_Data '!D$8)*3^0.75))</f>
        <v>0.14739101072774141</v>
      </c>
      <c r="K81" s="48">
        <f>'UAV_Data '!D$11*SQRT(0.5*'UAV_Data '!D$8*K$13)/(('UAV_Data '!D$22+K$15/K$13)*SQRT(C81))</f>
        <v>0.2114153565246531</v>
      </c>
    </row>
    <row r="82" spans="3:11">
      <c r="C82" s="47">
        <f t="shared" si="9"/>
        <v>90</v>
      </c>
      <c r="D82" s="80">
        <f>('UAV_Data '!D$11*SQRT(0.5*'UAV_Data '!D$8)/('UAV_Data '!D$16^3))*(('UAV_Data '!D$24^1.5)/'UAV_Data '!D$26)*SQRT(1/C82)</f>
        <v>0.33329349417056953</v>
      </c>
      <c r="E82" s="80">
        <f>EXP(1.5*'UAV_Data '!D$8*'UAV_Data '!D$5*'UAV_Data '!D$26*'UAV_Data '!D$14/C82)</f>
        <v>1.5123101010124569</v>
      </c>
      <c r="F82" s="81">
        <f t="shared" si="10"/>
        <v>0.33875995450237162</v>
      </c>
      <c r="G82" s="80">
        <f t="shared" si="11"/>
        <v>0.11290648892115859</v>
      </c>
      <c r="H82" s="81">
        <f>2*'UAV_Data '!D$11*C82/(1.1*'UAV_Data '!D$8*'UAV_Data '!D$9^3*'UAV_Data '!D$7)</f>
        <v>5.785663422739141</v>
      </c>
      <c r="I82" s="82">
        <f>'UAV_Data '!D$11/((0.5*'UAV_Data '!D$8*'UAV_Data '!D$9^3*'UAV_Data '!D$7)/C82 + ('UAV_Data '!D$6*'UAV_Data '!D$18^2)/(0.5*'UAV_Data '!D$8*'UAV_Data '!D$9)*C82)</f>
        <v>0.21095122447540093</v>
      </c>
      <c r="J82" s="82">
        <f>'UAV_Data '!D$11/($J$14+SQRT(C82)*4*('UAV_Data '!D$6^0.75)*('UAV_Data '!D$7^0.25)/(SQRT(0.5*'UAV_Data '!D$8)*3^0.75))</f>
        <v>0.14648167787921429</v>
      </c>
      <c r="K82" s="48">
        <f>'UAV_Data '!D$11*SQRT(0.5*'UAV_Data '!D$8*K$13)/(('UAV_Data '!D$22+K$15/K$13)*SQRT(C82))</f>
        <v>0.20545879562113675</v>
      </c>
    </row>
    <row r="83" spans="3:11">
      <c r="C83" s="47">
        <f t="shared" si="9"/>
        <v>95</v>
      </c>
      <c r="D83" s="80">
        <f>('UAV_Data '!D$11*SQRT(0.5*'UAV_Data '!D$8)/('UAV_Data '!D$16^3))*(('UAV_Data '!D$24^1.5)/'UAV_Data '!D$26)*SQRT(1/C83)</f>
        <v>0.32440406566792385</v>
      </c>
      <c r="E83" s="80">
        <f>EXP(1.5*'UAV_Data '!D$8*'UAV_Data '!D$5*'UAV_Data '!D$26*'UAV_Data '!D$14/C83)</f>
        <v>1.4797422401061409</v>
      </c>
      <c r="F83" s="81">
        <f t="shared" si="10"/>
        <v>0.32420662673772782</v>
      </c>
      <c r="G83" s="80">
        <f t="shared" si="11"/>
        <v>0.10517394783020192</v>
      </c>
      <c r="H83" s="81">
        <f>2*'UAV_Data '!D$11*C83/(1.1*'UAV_Data '!D$8*'UAV_Data '!D$9^3*'UAV_Data '!D$7)</f>
        <v>6.1070891684468709</v>
      </c>
      <c r="I83" s="82">
        <f>'UAV_Data '!D$11/((0.5*'UAV_Data '!D$8*'UAV_Data '!D$9^3*'UAV_Data '!D$7)/C83 + ('UAV_Data '!D$6*'UAV_Data '!D$18^2)/(0.5*'UAV_Data '!D$8*'UAV_Data '!D$9)*C83)</f>
        <v>0.20052978329995991</v>
      </c>
      <c r="J83" s="82">
        <f>'UAV_Data '!D$11/($J$14+SQRT(C83)*4*('UAV_Data '!D$6^0.75)*('UAV_Data '!D$7^0.25)/(SQRT(0.5*'UAV_Data '!D$8)*3^0.75))</f>
        <v>0.14560797145254434</v>
      </c>
      <c r="K83" s="48">
        <f>'UAV_Data '!D$11*SQRT(0.5*'UAV_Data '!D$8*K$13)/(('UAV_Data '!D$22+K$15/K$13)*SQRT(C83))</f>
        <v>0.19997890685685421</v>
      </c>
    </row>
    <row r="84" spans="3:11">
      <c r="C84" s="47">
        <f t="shared" si="9"/>
        <v>100</v>
      </c>
      <c r="D84" s="80">
        <f>('UAV_Data '!D$11*SQRT(0.5*'UAV_Data '!D$8)/('UAV_Data '!D$16^3))*(('UAV_Data '!D$24^1.5)/'UAV_Data '!D$26)*SQRT(1/C84)</f>
        <v>0.31618997126851561</v>
      </c>
      <c r="E84" s="80">
        <f>EXP(1.5*'UAV_Data '!D$8*'UAV_Data '!D$5*'UAV_Data '!D$26*'UAV_Data '!D$14/C84)</f>
        <v>1.4510312564577583</v>
      </c>
      <c r="F84" s="81">
        <f t="shared" si="10"/>
        <v>0.3108349695779889</v>
      </c>
      <c r="G84" s="80">
        <f t="shared" si="11"/>
        <v>9.8282900100114229E-2</v>
      </c>
      <c r="H84" s="81">
        <f>2*'UAV_Data '!D$11*C84/(1.1*'UAV_Data '!D$8*'UAV_Data '!D$9^3*'UAV_Data '!D$7)</f>
        <v>6.4285149141546007</v>
      </c>
      <c r="I84" s="82">
        <f>'UAV_Data '!D$11/((0.5*'UAV_Data '!D$8*'UAV_Data '!D$9^3*'UAV_Data '!D$7)/C84 + ('UAV_Data '!D$6*'UAV_Data '!D$18^2)/(0.5*'UAV_Data '!D$8*'UAV_Data '!D$9)*C84)</f>
        <v>0.19105935824912809</v>
      </c>
      <c r="J84" s="82">
        <f>'UAV_Data '!D$11/($J$14+SQRT(C84)*4*('UAV_Data '!D$6^0.75)*('UAV_Data '!D$7^0.25)/(SQRT(0.5*'UAV_Data '!D$8)*3^0.75))</f>
        <v>0.14476693234690868</v>
      </c>
      <c r="K84" s="48">
        <f>'UAV_Data '!D$11*SQRT(0.5*'UAV_Data '!D$8*K$13)/(('UAV_Data '!D$22+K$15/K$13)*SQRT(C84))</f>
        <v>0.1949153278433465</v>
      </c>
    </row>
    <row r="85" spans="3:11">
      <c r="C85" s="47">
        <f t="shared" si="9"/>
        <v>105</v>
      </c>
      <c r="D85" s="80">
        <f>('UAV_Data '!D$11*SQRT(0.5*'UAV_Data '!D$8)/('UAV_Data '!D$16^3))*(('UAV_Data '!D$24^1.5)/'UAV_Data '!D$26)*SQRT(1/C85)</f>
        <v>0.30856981602653899</v>
      </c>
      <c r="E85" s="80">
        <f>EXP(1.5*'UAV_Data '!D$8*'UAV_Data '!D$5*'UAV_Data '!D$26*'UAV_Data '!D$14/C85)</f>
        <v>1.4255349647569286</v>
      </c>
      <c r="F85" s="81">
        <f t="shared" ref="F85:F101" si="12">(E85-1)/E85</f>
        <v>0.29850896349602174</v>
      </c>
      <c r="G85" s="80">
        <f t="shared" ref="G85:G101" si="13">D85*F85</f>
        <v>9.2110855948240269E-2</v>
      </c>
      <c r="H85" s="81">
        <f>2*'UAV_Data '!D$11*C85/(1.1*'UAV_Data '!D$8*'UAV_Data '!D$9^3*'UAV_Data '!D$7)</f>
        <v>6.7499406598623306</v>
      </c>
      <c r="I85" s="82">
        <f>'UAV_Data '!D$11/((0.5*'UAV_Data '!D$8*'UAV_Data '!D$9^3*'UAV_Data '!D$7)/C85 + ('UAV_Data '!D$6*'UAV_Data '!D$18^2)/(0.5*'UAV_Data '!D$8*'UAV_Data '!D$9)*C85)</f>
        <v>0.18241952149667301</v>
      </c>
      <c r="J85" s="82">
        <f>'UAV_Data '!D$11/($J$14+SQRT(C85)*4*('UAV_Data '!D$6^0.75)*('UAV_Data '!D$7^0.25)/(SQRT(0.5*'UAV_Data '!D$8)*3^0.75))</f>
        <v>0.14395597556246167</v>
      </c>
      <c r="K85" s="48">
        <f>'UAV_Data '!D$11*SQRT(0.5*'UAV_Data '!D$8*K$13)/(('UAV_Data '!D$22+K$15/K$13)*SQRT(C85))</f>
        <v>0.19021788266110912</v>
      </c>
    </row>
    <row r="86" spans="3:11">
      <c r="C86" s="47">
        <f t="shared" si="9"/>
        <v>110</v>
      </c>
      <c r="D86" s="80">
        <f>('UAV_Data '!D$11*SQRT(0.5*'UAV_Data '!D$8)/('UAV_Data '!D$16^3))*(('UAV_Data '!D$24^1.5)/'UAV_Data '!D$26)*SQRT(1/C86)</f>
        <v>0.30147530869916828</v>
      </c>
      <c r="E86" s="80">
        <f>EXP(1.5*'UAV_Data '!D$8*'UAV_Data '!D$5*'UAV_Data '!D$26*'UAV_Data '!D$14/C86)</f>
        <v>1.4027454854194679</v>
      </c>
      <c r="F86" s="81">
        <f t="shared" si="12"/>
        <v>0.28711230198615356</v>
      </c>
      <c r="G86" s="80">
        <f t="shared" si="13"/>
        <v>8.6557269872604467E-2</v>
      </c>
      <c r="H86" s="81">
        <f>2*'UAV_Data '!D$11*C86/(1.1*'UAV_Data '!D$8*'UAV_Data '!D$9^3*'UAV_Data '!D$7)</f>
        <v>7.0713664055700605</v>
      </c>
      <c r="I86" s="82">
        <f>'UAV_Data '!D$11/((0.5*'UAV_Data '!D$8*'UAV_Data '!D$9^3*'UAV_Data '!D$7)/C86 + ('UAV_Data '!D$6*'UAV_Data '!D$18^2)/(0.5*'UAV_Data '!D$8*'UAV_Data '!D$9)*C86)</f>
        <v>0.17450863182455509</v>
      </c>
      <c r="J86" s="82">
        <f>'UAV_Data '!D$11/($J$14+SQRT(C86)*4*('UAV_Data '!D$6^0.75)*('UAV_Data '!D$7^0.25)/(SQRT(0.5*'UAV_Data '!D$8)*3^0.75))</f>
        <v>0.14317282780686647</v>
      </c>
      <c r="K86" s="48">
        <f>'UAV_Data '!D$11*SQRT(0.5*'UAV_Data '!D$8*K$13)/(('UAV_Data '!D$22+K$15/K$13)*SQRT(C86))</f>
        <v>0.18584447316917066</v>
      </c>
    </row>
    <row r="87" spans="3:11">
      <c r="C87" s="47">
        <f t="shared" si="9"/>
        <v>115</v>
      </c>
      <c r="D87" s="80">
        <f>('UAV_Data '!D$11*SQRT(0.5*'UAV_Data '!D$8)/('UAV_Data '!D$16^3))*(('UAV_Data '!D$24^1.5)/'UAV_Data '!D$26)*SQRT(1/C87)</f>
        <v>0.29484866852525743</v>
      </c>
      <c r="E87" s="80">
        <f>EXP(1.5*'UAV_Data '!D$8*'UAV_Data '!D$5*'UAV_Data '!D$26*'UAV_Data '!D$14/C87)</f>
        <v>1.3822560312151477</v>
      </c>
      <c r="F87" s="81">
        <f t="shared" si="12"/>
        <v>0.27654502681323423</v>
      </c>
      <c r="G87" s="80">
        <f t="shared" si="13"/>
        <v>8.1538932943163722E-2</v>
      </c>
      <c r="H87" s="81">
        <f>2*'UAV_Data '!D$11*C87/(1.1*'UAV_Data '!D$8*'UAV_Data '!D$9^3*'UAV_Data '!D$7)</f>
        <v>7.3927921512777912</v>
      </c>
      <c r="I87" s="82">
        <f>'UAV_Data '!D$11/((0.5*'UAV_Data '!D$8*'UAV_Data '!D$9^3*'UAV_Data '!D$7)/C87 + ('UAV_Data '!D$6*'UAV_Data '!D$18^2)/(0.5*'UAV_Data '!D$8*'UAV_Data '!D$9)*C87)</f>
        <v>0.16724046783027946</v>
      </c>
      <c r="J87" s="82">
        <f>'UAV_Data '!D$11/($J$14+SQRT(C87)*4*('UAV_Data '!D$6^0.75)*('UAV_Data '!D$7^0.25)/(SQRT(0.5*'UAV_Data '!D$8)*3^0.75))</f>
        <v>0.14241547782373515</v>
      </c>
      <c r="K87" s="48">
        <f>'UAV_Data '!D$11*SQRT(0.5*'UAV_Data '!D$8*K$13)/(('UAV_Data '!D$22+K$15/K$13)*SQRT(C87))</f>
        <v>0.18175948041365772</v>
      </c>
    </row>
    <row r="88" spans="3:11">
      <c r="C88" s="47">
        <f t="shared" si="9"/>
        <v>120</v>
      </c>
      <c r="D88" s="80">
        <f>('UAV_Data '!D$11*SQRT(0.5*'UAV_Data '!D$8)/('UAV_Data '!D$16^3))*(('UAV_Data '!D$24^1.5)/'UAV_Data '!D$26)*SQRT(1/C88)</f>
        <v>0.2886406328677939</v>
      </c>
      <c r="E88" s="80">
        <f>EXP(1.5*'UAV_Data '!D$8*'UAV_Data '!D$5*'UAV_Data '!D$26*'UAV_Data '!D$14/C88)</f>
        <v>1.3637370503387338</v>
      </c>
      <c r="F88" s="81">
        <f t="shared" si="12"/>
        <v>0.2667208097399616</v>
      </c>
      <c r="G88" s="80">
        <f t="shared" si="13"/>
        <v>7.6986463322352969E-2</v>
      </c>
      <c r="H88" s="81">
        <f>2*'UAV_Data '!D$11*C88/(1.1*'UAV_Data '!D$8*'UAV_Data '!D$9^3*'UAV_Data '!D$7)</f>
        <v>7.7142178969855211</v>
      </c>
      <c r="I88" s="82">
        <f>'UAV_Data '!D$11/((0.5*'UAV_Data '!D$8*'UAV_Data '!D$9^3*'UAV_Data '!D$7)/C88 + ('UAV_Data '!D$6*'UAV_Data '!D$18^2)/(0.5*'UAV_Data '!D$8*'UAV_Data '!D$9)*C88)</f>
        <v>0.16054151831749133</v>
      </c>
      <c r="J88" s="82">
        <f>'UAV_Data '!D$11/($J$14+SQRT(C88)*4*('UAV_Data '!D$6^0.75)*('UAV_Data '!D$7^0.25)/(SQRT(0.5*'UAV_Data '!D$8)*3^0.75))</f>
        <v>0.14168213641527791</v>
      </c>
      <c r="K88" s="48">
        <f>'UAV_Data '!D$11*SQRT(0.5*'UAV_Data '!D$8*K$13)/(('UAV_Data '!D$22+K$15/K$13)*SQRT(C88))</f>
        <v>0.17793253643885945</v>
      </c>
    </row>
    <row r="89" spans="3:11">
      <c r="C89" s="47">
        <f t="shared" si="9"/>
        <v>125</v>
      </c>
      <c r="D89" s="80">
        <f>('UAV_Data '!D$11*SQRT(0.5*'UAV_Data '!D$8)/('UAV_Data '!D$16^3))*(('UAV_Data '!D$24^1.5)/'UAV_Data '!D$26)*SQRT(1/C89)</f>
        <v>0.2828089078240425</v>
      </c>
      <c r="E89" s="80">
        <f>EXP(1.5*'UAV_Data '!D$8*'UAV_Data '!D$5*'UAV_Data '!D$26*'UAV_Data '!D$14/C89)</f>
        <v>1.3469187979669306</v>
      </c>
      <c r="F89" s="81">
        <f t="shared" si="12"/>
        <v>0.25756474591532735</v>
      </c>
      <c r="G89" s="80">
        <f t="shared" si="13"/>
        <v>7.2841604486290734E-2</v>
      </c>
      <c r="H89" s="81">
        <f>2*'UAV_Data '!D$11*C89/(1.1*'UAV_Data '!D$8*'UAV_Data '!D$9^3*'UAV_Data '!D$7)</f>
        <v>8.03564364269325</v>
      </c>
      <c r="I89" s="82">
        <f>'UAV_Data '!D$11/((0.5*'UAV_Data '!D$8*'UAV_Data '!D$9^3*'UAV_Data '!D$7)/C89 + ('UAV_Data '!D$6*'UAV_Data '!D$18^2)/(0.5*'UAV_Data '!D$8*'UAV_Data '!D$9)*C89)</f>
        <v>0.15434879780322608</v>
      </c>
      <c r="J89" s="82">
        <f>'UAV_Data '!D$11/($J$14+SQRT(C89)*4*('UAV_Data '!D$6^0.75)*('UAV_Data '!D$7^0.25)/(SQRT(0.5*'UAV_Data '!D$8)*3^0.75))</f>
        <v>0.14097120394700108</v>
      </c>
      <c r="K89" s="48">
        <f>'UAV_Data '!D$11*SQRT(0.5*'UAV_Data '!D$8*K$13)/(('UAV_Data '!D$22+K$15/K$13)*SQRT(C89))</f>
        <v>0.1743375691657521</v>
      </c>
    </row>
    <row r="90" spans="3:11">
      <c r="C90" s="47">
        <f t="shared" si="9"/>
        <v>130</v>
      </c>
      <c r="D90" s="80">
        <f>('UAV_Data '!D$11*SQRT(0.5*'UAV_Data '!D$8)/('UAV_Data '!D$16^3))*(('UAV_Data '!D$24^1.5)/'UAV_Data '!D$26)*SQRT(1/C90)</f>
        <v>0.27731694992551076</v>
      </c>
      <c r="E90" s="80">
        <f>EXP(1.5*'UAV_Data '!D$8*'UAV_Data '!D$5*'UAV_Data '!D$26*'UAV_Data '!D$14/C90)</f>
        <v>1.3315784080325292</v>
      </c>
      <c r="F90" s="81">
        <f t="shared" si="12"/>
        <v>0.24901155353101001</v>
      </c>
      <c r="G90" s="80">
        <f t="shared" si="13"/>
        <v>6.905512452143274E-2</v>
      </c>
      <c r="H90" s="81">
        <f>2*'UAV_Data '!D$11*C90/(1.1*'UAV_Data '!D$8*'UAV_Data '!D$9^3*'UAV_Data '!D$7)</f>
        <v>8.3570693884009817</v>
      </c>
      <c r="I90" s="82">
        <f>'UAV_Data '!D$11/((0.5*'UAV_Data '!D$8*'UAV_Data '!D$9^3*'UAV_Data '!D$7)/C90 + ('UAV_Data '!D$6*'UAV_Data '!D$18^2)/(0.5*'UAV_Data '!D$8*'UAV_Data '!D$9)*C90)</f>
        <v>0.14860807993437006</v>
      </c>
      <c r="J90" s="82">
        <f>'UAV_Data '!D$11/($J$14+SQRT(C90)*4*('UAV_Data '!D$6^0.75)*('UAV_Data '!D$7^0.25)/(SQRT(0.5*'UAV_Data '!D$8)*3^0.75))</f>
        <v>0.14028124369456452</v>
      </c>
      <c r="K90" s="48">
        <f>'UAV_Data '!D$11*SQRT(0.5*'UAV_Data '!D$8*K$13)/(('UAV_Data '!D$22+K$15/K$13)*SQRT(C90))</f>
        <v>0.17095205137086572</v>
      </c>
    </row>
    <row r="91" spans="3:11">
      <c r="C91" s="47">
        <f t="shared" si="9"/>
        <v>135</v>
      </c>
      <c r="D91" s="80">
        <f>('UAV_Data '!D$11*SQRT(0.5*'UAV_Data '!D$8)/('UAV_Data '!D$16^3))*(('UAV_Data '!D$24^1.5)/'UAV_Data '!D$26)*SQRT(1/C91)</f>
        <v>0.27213299843572497</v>
      </c>
      <c r="E91" s="80">
        <f>EXP(1.5*'UAV_Data '!D$8*'UAV_Data '!D$5*'UAV_Data '!D$26*'UAV_Data '!D$14/C91)</f>
        <v>1.3175301691988552</v>
      </c>
      <c r="F91" s="81">
        <f t="shared" si="12"/>
        <v>0.24100409738012635</v>
      </c>
      <c r="G91" s="80">
        <f t="shared" si="13"/>
        <v>6.5585167655349233E-2</v>
      </c>
      <c r="H91" s="81">
        <f>2*'UAV_Data '!D$11*C91/(1.1*'UAV_Data '!D$8*'UAV_Data '!D$9^3*'UAV_Data '!D$7)</f>
        <v>8.6784951341087115</v>
      </c>
      <c r="I91" s="82">
        <f>'UAV_Data '!D$11/((0.5*'UAV_Data '!D$8*'UAV_Data '!D$9^3*'UAV_Data '!D$7)/C91 + ('UAV_Data '!D$6*'UAV_Data '!D$18^2)/(0.5*'UAV_Data '!D$8*'UAV_Data '!D$9)*C91)</f>
        <v>0.14327246329114401</v>
      </c>
      <c r="J91" s="82">
        <f>'UAV_Data '!D$11/($J$14+SQRT(C91)*4*('UAV_Data '!D$6^0.75)*('UAV_Data '!D$7^0.25)/(SQRT(0.5*'UAV_Data '!D$8)*3^0.75))</f>
        <v>0.13961095980098331</v>
      </c>
      <c r="K91" s="48">
        <f>'UAV_Data '!D$11*SQRT(0.5*'UAV_Data '!D$8*K$13)/(('UAV_Data '!D$22+K$15/K$13)*SQRT(C91))</f>
        <v>0.16775640414618664</v>
      </c>
    </row>
    <row r="92" spans="3:11">
      <c r="C92" s="47">
        <f t="shared" si="9"/>
        <v>140</v>
      </c>
      <c r="D92" s="80">
        <f>('UAV_Data '!D$11*SQRT(0.5*'UAV_Data '!D$8)/('UAV_Data '!D$16^3))*(('UAV_Data '!D$24^1.5)/'UAV_Data '!D$26)*SQRT(1/C92)</f>
        <v>0.26722929952007335</v>
      </c>
      <c r="E92" s="80">
        <f>EXP(1.5*'UAV_Data '!D$8*'UAV_Data '!D$5*'UAV_Data '!D$26*'UAV_Data '!D$14/C92)</f>
        <v>1.3046181177209539</v>
      </c>
      <c r="F92" s="81">
        <f t="shared" si="12"/>
        <v>0.23349217183423249</v>
      </c>
      <c r="G92" s="80">
        <f t="shared" si="13"/>
        <v>6.2395949522682549E-2</v>
      </c>
      <c r="H92" s="81">
        <f>2*'UAV_Data '!D$11*C92/(1.1*'UAV_Data '!D$8*'UAV_Data '!D$9^3*'UAV_Data '!D$7)</f>
        <v>8.9999208798164414</v>
      </c>
      <c r="I92" s="82">
        <f>'UAV_Data '!D$11/((0.5*'UAV_Data '!D$8*'UAV_Data '!D$9^3*'UAV_Data '!D$7)/C92 + ('UAV_Data '!D$6*'UAV_Data '!D$18^2)/(0.5*'UAV_Data '!D$8*'UAV_Data '!D$9)*C92)</f>
        <v>0.13830120194840409</v>
      </c>
      <c r="J92" s="82">
        <f>'UAV_Data '!D$11/($J$14+SQRT(C92)*4*('UAV_Data '!D$6^0.75)*('UAV_Data '!D$7^0.25)/(SQRT(0.5*'UAV_Data '!D$8)*3^0.75))</f>
        <v>0.13895917890764964</v>
      </c>
      <c r="K92" s="48">
        <f>'UAV_Data '!D$11*SQRT(0.5*'UAV_Data '!D$8*K$13)/(('UAV_Data '!D$22+K$15/K$13)*SQRT(C92))</f>
        <v>0.164733518638608</v>
      </c>
    </row>
    <row r="93" spans="3:11">
      <c r="C93" s="47">
        <f t="shared" si="9"/>
        <v>145</v>
      </c>
      <c r="D93" s="80">
        <f>('UAV_Data '!D$11*SQRT(0.5*'UAV_Data '!D$8)/('UAV_Data '!D$16^3))*(('UAV_Data '!D$24^1.5)/'UAV_Data '!D$26)*SQRT(1/C93)</f>
        <v>0.2625814788893413</v>
      </c>
      <c r="E93" s="80">
        <f>EXP(1.5*'UAV_Data '!D$8*'UAV_Data '!D$5*'UAV_Data '!D$26*'UAV_Data '!D$14/C93)</f>
        <v>1.2927103293788598</v>
      </c>
      <c r="F93" s="81">
        <f t="shared" si="12"/>
        <v>0.22643149259858197</v>
      </c>
      <c r="G93" s="80">
        <f t="shared" si="13"/>
        <v>5.945671619365659E-2</v>
      </c>
      <c r="H93" s="81">
        <f>2*'UAV_Data '!D$11*C93/(1.1*'UAV_Data '!D$8*'UAV_Data '!D$9^3*'UAV_Data '!D$7)</f>
        <v>9.3213466255241713</v>
      </c>
      <c r="I93" s="82">
        <f>'UAV_Data '!D$11/((0.5*'UAV_Data '!D$8*'UAV_Data '!D$9^3*'UAV_Data '!D$7)/C93 + ('UAV_Data '!D$6*'UAV_Data '!D$18^2)/(0.5*'UAV_Data '!D$8*'UAV_Data '!D$9)*C93)</f>
        <v>0.1336587475126228</v>
      </c>
      <c r="J93" s="82">
        <f>'UAV_Data '!D$11/($J$14+SQRT(C93)*4*('UAV_Data '!D$6^0.75)*('UAV_Data '!D$7^0.25)/(SQRT(0.5*'UAV_Data '!D$8)*3^0.75))</f>
        <v>0.13832483473921692</v>
      </c>
      <c r="K93" s="48">
        <f>'UAV_Data '!D$11*SQRT(0.5*'UAV_Data '!D$8*K$13)/(('UAV_Data '!D$22+K$15/K$13)*SQRT(C93))</f>
        <v>0.16186836931599755</v>
      </c>
    </row>
    <row r="94" spans="3:11">
      <c r="C94" s="47">
        <f t="shared" si="9"/>
        <v>150</v>
      </c>
      <c r="D94" s="80">
        <f>('UAV_Data '!D$11*SQRT(0.5*'UAV_Data '!D$8)/('UAV_Data '!D$16^3))*(('UAV_Data '!D$24^1.5)/'UAV_Data '!D$26)*SQRT(1/C94)</f>
        <v>0.25816803046437892</v>
      </c>
      <c r="E94" s="80">
        <f>EXP(1.5*'UAV_Data '!D$8*'UAV_Data '!D$5*'UAV_Data '!D$26*'UAV_Data '!D$14/C94)</f>
        <v>1.2816944736301974</v>
      </c>
      <c r="F94" s="81">
        <f t="shared" si="12"/>
        <v>0.21978285732351036</v>
      </c>
      <c r="G94" s="80">
        <f t="shared" si="13"/>
        <v>5.6740907405044269E-2</v>
      </c>
      <c r="H94" s="81">
        <f>2*'UAV_Data '!D$11*C94/(1.1*'UAV_Data '!D$8*'UAV_Data '!D$9^3*'UAV_Data '!D$7)</f>
        <v>9.6427723712319011</v>
      </c>
      <c r="I94" s="82">
        <f>'UAV_Data '!D$11/((0.5*'UAV_Data '!D$8*'UAV_Data '!D$9^3*'UAV_Data '!D$7)/C94 + ('UAV_Data '!D$6*'UAV_Data '!D$18^2)/(0.5*'UAV_Data '!D$8*'UAV_Data '!D$9)*C94)</f>
        <v>0.12931396068228099</v>
      </c>
      <c r="J94" s="82">
        <f>'UAV_Data '!D$11/($J$14+SQRT(C94)*4*('UAV_Data '!D$6^0.75)*('UAV_Data '!D$7^0.25)/(SQRT(0.5*'UAV_Data '!D$8)*3^0.75))</f>
        <v>0.13770695508319453</v>
      </c>
      <c r="K94" s="48">
        <f>'UAV_Data '!D$11*SQRT(0.5*'UAV_Data '!D$8*K$13)/(('UAV_Data '!D$22+K$15/K$13)*SQRT(C94))</f>
        <v>0.15914769875449922</v>
      </c>
    </row>
    <row r="95" spans="3:11">
      <c r="C95" s="47">
        <f t="shared" si="9"/>
        <v>155</v>
      </c>
      <c r="D95" s="80">
        <f>('UAV_Data '!D$11*SQRT(0.5*'UAV_Data '!D$8)/('UAV_Data '!D$16^3))*(('UAV_Data '!D$24^1.5)/'UAV_Data '!D$26)*SQRT(1/C95)</f>
        <v>0.25396989652799751</v>
      </c>
      <c r="E95" s="80">
        <f>EXP(1.5*'UAV_Data '!D$8*'UAV_Data '!D$5*'UAV_Data '!D$26*'UAV_Data '!D$14/C95)</f>
        <v>1.2714743166793614</v>
      </c>
      <c r="F95" s="81">
        <f t="shared" si="12"/>
        <v>0.21351144346222875</v>
      </c>
      <c r="G95" s="80">
        <f t="shared" si="13"/>
        <v>5.4225479203645628E-2</v>
      </c>
      <c r="H95" s="81">
        <f>2*'UAV_Data '!D$11*C95/(1.1*'UAV_Data '!D$8*'UAV_Data '!D$9^3*'UAV_Data '!D$7)</f>
        <v>9.964198116939631</v>
      </c>
      <c r="I95" s="82">
        <f>'UAV_Data '!D$11/((0.5*'UAV_Data '!D$8*'UAV_Data '!D$9^3*'UAV_Data '!D$7)/C95 + ('UAV_Data '!D$6*'UAV_Data '!D$18^2)/(0.5*'UAV_Data '!D$8*'UAV_Data '!D$9)*C95)</f>
        <v>0.12523945925709273</v>
      </c>
      <c r="J95" s="82">
        <f>'UAV_Data '!D$11/($J$14+SQRT(C95)*4*('UAV_Data '!D$6^0.75)*('UAV_Data '!D$7^0.25)/(SQRT(0.5*'UAV_Data '!D$8)*3^0.75))</f>
        <v>0.13710465072586772</v>
      </c>
      <c r="K95" s="48">
        <f>'UAV_Data '!D$11*SQRT(0.5*'UAV_Data '!D$8*K$13)/(('UAV_Data '!D$22+K$15/K$13)*SQRT(C95))</f>
        <v>0.15655975882314332</v>
      </c>
    </row>
    <row r="96" spans="3:11">
      <c r="C96" s="47">
        <f t="shared" si="9"/>
        <v>160</v>
      </c>
      <c r="D96" s="80">
        <f>('UAV_Data '!D$11*SQRT(0.5*'UAV_Data '!D$8)/('UAV_Data '!D$16^3))*(('UAV_Data '!D$24^1.5)/'UAV_Data '!D$26)*SQRT(1/C96)</f>
        <v>0.24997012062792714</v>
      </c>
      <c r="E96" s="80">
        <f>EXP(1.5*'UAV_Data '!D$8*'UAV_Data '!D$5*'UAV_Data '!D$26*'UAV_Data '!D$14/C96)</f>
        <v>1.2619669458143981</v>
      </c>
      <c r="F96" s="81">
        <f t="shared" si="12"/>
        <v>0.20758621823120751</v>
      </c>
      <c r="G96" s="80">
        <f t="shared" si="13"/>
        <v>5.189035201195015E-2</v>
      </c>
      <c r="H96" s="81">
        <f>2*'UAV_Data '!D$11*C96/(1.1*'UAV_Data '!D$8*'UAV_Data '!D$9^3*'UAV_Data '!D$7)</f>
        <v>10.285623862647361</v>
      </c>
      <c r="I96" s="82">
        <f>'UAV_Data '!D$11/((0.5*'UAV_Data '!D$8*'UAV_Data '!D$9^3*'UAV_Data '!D$7)/C96 + ('UAV_Data '!D$6*'UAV_Data '!D$18^2)/(0.5*'UAV_Data '!D$8*'UAV_Data '!D$9)*C96)</f>
        <v>0.12141107645436336</v>
      </c>
      <c r="J96" s="82">
        <f>'UAV_Data '!D$11/($J$14+SQRT(C96)*4*('UAV_Data '!D$6^0.75)*('UAV_Data '!D$7^0.25)/(SQRT(0.5*'UAV_Data '!D$8)*3^0.75))</f>
        <v>0.1365171059978206</v>
      </c>
      <c r="K96" s="48">
        <f>'UAV_Data '!D$11*SQRT(0.5*'UAV_Data '!D$8*K$13)/(('UAV_Data '!D$22+K$15/K$13)*SQRT(C96))</f>
        <v>0.15409409671585259</v>
      </c>
    </row>
    <row r="97" spans="3:11">
      <c r="C97" s="47">
        <f t="shared" si="9"/>
        <v>165</v>
      </c>
      <c r="D97" s="80">
        <f>('UAV_Data '!D$11*SQRT(0.5*'UAV_Data '!D$8)/('UAV_Data '!D$16^3))*(('UAV_Data '!D$24^1.5)/'UAV_Data '!D$26)*SQRT(1/C97)</f>
        <v>0.24615355878700165</v>
      </c>
      <c r="E97" s="80">
        <f>EXP(1.5*'UAV_Data '!D$8*'UAV_Data '!D$5*'UAV_Data '!D$26*'UAV_Data '!D$14/C97)</f>
        <v>1.2531005475894039</v>
      </c>
      <c r="F97" s="81">
        <f t="shared" si="12"/>
        <v>0.20197944057744988</v>
      </c>
      <c r="G97" s="80">
        <f t="shared" si="13"/>
        <v>4.9717958099947016E-2</v>
      </c>
      <c r="H97" s="81">
        <f>2*'UAV_Data '!D$11*C97/(1.1*'UAV_Data '!D$8*'UAV_Data '!D$9^3*'UAV_Data '!D$7)</f>
        <v>10.607049608355091</v>
      </c>
      <c r="I97" s="82">
        <f>'UAV_Data '!D$11/((0.5*'UAV_Data '!D$8*'UAV_Data '!D$9^3*'UAV_Data '!D$7)/C97 + ('UAV_Data '!D$6*'UAV_Data '!D$18^2)/(0.5*'UAV_Data '!D$8*'UAV_Data '!D$9)*C97)</f>
        <v>0.11780740880166055</v>
      </c>
      <c r="J97" s="82">
        <f>'UAV_Data '!D$11/($J$14+SQRT(C97)*4*('UAV_Data '!D$6^0.75)*('UAV_Data '!D$7^0.25)/(SQRT(0.5*'UAV_Data '!D$8)*3^0.75))</f>
        <v>0.13594357065259244</v>
      </c>
      <c r="K97" s="48">
        <f>'UAV_Data '!D$11*SQRT(0.5*'UAV_Data '!D$8*K$13)/(('UAV_Data '!D$22+K$15/K$13)*SQRT(C97))</f>
        <v>0.15174137692694234</v>
      </c>
    </row>
    <row r="98" spans="3:11">
      <c r="C98" s="47">
        <f t="shared" si="9"/>
        <v>170</v>
      </c>
      <c r="D98" s="80">
        <f>('UAV_Data '!D$11*SQRT(0.5*'UAV_Data '!D$8)/('UAV_Data '!D$16^3))*(('UAV_Data '!D$24^1.5)/'UAV_Data '!D$26)*SQRT(1/C98)</f>
        <v>0.24250663778760745</v>
      </c>
      <c r="E98" s="80">
        <f>EXP(1.5*'UAV_Data '!D$8*'UAV_Data '!D$5*'UAV_Data '!D$26*'UAV_Data '!D$14/C98)</f>
        <v>1.2448126153360015</v>
      </c>
      <c r="F98" s="81">
        <f t="shared" si="12"/>
        <v>0.19666623901455349</v>
      </c>
      <c r="G98" s="80">
        <f t="shared" si="13"/>
        <v>4.7692868389753354E-2</v>
      </c>
      <c r="H98" s="81">
        <f>2*'UAV_Data '!D$11*C98/(1.1*'UAV_Data '!D$8*'UAV_Data '!D$9^3*'UAV_Data '!D$7)</f>
        <v>10.928475354062821</v>
      </c>
      <c r="I98" s="82">
        <f>'UAV_Data '!D$11/((0.5*'UAV_Data '!D$8*'UAV_Data '!D$9^3*'UAV_Data '!D$7)/C98 + ('UAV_Data '!D$6*'UAV_Data '!D$18^2)/(0.5*'UAV_Data '!D$8*'UAV_Data '!D$9)*C98)</f>
        <v>0.11440943710296908</v>
      </c>
      <c r="J98" s="82">
        <f>'UAV_Data '!D$11/($J$14+SQRT(C98)*4*('UAV_Data '!D$6^0.75)*('UAV_Data '!D$7^0.25)/(SQRT(0.5*'UAV_Data '!D$8)*3^0.75))</f>
        <v>0.13538335285633732</v>
      </c>
      <c r="K98" s="48">
        <f>'UAV_Data '!D$11*SQRT(0.5*'UAV_Data '!D$8*K$13)/(('UAV_Data '!D$22+K$15/K$13)*SQRT(C98))</f>
        <v>0.1494932322455538</v>
      </c>
    </row>
    <row r="99" spans="3:11">
      <c r="C99" s="47">
        <f t="shared" si="9"/>
        <v>175</v>
      </c>
      <c r="D99" s="80">
        <f>('UAV_Data '!D$11*SQRT(0.5*'UAV_Data '!D$8)/('UAV_Data '!D$16^3))*(('UAV_Data '!D$24^1.5)/'UAV_Data '!D$26)*SQRT(1/C99)</f>
        <v>0.23901715172261437</v>
      </c>
      <c r="E99" s="80">
        <f>EXP(1.5*'UAV_Data '!D$8*'UAV_Data '!D$5*'UAV_Data '!D$26*'UAV_Data '!D$14/C99)</f>
        <v>1.2370484924274385</v>
      </c>
      <c r="F99" s="81">
        <f t="shared" si="12"/>
        <v>0.19162425230581093</v>
      </c>
      <c r="G99" s="80">
        <f t="shared" si="13"/>
        <v>4.5801482987110544E-2</v>
      </c>
      <c r="H99" s="81">
        <f>2*'UAV_Data '!D$11*C99/(1.1*'UAV_Data '!D$8*'UAV_Data '!D$9^3*'UAV_Data '!D$7)</f>
        <v>11.24990109977055</v>
      </c>
      <c r="I99" s="82">
        <f>'UAV_Data '!D$11/((0.5*'UAV_Data '!D$8*'UAV_Data '!D$9^3*'UAV_Data '!D$7)/C99 + ('UAV_Data '!D$6*'UAV_Data '!D$18^2)/(0.5*'UAV_Data '!D$8*'UAV_Data '!D$9)*C99)</f>
        <v>0.1112002072869331</v>
      </c>
      <c r="J99" s="82">
        <f>'UAV_Data '!D$11/($J$14+SQRT(C99)*4*('UAV_Data '!D$6^0.75)*('UAV_Data '!D$7^0.25)/(SQRT(0.5*'UAV_Data '!D$8)*3^0.75))</f>
        <v>0.1348358131087449</v>
      </c>
      <c r="K99" s="48">
        <f>'UAV_Data '!D$11*SQRT(0.5*'UAV_Data '!D$8*K$13)/(('UAV_Data '!D$22+K$15/K$13)*SQRT(C99))</f>
        <v>0.14734213833946244</v>
      </c>
    </row>
    <row r="100" spans="3:11">
      <c r="C100" s="47">
        <f t="shared" si="9"/>
        <v>180</v>
      </c>
      <c r="D100" s="80">
        <f>('UAV_Data '!D$11*SQRT(0.5*'UAV_Data '!D$8)/('UAV_Data '!D$16^3))*(('UAV_Data '!D$24^1.5)/'UAV_Data '!D$26)*SQRT(1/C100)</f>
        <v>0.23567408985336877</v>
      </c>
      <c r="E100" s="80">
        <f>EXP(1.5*'UAV_Data '!D$8*'UAV_Data '!D$5*'UAV_Data '!D$26*'UAV_Data '!D$14/C100)</f>
        <v>1.2297601802841305</v>
      </c>
      <c r="F100" s="81">
        <f t="shared" si="12"/>
        <v>0.18683332243774997</v>
      </c>
      <c r="G100" s="80">
        <f t="shared" si="13"/>
        <v>4.4031773219797704E-2</v>
      </c>
      <c r="H100" s="81">
        <f>2*'UAV_Data '!D$11*C100/(1.1*'UAV_Data '!D$8*'UAV_Data '!D$9^3*'UAV_Data '!D$7)</f>
        <v>11.571326845478282</v>
      </c>
      <c r="I100" s="82">
        <f>'UAV_Data '!D$11/((0.5*'UAV_Data '!D$8*'UAV_Data '!D$9^3*'UAV_Data '!D$7)/C100 + ('UAV_Data '!D$6*'UAV_Data '!D$18^2)/(0.5*'UAV_Data '!D$8*'UAV_Data '!D$9)*C100)</f>
        <v>0.10816456054741079</v>
      </c>
      <c r="J100" s="82">
        <f>'UAV_Data '!D$11/($J$14+SQRT(C100)*4*('UAV_Data '!D$6^0.75)*('UAV_Data '!D$7^0.25)/(SQRT(0.5*'UAV_Data '!D$8)*3^0.75))</f>
        <v>0.13430035894880987</v>
      </c>
      <c r="K100" s="48">
        <f>'UAV_Data '!D$11*SQRT(0.5*'UAV_Data '!D$8*K$13)/(('UAV_Data '!D$22+K$15/K$13)*SQRT(C100))</f>
        <v>0.14528130763812674</v>
      </c>
    </row>
    <row r="101" spans="3:11">
      <c r="C101" s="47">
        <f t="shared" si="9"/>
        <v>185</v>
      </c>
      <c r="D101" s="80">
        <f>('UAV_Data '!D$11*SQRT(0.5*'UAV_Data '!D$8)/('UAV_Data '!D$16^3))*(('UAV_Data '!D$24^1.5)/'UAV_Data '!D$26)*SQRT(1/C101)</f>
        <v>0.23246749023603361</v>
      </c>
      <c r="E101" s="80">
        <f>EXP(1.5*'UAV_Data '!D$8*'UAV_Data '!D$5*'UAV_Data '!D$26*'UAV_Data '!D$14/C101)</f>
        <v>1.2229053567416308</v>
      </c>
      <c r="F101" s="81">
        <f t="shared" si="12"/>
        <v>0.18227523128654111</v>
      </c>
      <c r="G101" s="80">
        <f t="shared" si="13"/>
        <v>4.2373065549374762E-2</v>
      </c>
      <c r="H101" s="81">
        <f>2*'UAV_Data '!D$11*C101/(1.1*'UAV_Data '!D$8*'UAV_Data '!D$9^3*'UAV_Data '!D$7)</f>
        <v>11.892752591186012</v>
      </c>
      <c r="I101" s="82">
        <f>'UAV_Data '!D$11/((0.5*'UAV_Data '!D$8*'UAV_Data '!D$9^3*'UAV_Data '!D$7)/C101 + ('UAV_Data '!D$6*'UAV_Data '!D$18^2)/(0.5*'UAV_Data '!D$8*'UAV_Data '!D$9)*C101)</f>
        <v>0.10528890423787815</v>
      </c>
      <c r="J101" s="82">
        <f>'UAV_Data '!D$11/($J$14+SQRT(C101)*4*('UAV_Data '!D$6^0.75)*('UAV_Data '!D$7^0.25)/(SQRT(0.5*'UAV_Data '!D$8)*3^0.75))</f>
        <v>0.13377644032544089</v>
      </c>
      <c r="K101" s="48">
        <f>'UAV_Data '!D$11*SQRT(0.5*'UAV_Data '!D$8*K$13)/(('UAV_Data '!D$22+K$15/K$13)*SQRT(C101))</f>
        <v>0.14330459910063664</v>
      </c>
    </row>
    <row r="102" spans="3:11">
      <c r="C102" s="47">
        <f t="shared" si="9"/>
        <v>190</v>
      </c>
      <c r="D102" s="80">
        <f>('UAV_Data '!D$11*SQRT(0.5*'UAV_Data '!D$8)/('UAV_Data '!D$16^3))*(('UAV_Data '!D$24^1.5)/'UAV_Data '!D$26)*SQRT(1/C102)</f>
        <v>0.229388314678275</v>
      </c>
      <c r="E102" s="80">
        <f>EXP(1.5*'UAV_Data '!D$8*'UAV_Data '!D$5*'UAV_Data '!D$26*'UAV_Data '!D$14/C102)</f>
        <v>1.2164465627828214</v>
      </c>
      <c r="F102" s="81">
        <f t="shared" ref="F102:F107" si="14">(E102-1)/E102</f>
        <v>0.17793347394370065</v>
      </c>
      <c r="G102" s="80">
        <f t="shared" ref="G102:G107" si="15">D102*F102</f>
        <v>4.0815859712796249E-2</v>
      </c>
      <c r="H102" s="81">
        <f>2*'UAV_Data '!D$11*C102/(1.1*'UAV_Data '!D$8*'UAV_Data '!D$9^3*'UAV_Data '!D$7)</f>
        <v>12.214178336893742</v>
      </c>
      <c r="I102" s="82">
        <f>'UAV_Data '!D$11/((0.5*'UAV_Data '!D$8*'UAV_Data '!D$9^3*'UAV_Data '!D$7)/C102 + ('UAV_Data '!D$6*'UAV_Data '!D$18^2)/(0.5*'UAV_Data '!D$8*'UAV_Data '!D$9)*C102)</f>
        <v>0.10256101660495347</v>
      </c>
      <c r="J102" s="82">
        <f>'UAV_Data '!D$11/($J$14+SQRT(C102)*4*('UAV_Data '!D$6^0.75)*('UAV_Data '!D$7^0.25)/(SQRT(0.5*'UAV_Data '!D$8)*3^0.75))</f>
        <v>0.13326354553396194</v>
      </c>
      <c r="K102" s="48">
        <f>'UAV_Data '!D$11*SQRT(0.5*'UAV_Data '!D$8*K$13)/(('UAV_Data '!D$22+K$15/K$13)*SQRT(C102))</f>
        <v>0.14140644113275458</v>
      </c>
    </row>
    <row r="103" spans="3:11">
      <c r="C103" s="47">
        <f t="shared" si="9"/>
        <v>195</v>
      </c>
      <c r="D103" s="80">
        <f>('UAV_Data '!D$11*SQRT(0.5*'UAV_Data '!D$8)/('UAV_Data '!D$16^3))*(('UAV_Data '!D$24^1.5)/'UAV_Data '!D$26)*SQRT(1/C103)</f>
        <v>0.22642834144748492</v>
      </c>
      <c r="E103" s="80">
        <f>EXP(1.5*'UAV_Data '!D$8*'UAV_Data '!D$5*'UAV_Data '!D$26*'UAV_Data '!D$14/C103)</f>
        <v>1.2103505249380755</v>
      </c>
      <c r="F103" s="81">
        <f t="shared" si="14"/>
        <v>0.17379306292186517</v>
      </c>
      <c r="G103" s="80">
        <f t="shared" si="15"/>
        <v>3.935167499247632E-2</v>
      </c>
      <c r="H103" s="81">
        <f>2*'UAV_Data '!D$11*C103/(1.1*'UAV_Data '!D$8*'UAV_Data '!D$9^3*'UAV_Data '!D$7)</f>
        <v>12.535604082601472</v>
      </c>
      <c r="I103" s="82">
        <f>'UAV_Data '!D$11/((0.5*'UAV_Data '!D$8*'UAV_Data '!D$9^3*'UAV_Data '!D$7)/C103 + ('UAV_Data '!D$6*'UAV_Data '!D$18^2)/(0.5*'UAV_Data '!D$8*'UAV_Data '!D$9)*C103)</f>
        <v>9.9969879736861098E-2</v>
      </c>
      <c r="J103" s="82">
        <f>'UAV_Data '!D$11/($J$14+SQRT(C103)*4*('UAV_Data '!D$6^0.75)*('UAV_Data '!D$7^0.25)/(SQRT(0.5*'UAV_Data '!D$8)*3^0.75))</f>
        <v>0.13276119763647434</v>
      </c>
      <c r="K103" s="48">
        <f>'UAV_Data '!D$11*SQRT(0.5*'UAV_Data '!D$8*K$13)/(('UAV_Data '!D$22+K$15/K$13)*SQRT(C103))</f>
        <v>0.13958176544689285</v>
      </c>
    </row>
    <row r="104" spans="3:11">
      <c r="C104" s="47">
        <f t="shared" si="9"/>
        <v>200</v>
      </c>
      <c r="D104" s="80">
        <f>('UAV_Data '!D$11*SQRT(0.5*'UAV_Data '!D$8)/('UAV_Data '!D$16^3))*(('UAV_Data '!D$24^1.5)/'UAV_Data '!D$26)*SQRT(1/C104)</f>
        <v>0.22358007282714698</v>
      </c>
      <c r="E104" s="80">
        <f>EXP(1.5*'UAV_Data '!D$8*'UAV_Data '!D$5*'UAV_Data '!D$26*'UAV_Data '!D$14/C104)</f>
        <v>1.2045875877069954</v>
      </c>
      <c r="F104" s="81">
        <f t="shared" si="14"/>
        <v>0.16984035847193155</v>
      </c>
      <c r="G104" s="80">
        <f t="shared" si="15"/>
        <v>3.7972919716143208E-2</v>
      </c>
      <c r="H104" s="81">
        <f>2*'UAV_Data '!D$11*C104/(1.1*'UAV_Data '!D$8*'UAV_Data '!D$9^3*'UAV_Data '!D$7)</f>
        <v>12.857029828309201</v>
      </c>
      <c r="I104" s="82">
        <f>'UAV_Data '!D$11/((0.5*'UAV_Data '!D$8*'UAV_Data '!D$9^3*'UAV_Data '!D$7)/C104 + ('UAV_Data '!D$6*'UAV_Data '!D$18^2)/(0.5*'UAV_Data '!D$8*'UAV_Data '!D$9)*C104)</f>
        <v>9.7505536132684895E-2</v>
      </c>
      <c r="J104" s="82">
        <f>'UAV_Data '!D$11/($J$14+SQRT(C104)*4*('UAV_Data '!D$6^0.75)*('UAV_Data '!D$7^0.25)/(SQRT(0.5*'UAV_Data '!D$8)*3^0.75))</f>
        <v>0.13226895129771324</v>
      </c>
      <c r="K104" s="48">
        <f>'UAV_Data '!D$11*SQRT(0.5*'UAV_Data '!D$8*K$13)/(('UAV_Data '!D$22+K$15/K$13)*SQRT(C104))</f>
        <v>0.13782595007522941</v>
      </c>
    </row>
    <row r="105" spans="3:11">
      <c r="C105" s="47">
        <f t="shared" si="9"/>
        <v>205</v>
      </c>
      <c r="D105" s="80">
        <f>('UAV_Data '!D$11*SQRT(0.5*'UAV_Data '!D$8)/('UAV_Data '!D$16^3))*(('UAV_Data '!D$24^1.5)/'UAV_Data '!D$26)*SQRT(1/C105)</f>
        <v>0.22083665515244374</v>
      </c>
      <c r="E105" s="80">
        <f>EXP(1.5*'UAV_Data '!D$8*'UAV_Data '!D$5*'UAV_Data '!D$26*'UAV_Data '!D$14/C105)</f>
        <v>1.1991312357422887</v>
      </c>
      <c r="F105" s="81">
        <f t="shared" si="14"/>
        <v>0.16606292106053105</v>
      </c>
      <c r="G105" s="80">
        <f t="shared" si="15"/>
        <v>3.6672780031851981E-2</v>
      </c>
      <c r="H105" s="81">
        <f>2*'UAV_Data '!D$11*C105/(1.1*'UAV_Data '!D$8*'UAV_Data '!D$9^3*'UAV_Data '!D$7)</f>
        <v>13.178455574016931</v>
      </c>
      <c r="I105" s="82">
        <f>'UAV_Data '!D$11/((0.5*'UAV_Data '!D$8*'UAV_Data '!D$9^3*'UAV_Data '!D$7)/C105 + ('UAV_Data '!D$6*'UAV_Data '!D$18^2)/(0.5*'UAV_Data '!D$8*'UAV_Data '!D$9)*C105)</f>
        <v>9.5158965123843059E-2</v>
      </c>
      <c r="J105" s="82">
        <f>'UAV_Data '!D$11/($J$14+SQRT(C105)*4*('UAV_Data '!D$6^0.75)*('UAV_Data '!D$7^0.25)/(SQRT(0.5*'UAV_Data '!D$8)*3^0.75))</f>
        <v>0.1317863899791413</v>
      </c>
      <c r="K105" s="48">
        <f>'UAV_Data '!D$11*SQRT(0.5*'UAV_Data '!D$8*K$13)/(('UAV_Data '!D$22+K$15/K$13)*SQRT(C105))</f>
        <v>0.13613477007565278</v>
      </c>
    </row>
    <row r="106" spans="3:11">
      <c r="C106" s="47">
        <f t="shared" si="9"/>
        <v>210</v>
      </c>
      <c r="D106" s="80">
        <f>('UAV_Data '!D$11*SQRT(0.5*'UAV_Data '!D$8)/('UAV_Data '!D$16^3))*(('UAV_Data '!D$24^1.5)/'UAV_Data '!D$26)*SQRT(1/C106)</f>
        <v>0.21819180938185112</v>
      </c>
      <c r="E106" s="80">
        <f>EXP(1.5*'UAV_Data '!D$8*'UAV_Data '!D$5*'UAV_Data '!D$26*'UAV_Data '!D$14/C106)</f>
        <v>1.1939576896845754</v>
      </c>
      <c r="F106" s="81">
        <f t="shared" si="14"/>
        <v>0.16244938272127207</v>
      </c>
      <c r="G106" s="80">
        <f t="shared" si="15"/>
        <v>3.5445124748919178E-2</v>
      </c>
      <c r="H106" s="81">
        <f>2*'UAV_Data '!D$11*C106/(1.1*'UAV_Data '!D$8*'UAV_Data '!D$9^3*'UAV_Data '!D$7)</f>
        <v>13.499881319724661</v>
      </c>
      <c r="I106" s="82">
        <f>'UAV_Data '!D$11/((0.5*'UAV_Data '!D$8*'UAV_Data '!D$9^3*'UAV_Data '!D$7)/C106 + ('UAV_Data '!D$6*'UAV_Data '!D$18^2)/(0.5*'UAV_Data '!D$8*'UAV_Data '!D$9)*C106)</f>
        <v>9.2921976043719115E-2</v>
      </c>
      <c r="J106" s="82">
        <f>'UAV_Data '!D$11/($J$14+SQRT(C106)*4*('UAV_Data '!D$6^0.75)*('UAV_Data '!D$7^0.25)/(SQRT(0.5*'UAV_Data '!D$8)*3^0.75))</f>
        <v>0.13131312344310186</v>
      </c>
      <c r="K106" s="48">
        <f>'UAV_Data '!D$11*SQRT(0.5*'UAV_Data '!D$8*K$13)/(('UAV_Data '!D$22+K$15/K$13)*SQRT(C106))</f>
        <v>0.13450435473261727</v>
      </c>
    </row>
    <row r="107" spans="3:11">
      <c r="C107" s="47">
        <f t="shared" si="9"/>
        <v>215</v>
      </c>
      <c r="D107" s="80">
        <f>('UAV_Data '!D$11*SQRT(0.5*'UAV_Data '!D$8)/('UAV_Data '!D$16^3))*(('UAV_Data '!D$24^1.5)/'UAV_Data '!D$26)*SQRT(1/C107)</f>
        <v>0.21563977060245926</v>
      </c>
      <c r="E107" s="80">
        <f>EXP(1.5*'UAV_Data '!D$8*'UAV_Data '!D$5*'UAV_Data '!D$26*'UAV_Data '!D$14/C107)</f>
        <v>1.1890455627546683</v>
      </c>
      <c r="F107" s="81">
        <f t="shared" si="14"/>
        <v>0.1589893345354281</v>
      </c>
      <c r="G107" s="80">
        <f t="shared" si="15"/>
        <v>3.4284423627457372E-2</v>
      </c>
      <c r="H107" s="81">
        <f>2*'UAV_Data '!D$11*C107/(1.1*'UAV_Data '!D$8*'UAV_Data '!D$9^3*'UAV_Data '!D$7)</f>
        <v>13.821307065432391</v>
      </c>
      <c r="I107" s="82">
        <f>'UAV_Data '!D$11/((0.5*'UAV_Data '!D$8*'UAV_Data '!D$9^3*'UAV_Data '!D$7)/C107 + ('UAV_Data '!D$6*'UAV_Data '!D$18^2)/(0.5*'UAV_Data '!D$8*'UAV_Data '!D$9)*C107)</f>
        <v>9.0787115578471675E-2</v>
      </c>
      <c r="J107" s="82">
        <f>'UAV_Data '!D$11/($J$14+SQRT(C107)*4*('UAV_Data '!D$6^0.75)*('UAV_Data '!D$7^0.25)/(SQRT(0.5*'UAV_Data '!D$8)*3^0.75))</f>
        <v>0.13084878552631107</v>
      </c>
      <c r="K107" s="48">
        <f>'UAV_Data '!D$11*SQRT(0.5*'UAV_Data '!D$8*K$13)/(('UAV_Data '!D$22+K$15/K$13)*SQRT(C107))</f>
        <v>0.13293115026519389</v>
      </c>
    </row>
    <row r="108" spans="3:11">
      <c r="D108" s="80"/>
      <c r="E108" s="80"/>
      <c r="F108" s="81"/>
      <c r="G108" s="80"/>
      <c r="H108" s="81"/>
      <c r="I108" s="82"/>
      <c r="J108" s="82"/>
      <c r="K108" s="48"/>
    </row>
    <row r="109" spans="3:11">
      <c r="D109" s="80"/>
      <c r="E109" s="80"/>
      <c r="F109" s="81"/>
      <c r="G109" s="80"/>
      <c r="H109" s="81"/>
      <c r="I109" s="82"/>
      <c r="J109" s="82"/>
      <c r="K109" s="48"/>
    </row>
    <row r="110" spans="3:11">
      <c r="D110" s="80"/>
      <c r="E110" s="80"/>
      <c r="F110" s="81"/>
      <c r="G110" s="80"/>
      <c r="H110" s="81"/>
      <c r="I110" s="82"/>
      <c r="J110" s="82"/>
      <c r="K110" s="48"/>
    </row>
    <row r="111" spans="3:11">
      <c r="D111" s="80"/>
      <c r="E111" s="80"/>
      <c r="F111" s="81"/>
      <c r="G111" s="80"/>
      <c r="H111" s="81"/>
      <c r="I111" s="82"/>
      <c r="J111" s="82"/>
      <c r="K111" s="48"/>
    </row>
    <row r="112" spans="3:11">
      <c r="D112" s="80"/>
      <c r="E112" s="80"/>
      <c r="F112" s="81"/>
      <c r="G112" s="80"/>
      <c r="H112" s="81"/>
      <c r="I112" s="82"/>
      <c r="J112" s="82"/>
      <c r="K112" s="48"/>
    </row>
    <row r="113" spans="4:11">
      <c r="D113" s="80"/>
      <c r="E113" s="80"/>
      <c r="F113" s="81"/>
      <c r="G113" s="80"/>
      <c r="H113" s="81"/>
      <c r="I113" s="82"/>
      <c r="J113" s="82"/>
      <c r="K113" s="48"/>
    </row>
    <row r="114" spans="4:11">
      <c r="D114" s="80"/>
      <c r="E114" s="80"/>
      <c r="F114" s="81"/>
      <c r="G114" s="80"/>
      <c r="H114" s="81"/>
      <c r="I114" s="82"/>
      <c r="J114" s="82"/>
      <c r="K114" s="48"/>
    </row>
    <row r="115" spans="4:11">
      <c r="D115" s="80"/>
      <c r="E115" s="80"/>
      <c r="F115" s="81"/>
      <c r="G115" s="80"/>
      <c r="H115" s="81"/>
      <c r="I115" s="82"/>
      <c r="J115" s="82"/>
      <c r="K115" s="48"/>
    </row>
    <row r="116" spans="4:11">
      <c r="D116" s="80"/>
      <c r="E116" s="80"/>
      <c r="F116" s="81"/>
      <c r="G116" s="80"/>
      <c r="H116" s="81"/>
      <c r="I116" s="82"/>
      <c r="J116" s="82"/>
      <c r="K116" s="48"/>
    </row>
    <row r="117" spans="4:11">
      <c r="D117" s="80"/>
      <c r="E117" s="80"/>
      <c r="F117" s="81"/>
      <c r="G117" s="80"/>
      <c r="H117" s="81"/>
      <c r="I117" s="82"/>
      <c r="J117" s="82"/>
      <c r="K117" s="48"/>
    </row>
    <row r="118" spans="4:11">
      <c r="D118" s="80"/>
      <c r="E118" s="80"/>
      <c r="F118" s="81"/>
      <c r="G118" s="80"/>
      <c r="H118" s="81"/>
      <c r="I118" s="82"/>
      <c r="J118" s="82"/>
      <c r="K118" s="48"/>
    </row>
    <row r="119" spans="4:11">
      <c r="D119" s="80"/>
      <c r="E119" s="80"/>
      <c r="F119" s="81"/>
      <c r="G119" s="80"/>
      <c r="H119" s="81"/>
      <c r="I119" s="82"/>
      <c r="J119" s="82"/>
      <c r="K119" s="48"/>
    </row>
    <row r="120" spans="4:11">
      <c r="D120" s="80"/>
      <c r="E120" s="80"/>
      <c r="F120" s="81"/>
      <c r="G120" s="80"/>
      <c r="H120" s="81"/>
      <c r="I120" s="82"/>
      <c r="J120" s="82"/>
      <c r="K120" s="48"/>
    </row>
  </sheetData>
  <mergeCells count="2">
    <mergeCell ref="D6:F6"/>
    <mergeCell ref="N50:P5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0e9644-791b-4eb4-88f2-369a4b98526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FF59A77B4E244CA8BBD462F92868C2" ma:contentTypeVersion="17" ma:contentTypeDescription="Create a new document." ma:contentTypeScope="" ma:versionID="c80947a49b73b2382ebdf30bd9084115">
  <xsd:schema xmlns:xsd="http://www.w3.org/2001/XMLSchema" xmlns:xs="http://www.w3.org/2001/XMLSchema" xmlns:p="http://schemas.microsoft.com/office/2006/metadata/properties" xmlns:ns3="280e9644-791b-4eb4-88f2-369a4b985268" xmlns:ns4="1ef0043b-a06b-41c7-879f-5016bb875740" targetNamespace="http://schemas.microsoft.com/office/2006/metadata/properties" ma:root="true" ma:fieldsID="48819f090edee1af771afdce9c83bf5b" ns3:_="" ns4:_="">
    <xsd:import namespace="280e9644-791b-4eb4-88f2-369a4b985268"/>
    <xsd:import namespace="1ef0043b-a06b-41c7-879f-5016bb8757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e9644-791b-4eb4-88f2-369a4b985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0043b-a06b-41c7-879f-5016bb875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DE16D-96C4-4AEB-A7F7-1950E4B60646}">
  <ds:schemaRefs>
    <ds:schemaRef ds:uri="http://schemas.microsoft.com/office/2006/metadata/properties"/>
    <ds:schemaRef ds:uri="http://schemas.microsoft.com/office/infopath/2007/PartnerControls"/>
    <ds:schemaRef ds:uri="280e9644-791b-4eb4-88f2-369a4b985268"/>
  </ds:schemaRefs>
</ds:datastoreItem>
</file>

<file path=customXml/itemProps2.xml><?xml version="1.0" encoding="utf-8"?>
<ds:datastoreItem xmlns:ds="http://schemas.openxmlformats.org/officeDocument/2006/customXml" ds:itemID="{8AFC9063-1EE9-4FC6-9F9A-EA6B2D79F5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e9644-791b-4eb4-88f2-369a4b985268"/>
    <ds:schemaRef ds:uri="1ef0043b-a06b-41c7-879f-5016bb8757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CA2F2E-D72F-4A58-B866-6CB6EB97B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Aircraft Sizing</vt:lpstr>
      <vt:lpstr>Market Research</vt:lpstr>
      <vt:lpstr>Tradeoff Studies</vt:lpstr>
      <vt:lpstr>Propeller Info</vt:lpstr>
      <vt:lpstr>UAV_Data </vt:lpstr>
      <vt:lpstr>Constraint_Diagram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Vieira Goncalves</dc:creator>
  <cp:keywords/>
  <dc:description/>
  <cp:lastModifiedBy>Surya Govindasamy Ganesan [bn21sg3]</cp:lastModifiedBy>
  <cp:revision/>
  <dcterms:created xsi:type="dcterms:W3CDTF">2023-11-03T20:43:25Z</dcterms:created>
  <dcterms:modified xsi:type="dcterms:W3CDTF">2024-10-13T18:21:51Z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0x01010087FF59A77B4E244CA8BBD462F92868C2</vt:lpwstr>
  </property>
</Properties>
</file>