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" sheetId="2" r:id="rId5"/>
    <sheet state="visible" name="ConstantsUnits" sheetId="3" r:id="rId6"/>
    <sheet state="visible" name="v2018" sheetId="4" r:id="rId7"/>
    <sheet state="visible" name="v2014" sheetId="5" r:id="rId8"/>
    <sheet state="visible" name="v2010" sheetId="6" r:id="rId9"/>
    <sheet state="visible" name="DimensionlessConcepts" sheetId="7" r:id="rId10"/>
  </sheets>
  <definedNames>
    <definedName hidden="1" localSheetId="3" name="Z_1E4E5AB5_5ABD_485B_A023_95EBDD768AAC_.wvu.FilterData">'v2018'!$A$1:$D$355</definedName>
  </definedNames>
  <calcPr/>
  <customWorkbookViews>
    <customWorkbookView activeSheetId="0" maximized="1" windowHeight="0" windowWidth="0" guid="{1E4E5AB5-5ABD-485B-A023-95EBDD768AAC}" name="Filter 1"/>
  </customWorkbookViews>
</workbook>
</file>

<file path=xl/sharedStrings.xml><?xml version="1.0" encoding="utf-8"?>
<sst xmlns="http://schemas.openxmlformats.org/spreadsheetml/2006/main" count="5581" uniqueCount="2705">
  <si>
    <t>id</t>
  </si>
  <si>
    <t>name</t>
  </si>
  <si>
    <t>definition</t>
  </si>
  <si>
    <t>compound</t>
  </si>
  <si>
    <t>relationships</t>
  </si>
  <si>
    <t>AlphaParticle</t>
  </si>
  <si>
    <t>AlphaParticleElectronMassRatio</t>
  </si>
  <si>
    <t>AlphaParticle+Electron+MassRatio</t>
  </si>
  <si>
    <t>AlphaParticleMass</t>
  </si>
  <si>
    <t>AlphaParticle+Mass</t>
  </si>
  <si>
    <t>narrower:Mass</t>
  </si>
  <si>
    <t>AlphaParticleMolarMass</t>
  </si>
  <si>
    <t>AlphaParticle+MolarMass</t>
  </si>
  <si>
    <t>AlphaParticleProtonMassRatio</t>
  </si>
  <si>
    <t>AlphaParticleMass+Proton+MassRatio</t>
  </si>
  <si>
    <t>AlphaParticleRelativeAtomicMass</t>
  </si>
  <si>
    <t>AlphaParticle+RelativeAtomicMass</t>
  </si>
  <si>
    <t>Electron</t>
  </si>
  <si>
    <t>ElectronMass</t>
  </si>
  <si>
    <t>Electron+Mass</t>
  </si>
  <si>
    <t>MolarMass</t>
  </si>
  <si>
    <t>MassRatio</t>
  </si>
  <si>
    <t>Mass</t>
  </si>
  <si>
    <t>unit(s)? SI unit?</t>
  </si>
  <si>
    <t>Ratio</t>
  </si>
  <si>
    <t>dimensionless</t>
  </si>
  <si>
    <t>nist_name_2018</t>
  </si>
  <si>
    <t>units_si</t>
  </si>
  <si>
    <t>units_ucum</t>
  </si>
  <si>
    <t>units_uom</t>
  </si>
  <si>
    <t>constant_id</t>
  </si>
  <si>
    <t>qudt_id</t>
  </si>
  <si>
    <t>is_qudt</t>
  </si>
  <si>
    <t>compound_concept</t>
  </si>
  <si>
    <t>alpha particle-electron mass ratio</t>
  </si>
  <si>
    <t>constant:AlphaParticleElectronMassRatio</t>
  </si>
  <si>
    <t>AlphaParticleMass+ElectronMass+Ratio</t>
  </si>
  <si>
    <t>alpha particle mass</t>
  </si>
  <si>
    <t>kg</t>
  </si>
  <si>
    <t>constant:AlphaParticleMass</t>
  </si>
  <si>
    <t>alpha particle mass energy equivalent</t>
  </si>
  <si>
    <t>J</t>
  </si>
  <si>
    <t>constant:AlphaParticleMassEnergyEquivalent</t>
  </si>
  <si>
    <t>AlphaParticle+Mass+EnergyEquivalent</t>
  </si>
  <si>
    <t>alpha particle mass energy equivalent in MeV</t>
  </si>
  <si>
    <t>MeV</t>
  </si>
  <si>
    <t>constant:AlphaParticleMassEnergyEquivalentInMeV</t>
  </si>
  <si>
    <t>alpha particle mass in u</t>
  </si>
  <si>
    <t>u</t>
  </si>
  <si>
    <t>constant:AlphaParticleMassInAtomicMassUnit</t>
  </si>
  <si>
    <t>alpha particle molar mass</t>
  </si>
  <si>
    <t>kg mol^-1</t>
  </si>
  <si>
    <t>kg/mol</t>
  </si>
  <si>
    <t>constant:AlphaParticleMolarMass</t>
  </si>
  <si>
    <t>alpha particle-proton mass ratio</t>
  </si>
  <si>
    <t>constant:AlphaParticleProtonMassRatio</t>
  </si>
  <si>
    <t>AlphaParticleMass+ProtonMass+Ratio</t>
  </si>
  <si>
    <t>alpha particle relative atomic mass</t>
  </si>
  <si>
    <t>Angstrom star</t>
  </si>
  <si>
    <t>m</t>
  </si>
  <si>
    <t>AngstromStar</t>
  </si>
  <si>
    <t>constant:AngstromStar</t>
  </si>
  <si>
    <t>atomic mass constant</t>
  </si>
  <si>
    <t>AtomicMassConstant</t>
  </si>
  <si>
    <t>constant:AtomicMassConstant</t>
  </si>
  <si>
    <t>atomic mass constant energy equivalent</t>
  </si>
  <si>
    <t>constant:AtomicMassConstantEnergyEquivalent</t>
  </si>
  <si>
    <t>atomic mass constant energy equivalent in MeV</t>
  </si>
  <si>
    <t>constant:AtomicMassConstantEnergyEquivalentInMeV</t>
  </si>
  <si>
    <t>atomic mass unit-electron volt relationship</t>
  </si>
  <si>
    <t>eV</t>
  </si>
  <si>
    <t>AtomicMassUnitElectronVoltRelationship</t>
  </si>
  <si>
    <t>constant:AtomicMassUnitElectronVoltRelationship</t>
  </si>
  <si>
    <t>atomic mass unit-hartree relationship</t>
  </si>
  <si>
    <t>E_h</t>
  </si>
  <si>
    <t>?</t>
  </si>
  <si>
    <t>AtomicMassUnitHartreeRelationship</t>
  </si>
  <si>
    <t>constant:AtomicMassUnitHartreeRelationship</t>
  </si>
  <si>
    <t>atomic mass unit-hertz relationship</t>
  </si>
  <si>
    <t>Hz</t>
  </si>
  <si>
    <t>AtomicMassUnitHertzRelationship</t>
  </si>
  <si>
    <t>constant:AtomicMassUnitHertzRelationship</t>
  </si>
  <si>
    <t>atomic mass unit-inverse meter relationship</t>
  </si>
  <si>
    <t>m^-1</t>
  </si>
  <si>
    <t>m-1</t>
  </si>
  <si>
    <t>AtomicMassUnitInverseMeterRelationship</t>
  </si>
  <si>
    <t>constant:AtomicMassUnitInverseMeterRelationship</t>
  </si>
  <si>
    <t>atomic mass unit-joule relationship</t>
  </si>
  <si>
    <t>AtomicMassUnitJouleRelationship</t>
  </si>
  <si>
    <t>constant:AtomicMassUnitJouleRelationship</t>
  </si>
  <si>
    <t>atomic mass unit-kelvin relationship</t>
  </si>
  <si>
    <t>K</t>
  </si>
  <si>
    <t>AtomicMassUnitKelvinRelationship</t>
  </si>
  <si>
    <t>constant:AtomicMassUnitKelvinRelationship</t>
  </si>
  <si>
    <t>atomic mass unit-kilogram relationship</t>
  </si>
  <si>
    <t>AtomicMassUnitKilogramRelationship</t>
  </si>
  <si>
    <t>constant:AtomicMassUnitKilogramRelationship</t>
  </si>
  <si>
    <t>atomic unit of 1st hyperpolarizability</t>
  </si>
  <si>
    <t>C^3 m^3 J^-2</t>
  </si>
  <si>
    <t>C3.m3.J-2</t>
  </si>
  <si>
    <t>AtomicUnitOf1stHyperpolarizablity</t>
  </si>
  <si>
    <t>constant:AtomicUnitOf1stHyperpolarizablity</t>
  </si>
  <si>
    <t>atomic unit of 2nd hyperpolarizability</t>
  </si>
  <si>
    <t>C^4 m^4 J^-3</t>
  </si>
  <si>
    <t>C4.m4.J-3</t>
  </si>
  <si>
    <t>AtomicUnitOf2ndHyperpolarizablity</t>
  </si>
  <si>
    <t>constant:AtomicUnitOf2ndHyperpolarizablity</t>
  </si>
  <si>
    <t>atomic unit of action</t>
  </si>
  <si>
    <t>J s</t>
  </si>
  <si>
    <t>J.s</t>
  </si>
  <si>
    <t>AtomicUnitOfAction</t>
  </si>
  <si>
    <t>constant:AtomicUnitOfAction</t>
  </si>
  <si>
    <t>atomic unit of charge</t>
  </si>
  <si>
    <t>C</t>
  </si>
  <si>
    <t>[e]</t>
  </si>
  <si>
    <t>AtomicUnitOfCharge</t>
  </si>
  <si>
    <t>constant:AtomicUnitOfCharge</t>
  </si>
  <si>
    <t>atomic unit of charge density</t>
  </si>
  <si>
    <t>C m^-3</t>
  </si>
  <si>
    <t>C.m-3</t>
  </si>
  <si>
    <t>AtomicUnitOfChargeDensity</t>
  </si>
  <si>
    <t>constant:AtomicUnitOfChargeDensity</t>
  </si>
  <si>
    <t>atomic unit of current</t>
  </si>
  <si>
    <t>A</t>
  </si>
  <si>
    <t>AtomicUnitOfCurrent</t>
  </si>
  <si>
    <t>constant:AtomicUnitOfCurrent</t>
  </si>
  <si>
    <t>atomic unit of electric dipole mom.</t>
  </si>
  <si>
    <t>C m</t>
  </si>
  <si>
    <t>C.m</t>
  </si>
  <si>
    <t>AtomicUnitOfElectricDipoleMom.</t>
  </si>
  <si>
    <t>atomic unit of electric field</t>
  </si>
  <si>
    <t>V m^-1</t>
  </si>
  <si>
    <t>V.m-1</t>
  </si>
  <si>
    <t>AtomicUnitOfElectricField</t>
  </si>
  <si>
    <t>constant:AtomicUnitOfElectricField</t>
  </si>
  <si>
    <t>atomic unit of electric field gradient</t>
  </si>
  <si>
    <t>V m^-2</t>
  </si>
  <si>
    <t>V.m-2</t>
  </si>
  <si>
    <t>AtomicUnitOfElectricFieldGradient</t>
  </si>
  <si>
    <t>constant:AtomicUnitOfElectricFieldGradient</t>
  </si>
  <si>
    <t>atomic unit of electric polarizability</t>
  </si>
  <si>
    <t>C^2 m^2 J^-1</t>
  </si>
  <si>
    <t>C2.m2.J-1</t>
  </si>
  <si>
    <t>AtomicUnitOfElectricPolarizablity</t>
  </si>
  <si>
    <t>constant:AtomicUnitOfElectricPolarizablity</t>
  </si>
  <si>
    <t>atomic unit of electric potential</t>
  </si>
  <si>
    <t>V</t>
  </si>
  <si>
    <t>AtomicUnitOfElectricPotential</t>
  </si>
  <si>
    <t>constant:AtomicUnitOfElectricPotential</t>
  </si>
  <si>
    <t>atomic unit of electric quadrupole mom.</t>
  </si>
  <si>
    <t>C m^2</t>
  </si>
  <si>
    <t>C.m2</t>
  </si>
  <si>
    <t>AtomicUnitOfElectricQuadrupoleMoment</t>
  </si>
  <si>
    <t>constant:AtomicUnitOfElectricQuadrupoleMoment</t>
  </si>
  <si>
    <t>atomic unit of energy</t>
  </si>
  <si>
    <t>AtomicUnitOfEnergy</t>
  </si>
  <si>
    <t>constant:AtomicUnitOfEnergy</t>
  </si>
  <si>
    <t>atomic unit of force</t>
  </si>
  <si>
    <t>N</t>
  </si>
  <si>
    <t>AtomicUnitOfForce</t>
  </si>
  <si>
    <t>constant:AtomicUnitOfForce</t>
  </si>
  <si>
    <t>atomic unit of length</t>
  </si>
  <si>
    <t>AtomicUnitOfLength</t>
  </si>
  <si>
    <t>constant:AtomicUnitOfLength</t>
  </si>
  <si>
    <t>atomic unit of mag. dipole mom.</t>
  </si>
  <si>
    <t>J T^-1</t>
  </si>
  <si>
    <t>J.T-1</t>
  </si>
  <si>
    <t>AtomicUnitOfMagneticDipoleMoment</t>
  </si>
  <si>
    <t>constant:AtomicUnitOfMagneticDipoleMoment</t>
  </si>
  <si>
    <t>atomic unit of mag. flux density</t>
  </si>
  <si>
    <t>T</t>
  </si>
  <si>
    <t>AtomicUnitOfMagneticFluxDensity</t>
  </si>
  <si>
    <t>constant:AtomicUnitOfMagneticFluxDensity</t>
  </si>
  <si>
    <t>atomic unit of magnetizability</t>
  </si>
  <si>
    <t>J T^-2</t>
  </si>
  <si>
    <t>J.T-2</t>
  </si>
  <si>
    <t>AtomicUnitOfMagnetizability</t>
  </si>
  <si>
    <t>constant:AtomicUnitOfMagnetizability</t>
  </si>
  <si>
    <t>atomic unit of mass</t>
  </si>
  <si>
    <t>AtomicUnitOfMass</t>
  </si>
  <si>
    <t>constant:AtomicUnitOfMass</t>
  </si>
  <si>
    <t>atomic unit of momentum</t>
  </si>
  <si>
    <t>kg m s^-1</t>
  </si>
  <si>
    <t>kg.m.s-1</t>
  </si>
  <si>
    <t>AtomicUnitOfMomentum</t>
  </si>
  <si>
    <t>constant:AtomicUnitOfMomentum</t>
  </si>
  <si>
    <t>atomic unit of permittivity</t>
  </si>
  <si>
    <t>F m^-1</t>
  </si>
  <si>
    <t>F.m-1</t>
  </si>
  <si>
    <t>AtomicUnitOfPermittivity</t>
  </si>
  <si>
    <t>constant:AtomicUnitOfPermittivity</t>
  </si>
  <si>
    <t>atomic unit of time</t>
  </si>
  <si>
    <t>s</t>
  </si>
  <si>
    <t>AtomicUnitOfTime</t>
  </si>
  <si>
    <t>constant:AtomicUnitOfTime</t>
  </si>
  <si>
    <t>atomic unit of velocity</t>
  </si>
  <si>
    <t>m s^-1</t>
  </si>
  <si>
    <t>m.s-1</t>
  </si>
  <si>
    <t>AtomicUnitOfVelocity</t>
  </si>
  <si>
    <t>constant:AtomicUnitOfVelocity</t>
  </si>
  <si>
    <t>Avogadro constant</t>
  </si>
  <si>
    <t>mol^-1</t>
  </si>
  <si>
    <t>mol-1</t>
  </si>
  <si>
    <t>AvogadroConstant</t>
  </si>
  <si>
    <t>constant:AvogadroConstant</t>
  </si>
  <si>
    <t>Bohr magneton</t>
  </si>
  <si>
    <t>BohrMagneton</t>
  </si>
  <si>
    <t>constant:BohrMagneton</t>
  </si>
  <si>
    <t>Bohr magneton in eV/T</t>
  </si>
  <si>
    <t>eV T^-1</t>
  </si>
  <si>
    <t>eV.T-1</t>
  </si>
  <si>
    <t>BohrMagnetonInEVPerT</t>
  </si>
  <si>
    <t>constant:BohrMagnetonInEVPerT</t>
  </si>
  <si>
    <t>Bohr magneton in Hz/T</t>
  </si>
  <si>
    <t>Hz T^-1</t>
  </si>
  <si>
    <t>Hz.T-1</t>
  </si>
  <si>
    <t>BohrMagnetonInHzPerT</t>
  </si>
  <si>
    <t>constant:BohrMagnetonInHzPerT</t>
  </si>
  <si>
    <t>Bohr magneton in inverse meter per tesla</t>
  </si>
  <si>
    <t>m^-1 T^-1</t>
  </si>
  <si>
    <t>m-1.T-1</t>
  </si>
  <si>
    <t>BohrMagnetonInInverseMetersPerTesla</t>
  </si>
  <si>
    <t>constant:BohrMagnetonInInverseMetersPerTesla</t>
  </si>
  <si>
    <t>Bohr magneton in K/T</t>
  </si>
  <si>
    <t>K T^-1</t>
  </si>
  <si>
    <t>K.T-1</t>
  </si>
  <si>
    <t>BohrMagnetonInKPerT</t>
  </si>
  <si>
    <t>constant:BohrMagnetonInKPerT</t>
  </si>
  <si>
    <t>Bohr radius</t>
  </si>
  <si>
    <t>BohrRadius</t>
  </si>
  <si>
    <t>constant:BohrRadius</t>
  </si>
  <si>
    <t>Boltzmann constant</t>
  </si>
  <si>
    <t>J K^-1</t>
  </si>
  <si>
    <t>[k]</t>
  </si>
  <si>
    <t>BoltzmannConstant</t>
  </si>
  <si>
    <t>constant:BoltzmannConstant</t>
  </si>
  <si>
    <t>Boltzmann constant in eV/K</t>
  </si>
  <si>
    <t>eV K^-1</t>
  </si>
  <si>
    <t>eV.K-1</t>
  </si>
  <si>
    <t>BoltzmannConstantInEVPerK</t>
  </si>
  <si>
    <t>constant:BoltzmannConstantInEVPerK</t>
  </si>
  <si>
    <t>Boltzmann constant in Hz/K</t>
  </si>
  <si>
    <t>Hz K^-1</t>
  </si>
  <si>
    <t>Hz.K-1</t>
  </si>
  <si>
    <t>BoltzmannConstantInHzPerK</t>
  </si>
  <si>
    <t>constant:BoltzmannConstantInHzPerK</t>
  </si>
  <si>
    <t>Boltzmann constant in inverse meter per kelvin</t>
  </si>
  <si>
    <t>m^-1 K^-1</t>
  </si>
  <si>
    <t>m-1.K-1</t>
  </si>
  <si>
    <t>BoltzmannConstantInInverseMetersPerKelvin</t>
  </si>
  <si>
    <t>constant:BoltzmannConstantInInverseMetersPerKelvin</t>
  </si>
  <si>
    <t>characteristic impedance of vacuum</t>
  </si>
  <si>
    <t>ohm</t>
  </si>
  <si>
    <t>Ohm</t>
  </si>
  <si>
    <t>CharacteristicImpedanceOfVacuum</t>
  </si>
  <si>
    <t>constant:CharacteristicImpedanceOfVacuum</t>
  </si>
  <si>
    <t>classical electron radius</t>
  </si>
  <si>
    <t>ClassicalElectronRadius</t>
  </si>
  <si>
    <t>constant:ClassicalElectronRadius</t>
  </si>
  <si>
    <t>Compton wavelength</t>
  </si>
  <si>
    <t>ComptonWavelength</t>
  </si>
  <si>
    <t>constant:ComptonWavelength</t>
  </si>
  <si>
    <t>conductance quantum</t>
  </si>
  <si>
    <t>S</t>
  </si>
  <si>
    <t>ConductanceQuantum</t>
  </si>
  <si>
    <t>constant:ConductanceQuantum</t>
  </si>
  <si>
    <t/>
  </si>
  <si>
    <t>ComptonWavelengthOver2Pi</t>
  </si>
  <si>
    <t>constant:ComptonWavelengthOver2Pi</t>
  </si>
  <si>
    <t>conventional value of ampere-90</t>
  </si>
  <si>
    <t>ConventionalValueOfAmpere-90</t>
  </si>
  <si>
    <t>conventional value of coulomb-90</t>
  </si>
  <si>
    <t>ConventionalValueOfCoulomb-90</t>
  </si>
  <si>
    <t>conventional value of farad-90</t>
  </si>
  <si>
    <t>F</t>
  </si>
  <si>
    <t>ConventionalValueOfFarad-90</t>
  </si>
  <si>
    <t>conventional value of henry-90</t>
  </si>
  <si>
    <t>H</t>
  </si>
  <si>
    <t>ConventionalValueOfHenry-90</t>
  </si>
  <si>
    <t>conventional value of Josephson constant</t>
  </si>
  <si>
    <t>Hz V^-1</t>
  </si>
  <si>
    <t>Hz.V-1</t>
  </si>
  <si>
    <t>ConventionalValueOfJosephsonConstant</t>
  </si>
  <si>
    <t>constant:ConventionalValueOfJosephsonConstant</t>
  </si>
  <si>
    <t>conventional value of ohm-90</t>
  </si>
  <si>
    <t>ConventionalValueOfOhm-90</t>
  </si>
  <si>
    <t>conventional value of volt-90</t>
  </si>
  <si>
    <t>ConventionalValueOfVolt-90</t>
  </si>
  <si>
    <t>conventional value of von Klitzing constant</t>
  </si>
  <si>
    <t>ConventionalValueOfVonKlitzingConstant</t>
  </si>
  <si>
    <t>constant:ConventionalValueOfVonKlitzingConstant</t>
  </si>
  <si>
    <t>conventional value of watt-90</t>
  </si>
  <si>
    <t>W</t>
  </si>
  <si>
    <t>ConventionalValueOfWatt-90</t>
  </si>
  <si>
    <t>Copper x unit</t>
  </si>
  <si>
    <t>CuXUnit</t>
  </si>
  <si>
    <t>constant:CuXUnit</t>
  </si>
  <si>
    <t>deuteron-electron mag. mom. ratio</t>
  </si>
  <si>
    <t>DeuteronElectronMagneticMomentRatio</t>
  </si>
  <si>
    <t>constant:DeuteronElectronMagneticMomentRatio</t>
  </si>
  <si>
    <t>deuteron-electron mass ratio</t>
  </si>
  <si>
    <t>DeuteronElectronMassRatio</t>
  </si>
  <si>
    <t>constant:DeuteronElectronMassRatio</t>
  </si>
  <si>
    <t>deuteron g factor</t>
  </si>
  <si>
    <t>DeuteronGFactor</t>
  </si>
  <si>
    <t>constant:DeuteronGFactor</t>
  </si>
  <si>
    <t>deuteron mag. mom.</t>
  </si>
  <si>
    <t>DeuteronMagneticMoment</t>
  </si>
  <si>
    <t>constant:DeuteronMagneticMoment</t>
  </si>
  <si>
    <t>deuteron mag. mom. to Bohr magneton ratio</t>
  </si>
  <si>
    <t>DeuteronMagneticMomentToBohrMagnetonRatio</t>
  </si>
  <si>
    <t>constant:DeuteronMagneticMomentToBohrMagnetonRatio</t>
  </si>
  <si>
    <t>deuteron mag. mom. to nuclear magneton ratio</t>
  </si>
  <si>
    <t>DeuteronMagneticMomentToNuclearMagnetonRatio</t>
  </si>
  <si>
    <t>constant:DeuteronMagneticMomentToNuclearMagnetonRatio</t>
  </si>
  <si>
    <t>deuteron mass</t>
  </si>
  <si>
    <t>DeuteronMass</t>
  </si>
  <si>
    <t>constant:DeuteronMass</t>
  </si>
  <si>
    <t>deuteron mass energy equivalent</t>
  </si>
  <si>
    <t>DeuteronMassEnergyEquivalent</t>
  </si>
  <si>
    <t>constant:DeuteronMassEnergyEquivalent</t>
  </si>
  <si>
    <t>deuteron mass energy equivalent in MeV</t>
  </si>
  <si>
    <t>constant:DeuteronMassEnergyEquivalentInMeV</t>
  </si>
  <si>
    <t>deuteron mass in u</t>
  </si>
  <si>
    <t>DeuteronMassInAtomicMassUnit</t>
  </si>
  <si>
    <t>constant:DeuteronMassInAtomicMassUnit</t>
  </si>
  <si>
    <t>deuteron molar mass</t>
  </si>
  <si>
    <t>kg.mol-1</t>
  </si>
  <si>
    <t>DeuteronMolarMass</t>
  </si>
  <si>
    <t>constant:DeuteronMolarMass</t>
  </si>
  <si>
    <t>deuteron-neutron mag. mom. ratio</t>
  </si>
  <si>
    <t>DeuteronNeutronMagneticMomentRatio</t>
  </si>
  <si>
    <t>constant:DeuteronNeutronMagneticMomentRatio</t>
  </si>
  <si>
    <t>deuteron-proton mag. mom. ratio</t>
  </si>
  <si>
    <t>DeuteronProtonMagneticMomentRatio</t>
  </si>
  <si>
    <t>constant:DeuteronProtonMagneticMomentRatio</t>
  </si>
  <si>
    <t>deuteron-proton mass ratio</t>
  </si>
  <si>
    <t>DeuteronProtonMassRatio</t>
  </si>
  <si>
    <t>constant:DeuteronProtonMassRatio</t>
  </si>
  <si>
    <t>deuteron relative atomic mass</t>
  </si>
  <si>
    <t>DeuteronRelativeAtomicMass</t>
  </si>
  <si>
    <t>deuteron rms charge radius</t>
  </si>
  <si>
    <t>DeuteronRmsChargeRadius</t>
  </si>
  <si>
    <t>constant:DeuteronRmsChargeRadius</t>
  </si>
  <si>
    <t>ElectricConstant</t>
  </si>
  <si>
    <t>constant:ElectricConstant</t>
  </si>
  <si>
    <t>electron charge to mass quotient</t>
  </si>
  <si>
    <t>C kg^-1</t>
  </si>
  <si>
    <t>C.kg-1</t>
  </si>
  <si>
    <t>ElectronChargeToMassQuotient</t>
  </si>
  <si>
    <t>constant:ElectronChargeToMassQuotient</t>
  </si>
  <si>
    <t>electron-deuteron mag. mom. ratio</t>
  </si>
  <si>
    <t>ElectronDeuteronMagneticMomentRatio</t>
  </si>
  <si>
    <t>constant:ElectronDeuteronMagneticMomentRatio</t>
  </si>
  <si>
    <t>electron-deuteron mass ratio</t>
  </si>
  <si>
    <t>ElectronDeuteronMassRatio</t>
  </si>
  <si>
    <t>constant:ElectronDeuteronMassRatio</t>
  </si>
  <si>
    <t>electron g factor</t>
  </si>
  <si>
    <t>ElectronGFactor</t>
  </si>
  <si>
    <t>constant:ElectronGFactor</t>
  </si>
  <si>
    <t>electron gyromag. ratio</t>
  </si>
  <si>
    <t>s^-1 T^-1</t>
  </si>
  <si>
    <t>s-1.T-1</t>
  </si>
  <si>
    <t>ElectronGyromagneticRatio</t>
  </si>
  <si>
    <t>constant:ElectronGyromagneticRatio</t>
  </si>
  <si>
    <t>constant:ElectronGyromagneticRatioOver2Pi</t>
  </si>
  <si>
    <t>electron gyromag. ratio in MHz/T</t>
  </si>
  <si>
    <t>MHz T^-1</t>
  </si>
  <si>
    <t>ElectronGyromagneticRatioInMHzPerT</t>
  </si>
  <si>
    <t>MHz.T-1</t>
  </si>
  <si>
    <t>electron-helion mass ratio</t>
  </si>
  <si>
    <t>Electron-HelionMassRatio</t>
  </si>
  <si>
    <t>electron mag. mom.</t>
  </si>
  <si>
    <t>ElectronMagneticMoment</t>
  </si>
  <si>
    <t>constant:ElectronMagneticMoment</t>
  </si>
  <si>
    <t>electron mag. mom. anomaly</t>
  </si>
  <si>
    <t>ElectronMagneticMomentAnomaly</t>
  </si>
  <si>
    <t>constant:ElectronMagneticMomentAnomaly</t>
  </si>
  <si>
    <t>electron mag. mom. to Bohr magneton ratio</t>
  </si>
  <si>
    <t>ElectronMagneticMomentToBohrMagnetonRatio</t>
  </si>
  <si>
    <t>constant:ElectronMagneticMomentToBohrMagnetonRatio</t>
  </si>
  <si>
    <t>electron mag. mom. to nuclear magneton ratio</t>
  </si>
  <si>
    <t>ElectronMagneticMomentToNuclearMagnetonRatio</t>
  </si>
  <si>
    <t>constant:ElectronMagneticMomentToNuclearMagnetonRatio</t>
  </si>
  <si>
    <t>electron mass</t>
  </si>
  <si>
    <t>[m_e]</t>
  </si>
  <si>
    <t>constant:ElectronMass</t>
  </si>
  <si>
    <t>electron mass energy equivalent</t>
  </si>
  <si>
    <t>ElectronMassEnergyEquivalent</t>
  </si>
  <si>
    <t>constant:ElectronMassEnergyEquivalent</t>
  </si>
  <si>
    <t>electron mass energy equivalent in MeV</t>
  </si>
  <si>
    <t>ElectronMassEnergyEquivalentInMeV</t>
  </si>
  <si>
    <t>constant:ElectronMassEnergyEquivalentInMeV</t>
  </si>
  <si>
    <t>electron mass in u</t>
  </si>
  <si>
    <t>ElectronMassInAtomicMassUnit</t>
  </si>
  <si>
    <t>constant:ElectronMassInAtomicMassUnit</t>
  </si>
  <si>
    <t>electron molar mass</t>
  </si>
  <si>
    <t>ElectronMolarMass</t>
  </si>
  <si>
    <t>constant:ElectronMolarMass</t>
  </si>
  <si>
    <t>electron-muon mag. mom. ratio</t>
  </si>
  <si>
    <t>ElectronMuonMagneticMomentRatio</t>
  </si>
  <si>
    <t>constant:ElectronMuonMagneticMomentRatio</t>
  </si>
  <si>
    <t>electron-muon mass ratio</t>
  </si>
  <si>
    <t>ElectronMuonMassRatio</t>
  </si>
  <si>
    <t>constant:ElectronMuonMassRatio</t>
  </si>
  <si>
    <t>electron-neutron mag. mom. ratio</t>
  </si>
  <si>
    <t>ElectronNeutronMagneticMomentRatio</t>
  </si>
  <si>
    <t>constant:ElectronNeutronMagneticMomentRatio</t>
  </si>
  <si>
    <t>electron-neutron mass ratio</t>
  </si>
  <si>
    <t>ElectronNeutronMassRatio</t>
  </si>
  <si>
    <t>constant:ElectronNeutronMassRatio</t>
  </si>
  <si>
    <t>electron-proton mag. mom. ratio</t>
  </si>
  <si>
    <t>ElectronProtonMagneticMomentRatio</t>
  </si>
  <si>
    <t>constant:ElectronProtonMagneticMomentRatio</t>
  </si>
  <si>
    <t>electron-proton mass ratio</t>
  </si>
  <si>
    <t>ElectronProtonMassRatio</t>
  </si>
  <si>
    <t>constant:ElectronProtonMassRatio</t>
  </si>
  <si>
    <t>electron relative atomic mass</t>
  </si>
  <si>
    <t>ElectronRelativeAtomicMass</t>
  </si>
  <si>
    <t>electron-tau mass ratio</t>
  </si>
  <si>
    <t>ElectronTauMassRatio</t>
  </si>
  <si>
    <t>constant:ElectronTauMassRatio</t>
  </si>
  <si>
    <t>electron to alpha particle mass ratio</t>
  </si>
  <si>
    <t>ElectronToAlphaParticleMassRatio</t>
  </si>
  <si>
    <t>constant:ElectronToAlphaParticleMassRatio</t>
  </si>
  <si>
    <t>electron to shielded helion mag. mom. ratio</t>
  </si>
  <si>
    <t>ElectronToShieldedHelionMagneticMomentRatio</t>
  </si>
  <si>
    <t>constant:ElectronToShieldedHelionMagneticMomentRatio</t>
  </si>
  <si>
    <t>electron to shielded proton mag. mom. ratio</t>
  </si>
  <si>
    <t>ElectronToShieldedProtonMagneticMomentRatio</t>
  </si>
  <si>
    <t>constant:ElectronToShieldedProtonMagneticMomentRatio</t>
  </si>
  <si>
    <t>electron-triton mass ratio</t>
  </si>
  <si>
    <t>Electron-TritonMassRatio</t>
  </si>
  <si>
    <t>electron volt</t>
  </si>
  <si>
    <t>ElectronVolt</t>
  </si>
  <si>
    <t>electron volt-atomic mass unit relationship</t>
  </si>
  <si>
    <t>ElectronVoltAtomicMassUnitRelationship</t>
  </si>
  <si>
    <t>constant:ElectronVoltAtomicMassUnitRelationship</t>
  </si>
  <si>
    <t>electron volt-hartree relationship</t>
  </si>
  <si>
    <t>ElectronVoltHartreeRelationship</t>
  </si>
  <si>
    <t>constant:ElectronVoltHartreeRelationship</t>
  </si>
  <si>
    <t>electron volt-hertz relationship</t>
  </si>
  <si>
    <t>ElectronVoltHertzRelationship</t>
  </si>
  <si>
    <t>constant:ElectronVoltHertzRelationship</t>
  </si>
  <si>
    <t>electron volt-inverse meter relationship</t>
  </si>
  <si>
    <t>ElectronVoltInverseMeterRelationship</t>
  </si>
  <si>
    <t>constant:ElectronVoltInverseMeterRelationship</t>
  </si>
  <si>
    <t>electron volt-joule relationship</t>
  </si>
  <si>
    <t>ElectronVoltJouleRelationship</t>
  </si>
  <si>
    <t>constant:ElectronVoltJouleRelationship</t>
  </si>
  <si>
    <t>electron volt-kelvin relationship</t>
  </si>
  <si>
    <t>ElectronVoltKelvinRelationship</t>
  </si>
  <si>
    <t>constant:ElectronVoltKelvinRelationship</t>
  </si>
  <si>
    <t>electron volt-kilogram relationship</t>
  </si>
  <si>
    <t>ElectronVoltKilogramRelationship</t>
  </si>
  <si>
    <t>constant:ElectronVoltKilogramRelationship</t>
  </si>
  <si>
    <t>elementary charge</t>
  </si>
  <si>
    <t>ElementaryCharge</t>
  </si>
  <si>
    <t>constant:ElementaryCharge</t>
  </si>
  <si>
    <t>elementary charge over h-bar</t>
  </si>
  <si>
    <t>A J^-1</t>
  </si>
  <si>
    <t>A.J-1</t>
  </si>
  <si>
    <t>ElementaryChargeOverH</t>
  </si>
  <si>
    <t>constant:ElementaryChargeOverH</t>
  </si>
  <si>
    <t>Faraday constant</t>
  </si>
  <si>
    <t>C mol^-1</t>
  </si>
  <si>
    <t>C.mol-1</t>
  </si>
  <si>
    <t>FaradayConstant</t>
  </si>
  <si>
    <t>constant:FaradayConstant</t>
  </si>
  <si>
    <t>Faraday constant for conventional electric current</t>
  </si>
  <si>
    <t>C_90 mol^-1</t>
  </si>
  <si>
    <t>FaradayConstantConventionalElectricCurrent</t>
  </si>
  <si>
    <t>Fermi coupling constant</t>
  </si>
  <si>
    <t>GeV^-2</t>
  </si>
  <si>
    <t>GeV-12</t>
  </si>
  <si>
    <t>FermiCouplingConstant</t>
  </si>
  <si>
    <t>constant:FermiCouplingConstant</t>
  </si>
  <si>
    <t>fine-structure constant</t>
  </si>
  <si>
    <t>FineStructureConstant</t>
  </si>
  <si>
    <t>constant:FineStructureConstant</t>
  </si>
  <si>
    <t>first radiation constant</t>
  </si>
  <si>
    <t>W m^2</t>
  </si>
  <si>
    <t>W.m2</t>
  </si>
  <si>
    <t>FirstRadiationConstant</t>
  </si>
  <si>
    <t>constant:FirstRadiationConstant</t>
  </si>
  <si>
    <t>first radiation constant for spectral radiance</t>
  </si>
  <si>
    <t>W m^2 sr^-1</t>
  </si>
  <si>
    <t>W.m2.sr-1</t>
  </si>
  <si>
    <t>FirstRadiationConstantForSpectralRadiance</t>
  </si>
  <si>
    <t>constant:FirstRadiationConstantForSpectralRadiance</t>
  </si>
  <si>
    <t>GravitationalConstant</t>
  </si>
  <si>
    <t>constant:GravitationalConstant</t>
  </si>
  <si>
    <t>hartree-atomic mass unit relationship</t>
  </si>
  <si>
    <t>HartreeAtomicMassUnitRelationship</t>
  </si>
  <si>
    <t>constant:HartreeAtomicMassUnitRelationship</t>
  </si>
  <si>
    <t>hartree-electron volt relationship</t>
  </si>
  <si>
    <t>HartreeElectronVoltRelationship</t>
  </si>
  <si>
    <t>constant:HartreeElectronVoltRelationship</t>
  </si>
  <si>
    <t>Hartree energy</t>
  </si>
  <si>
    <t>HartreeEnergy</t>
  </si>
  <si>
    <t>constant:HartreeEnergy</t>
  </si>
  <si>
    <t>Hartree energy in eV</t>
  </si>
  <si>
    <t>HartreeEnergyInEV</t>
  </si>
  <si>
    <t>constant:HartreeEnergyInEV</t>
  </si>
  <si>
    <t>hartree-hertz relationship</t>
  </si>
  <si>
    <t>HartreeHertzRelationship</t>
  </si>
  <si>
    <t>constant:HartreeHertzRelationship</t>
  </si>
  <si>
    <t>hartree-inverse meter relationship</t>
  </si>
  <si>
    <t>HartreeInverseMeterRelationship</t>
  </si>
  <si>
    <t>constant:HartreeInverseMeterRelationship</t>
  </si>
  <si>
    <t>hartree-joule relationship</t>
  </si>
  <si>
    <t>HartreeJouleRelationship</t>
  </si>
  <si>
    <t>constant:HartreeJouleRelationship</t>
  </si>
  <si>
    <t>hartree-kelvin relationship</t>
  </si>
  <si>
    <t>HartreeKelvinRelationship</t>
  </si>
  <si>
    <t>constant:HartreeKelvinRelationship</t>
  </si>
  <si>
    <t>hartree-kilogram relationship</t>
  </si>
  <si>
    <t>HartreeKilogramRelationship</t>
  </si>
  <si>
    <t>constant:HartreeKilogramRelationship</t>
  </si>
  <si>
    <t>helion-electron mass ratio</t>
  </si>
  <si>
    <t>HelionElectronMassRatio</t>
  </si>
  <si>
    <t>constant:HelionElectronMassRatio</t>
  </si>
  <si>
    <t>helion g factor</t>
  </si>
  <si>
    <t>HelionGFactor</t>
  </si>
  <si>
    <t>helion mag. mom.</t>
  </si>
  <si>
    <t>HelionMag.Mom.</t>
  </si>
  <si>
    <t>helion mag. mom. to Bohr magneton ratio</t>
  </si>
  <si>
    <t>HelionMag.Mom.ToBohrMagnetonRatio</t>
  </si>
  <si>
    <t>helion mag. mom. to nuclear magneton ratio</t>
  </si>
  <si>
    <t>HelionMag.Mom.ToNuclearMagnetonRatio</t>
  </si>
  <si>
    <t>helion mass</t>
  </si>
  <si>
    <t>HelionMass</t>
  </si>
  <si>
    <t>constant:HelionMass</t>
  </si>
  <si>
    <t>helion mass energy equivalent</t>
  </si>
  <si>
    <t>HelionMassEnergyEquivalent</t>
  </si>
  <si>
    <t>constant:HelionMassEnergyEquivalent</t>
  </si>
  <si>
    <t>helion mass energy equivalent in MeV</t>
  </si>
  <si>
    <t>constant:HelionMassEnergyEquivalentInMeV</t>
  </si>
  <si>
    <t>helion mass in u</t>
  </si>
  <si>
    <t>HelionMassInAtomicMassUnit</t>
  </si>
  <si>
    <t>constant:HelionMassInAtomicMassUnit</t>
  </si>
  <si>
    <t>helion molar mass</t>
  </si>
  <si>
    <t>HelionMolarMass</t>
  </si>
  <si>
    <t>constant:HelionMolarMass</t>
  </si>
  <si>
    <t>helion-proton mass ratio</t>
  </si>
  <si>
    <t>HelionProtonMassRatio</t>
  </si>
  <si>
    <t>constant:HelionProtonMassRatio</t>
  </si>
  <si>
    <t>helion relative atomic mass</t>
  </si>
  <si>
    <t>HelionRelativeAtomicMass</t>
  </si>
  <si>
    <t>helion shielding shift</t>
  </si>
  <si>
    <t>HelionShieldingShift</t>
  </si>
  <si>
    <t>hertz-atomic mass unit relationship</t>
  </si>
  <si>
    <t>HertzAtomicMassUnitRelationship</t>
  </si>
  <si>
    <t>constant:HertzAtomicMassUnitRelationship</t>
  </si>
  <si>
    <t>hertz-electron volt relationship</t>
  </si>
  <si>
    <t>HertzElectronVoltRelationship</t>
  </si>
  <si>
    <t>constant:HertzElectronVoltRelationship</t>
  </si>
  <si>
    <t>hertz-hartree relationship</t>
  </si>
  <si>
    <t>HertzHartreeRelationship</t>
  </si>
  <si>
    <t>constant:HertzHartreeRelationship</t>
  </si>
  <si>
    <t>hertz-inverse meter relationship</t>
  </si>
  <si>
    <t>HertzInverseMeterRelationship</t>
  </si>
  <si>
    <t>constant:HertzInverseMeterRelationship</t>
  </si>
  <si>
    <t>hertz-joule relationship</t>
  </si>
  <si>
    <t>HertzJouleRelationship</t>
  </si>
  <si>
    <t>constant:HertzJouleRelationship</t>
  </si>
  <si>
    <t>hertz-kelvin relationship</t>
  </si>
  <si>
    <t>HertzKelvinRelationship</t>
  </si>
  <si>
    <t>constant:HertzKelvinRelationship</t>
  </si>
  <si>
    <t>hertz-kilogram relationship</t>
  </si>
  <si>
    <t>HertzKilogramRelationship</t>
  </si>
  <si>
    <t>constant:HertzKilogramRelationship</t>
  </si>
  <si>
    <t>hyperfine transition frequency of Cs-133</t>
  </si>
  <si>
    <t>HyperfineTransitionFrequencyOfCs-133</t>
  </si>
  <si>
    <t>inverse fine-structure constant</t>
  </si>
  <si>
    <t>InverseFineStructureConstant</t>
  </si>
  <si>
    <t>constant:InverseFineStructureConstant</t>
  </si>
  <si>
    <t>inverse meter-atomic mass unit relationship</t>
  </si>
  <si>
    <t>InverseMeterAtomicMassUnitRelationship</t>
  </si>
  <si>
    <t>constant:InverseMeterAtomicMassUnitRelationship</t>
  </si>
  <si>
    <t>inverse meter-electron volt relationship</t>
  </si>
  <si>
    <t>InverseMeterElectronVoltRelationship</t>
  </si>
  <si>
    <t>constant:InverseMeterElectronVoltRelationship</t>
  </si>
  <si>
    <t>inverse meter-hartree relationship</t>
  </si>
  <si>
    <t>InverseMeterHartreeRelationship</t>
  </si>
  <si>
    <t>constant:InverseMeterHartreeRelationship</t>
  </si>
  <si>
    <t>inverse meter-hertz relationship</t>
  </si>
  <si>
    <t>InverseMeterHertzRelationship</t>
  </si>
  <si>
    <t>constant:InverseMeterHertzRelationship</t>
  </si>
  <si>
    <t>inverse meter-joule relationship</t>
  </si>
  <si>
    <t>InverseMeterJouleRelationship</t>
  </si>
  <si>
    <t>constant:InverseMeterJouleRelationship</t>
  </si>
  <si>
    <t>inverse meter-kelvin relationship</t>
  </si>
  <si>
    <t>InverseMeterKelvinRelationship</t>
  </si>
  <si>
    <t>constant:InverseMeterKelvinRelationship</t>
  </si>
  <si>
    <t>inverse meter-kilogram relationship</t>
  </si>
  <si>
    <t>InverseMeterKilogramRelationship</t>
  </si>
  <si>
    <t>constant:InverseMeterKilogramRelationship</t>
  </si>
  <si>
    <t>inverse of conductance quantum</t>
  </si>
  <si>
    <t>InverseOfConductanceQuantum</t>
  </si>
  <si>
    <t>constant:InverseOfConductanceQuantum</t>
  </si>
  <si>
    <t>Josephson constant</t>
  </si>
  <si>
    <t>JosephsonConstant</t>
  </si>
  <si>
    <t>constant:JosephsonConstant</t>
  </si>
  <si>
    <t>joule-atomic mass unit relationship</t>
  </si>
  <si>
    <t>JouleAtomicMassUnitRelationship</t>
  </si>
  <si>
    <t>constant:JouleAtomicMassUnitRelationship</t>
  </si>
  <si>
    <t>joule-electron volt relationship</t>
  </si>
  <si>
    <t>JouleElectronVoltRelationship</t>
  </si>
  <si>
    <t>constant:JouleElectronVoltRelationship</t>
  </si>
  <si>
    <t>joule-hartree relationship</t>
  </si>
  <si>
    <t>JouleHartreeRelationship</t>
  </si>
  <si>
    <t>constant:JouleHartreeRelationship</t>
  </si>
  <si>
    <t>joule-hertz relationship</t>
  </si>
  <si>
    <t>JouleHertzRelationship</t>
  </si>
  <si>
    <t>constant:JouleHertzRelationship</t>
  </si>
  <si>
    <t>joule-inverse meter relationship</t>
  </si>
  <si>
    <t>JouleInverseMeterRelationship</t>
  </si>
  <si>
    <t>constant:JouleInverseMeterRelationship</t>
  </si>
  <si>
    <t>joule-kelvin relationship</t>
  </si>
  <si>
    <t>JouleKelvinRelationship</t>
  </si>
  <si>
    <t>constant:JouleKelvinRelationship</t>
  </si>
  <si>
    <t>joule-kilogram relationship</t>
  </si>
  <si>
    <t>JouleKilogramRelationship</t>
  </si>
  <si>
    <t>constant:JouleKilogramRelationship</t>
  </si>
  <si>
    <t>kelvin-atomic mass unit relationship</t>
  </si>
  <si>
    <t>KelvinAtomicMassUnitRelationship</t>
  </si>
  <si>
    <t>constant:KelvinAtomicMassUnitRelationship</t>
  </si>
  <si>
    <t>kelvin-electron volt relationship</t>
  </si>
  <si>
    <t>KelvinElectronVoltRelationship</t>
  </si>
  <si>
    <t>constant:KelvinElectronVoltRelationship</t>
  </si>
  <si>
    <t>kelvin-hartree relationship</t>
  </si>
  <si>
    <t>KelvinHartreeRelationship</t>
  </si>
  <si>
    <t>constant:KelvinHartreeRelationship</t>
  </si>
  <si>
    <t>kelvin-hertz relationship</t>
  </si>
  <si>
    <t>KelvinHertzRelationship</t>
  </si>
  <si>
    <t>constant:KelvinHertzRelationship</t>
  </si>
  <si>
    <t>kelvin-inverse meter relationship</t>
  </si>
  <si>
    <t>KelvinInverseMeterRelationship</t>
  </si>
  <si>
    <t>constant:KelvinInverseMeterRelationship</t>
  </si>
  <si>
    <t>kelvin-joule relationship</t>
  </si>
  <si>
    <t>KelvinJouleRelationship</t>
  </si>
  <si>
    <t>constant:KelvinJouleRelationship</t>
  </si>
  <si>
    <t>kelvin-kilogram relationship</t>
  </si>
  <si>
    <t>KelvinKilogramRelationship</t>
  </si>
  <si>
    <t>constant:KelvinKilogramRelationship</t>
  </si>
  <si>
    <t>kilogram-atomic mass unit relationship</t>
  </si>
  <si>
    <t>KilogramAtomicMassUnitRelationship</t>
  </si>
  <si>
    <t>constant:KilogramAtomicMassUnitRelationship</t>
  </si>
  <si>
    <t>kilogram-electron volt relationship</t>
  </si>
  <si>
    <t>KilogramElectronVoltRelationship</t>
  </si>
  <si>
    <t>constant:KilogramElectronVoltRelationship</t>
  </si>
  <si>
    <t>kilogram-hartree relationship</t>
  </si>
  <si>
    <t>KilogramHartreeRelationship</t>
  </si>
  <si>
    <t>constant:KilogramHartreeRelationship</t>
  </si>
  <si>
    <t>kilogram-hertz relationship</t>
  </si>
  <si>
    <t>KilogramHertzRelationship</t>
  </si>
  <si>
    <t>constant:KilogramHertzRelationship</t>
  </si>
  <si>
    <t>kilogram-inverse meter relationship</t>
  </si>
  <si>
    <t>KilogramInverseMeterRelationship</t>
  </si>
  <si>
    <t>constant:KilogramInverseMeterRelationship</t>
  </si>
  <si>
    <t>kilogram-joule relationship</t>
  </si>
  <si>
    <t>KilogramJouleRelationship</t>
  </si>
  <si>
    <t>constant:KilogramJouleRelationship</t>
  </si>
  <si>
    <t>kilogram-kelvin relationship</t>
  </si>
  <si>
    <t>KilogramKelvinRelationship</t>
  </si>
  <si>
    <t>constant:KilogramKelvinRelationship</t>
  </si>
  <si>
    <t>lattice parameter of silicon</t>
  </si>
  <si>
    <t>LatticeParameterOfSilicon</t>
  </si>
  <si>
    <t>constant:LatticeParameterOfSilicon</t>
  </si>
  <si>
    <t>lattice spacing of ideal Si (220)</t>
  </si>
  <si>
    <t>LatticeSpacingOfSilicon</t>
  </si>
  <si>
    <t>constant:LatticeSpacingOfSilicon</t>
  </si>
  <si>
    <t>Loschmidt constant (273.15 K, 100 kPa)</t>
  </si>
  <si>
    <t>m^-3</t>
  </si>
  <si>
    <t>LoschmidtConstant273K100Kpa</t>
  </si>
  <si>
    <t>m-3</t>
  </si>
  <si>
    <t>LoschmidtConstant</t>
  </si>
  <si>
    <t>Loschmidt constant (273.15 K, 101.325 kPa)</t>
  </si>
  <si>
    <t>LoschmidtConstant273K101Kpa</t>
  </si>
  <si>
    <t>luminous efficacy</t>
  </si>
  <si>
    <t>lm W^-1</t>
  </si>
  <si>
    <t>lm.W-1</t>
  </si>
  <si>
    <t>LuminousEfficacy</t>
  </si>
  <si>
    <t>MagneticConstant</t>
  </si>
  <si>
    <t>constant:MagneticConstant</t>
  </si>
  <si>
    <t>mag. flux quantum</t>
  </si>
  <si>
    <t>Wb</t>
  </si>
  <si>
    <t>MagneticFluxQuantum</t>
  </si>
  <si>
    <t>constant:MagneticFluxQuantum</t>
  </si>
  <si>
    <t>molar gas constant</t>
  </si>
  <si>
    <t>J mol^-1 K^-1</t>
  </si>
  <si>
    <t>J.mol-1.K-1</t>
  </si>
  <si>
    <t>MolarGasConstant</t>
  </si>
  <si>
    <t>constant:MolarGasConstant</t>
  </si>
  <si>
    <t>molar mass constant</t>
  </si>
  <si>
    <t>MolarMassConstant</t>
  </si>
  <si>
    <t>constant:MolarMassConstant</t>
  </si>
  <si>
    <t>molar mass of carbon-12</t>
  </si>
  <si>
    <t>MolarMassOfCarbon12</t>
  </si>
  <si>
    <t>constant:MolarMassOfCarbon12</t>
  </si>
  <si>
    <t>molar Planck constant</t>
  </si>
  <si>
    <t>J Hz^-1 mol^-1</t>
  </si>
  <si>
    <t>J.Hz-1.mol-1</t>
  </si>
  <si>
    <t>MolarPlanckConstant</t>
  </si>
  <si>
    <t>constant:MolarPlanckConstant</t>
  </si>
  <si>
    <t>MolarPlanckConstantTimesC</t>
  </si>
  <si>
    <t>constant:MolarPlanckConstantTimesC</t>
  </si>
  <si>
    <t>molar volume of ideal gas (273.15 K, 100 kPa)</t>
  </si>
  <si>
    <t>m^3 mol^-1</t>
  </si>
  <si>
    <t>MolarVolumeOfIdealGas273K100Kpa</t>
  </si>
  <si>
    <t>m^3.mol-1</t>
  </si>
  <si>
    <t>MolarVolumeOfIdealGas</t>
  </si>
  <si>
    <t>molar volume of ideal gas (273.15 K, 101.325 kPa)</t>
  </si>
  <si>
    <t>MolarVolumeOfIdealGas273K101Kpa</t>
  </si>
  <si>
    <t>molar volume of silicon</t>
  </si>
  <si>
    <t>MolarVolumeOfSilicon</t>
  </si>
  <si>
    <t>constant:MolarVolumeOfSilicon</t>
  </si>
  <si>
    <t>Molybdenum x unit</t>
  </si>
  <si>
    <t>MolybdenumXUnit</t>
  </si>
  <si>
    <t>MoXUnit</t>
  </si>
  <si>
    <t>constant:MoXUnit</t>
  </si>
  <si>
    <t>muon Compton wavelength</t>
  </si>
  <si>
    <t>MuonComptonWavelength</t>
  </si>
  <si>
    <t>constant:MuonComptonWavelength</t>
  </si>
  <si>
    <t>constant:MuonComptonWavelengthOver2Pi</t>
  </si>
  <si>
    <t>muon-electron mass ratio</t>
  </si>
  <si>
    <t>MuonElectronMassRatio</t>
  </si>
  <si>
    <t>constant:MuonElectronMassRatio</t>
  </si>
  <si>
    <t>muon g factor</t>
  </si>
  <si>
    <t>MuonGFactor</t>
  </si>
  <si>
    <t>constant:MuonGFactor</t>
  </si>
  <si>
    <t>muon mag. mom.</t>
  </si>
  <si>
    <t>MuonMagneticMoment</t>
  </si>
  <si>
    <t>constant:MuonMagneticMoment</t>
  </si>
  <si>
    <t>muon mag. mom. anomaly</t>
  </si>
  <si>
    <t>MuonMagneticMomentAnomaly</t>
  </si>
  <si>
    <t>constant:MuonMagneticMomentAnomaly</t>
  </si>
  <si>
    <t>muon mag. mom. to Bohr magneton ratio</t>
  </si>
  <si>
    <t>MuonMagneticMomentToBohrMagnetonRatio</t>
  </si>
  <si>
    <t>constant:MuonMagneticMomentToBohrMagnetonRatio</t>
  </si>
  <si>
    <t>muon mag. mom. to nuclear magneton ratio</t>
  </si>
  <si>
    <t>MuonMagneticMomentToNuclearMagnetonRatio</t>
  </si>
  <si>
    <t>constant:MuonMagneticMomentToNuclearMagnetonRatio</t>
  </si>
  <si>
    <t>muon mass</t>
  </si>
  <si>
    <t>MuonMass</t>
  </si>
  <si>
    <t>constant:MuonMass</t>
  </si>
  <si>
    <t>muon mass energy equivalent</t>
  </si>
  <si>
    <t>MuonMassEnergyEquivalent</t>
  </si>
  <si>
    <t>constant:MuonMassEnergyEquivalent</t>
  </si>
  <si>
    <t>muon mass energy equivalent in MeV</t>
  </si>
  <si>
    <t>constant:MuonMassEnergyEquivalentInMeV</t>
  </si>
  <si>
    <t>muon mass in u</t>
  </si>
  <si>
    <t>MuonMassInAtomicMassUnit</t>
  </si>
  <si>
    <t>constant:MuonMassInAtomicMassUnit</t>
  </si>
  <si>
    <t>muon molar mass</t>
  </si>
  <si>
    <t>MuonMolarMass</t>
  </si>
  <si>
    <t>constant:MuonMolarMass</t>
  </si>
  <si>
    <t>muon-neutron mass ratio</t>
  </si>
  <si>
    <t>MuonNeutronMassRatio</t>
  </si>
  <si>
    <t>constant:MuonNeutronMassRatio</t>
  </si>
  <si>
    <t>muon-proton mag. mom. ratio</t>
  </si>
  <si>
    <t>MuonProtonMagneticMomentRatio</t>
  </si>
  <si>
    <t>constant:MuonProtonMagneticMomentRatio</t>
  </si>
  <si>
    <t>muon-proton mass ratio</t>
  </si>
  <si>
    <t>MuonProtonMassRatio</t>
  </si>
  <si>
    <t>constant:MuonProtonMassRatio</t>
  </si>
  <si>
    <t>muon-tau mass ratio</t>
  </si>
  <si>
    <t>MuonTauMassRatio</t>
  </si>
  <si>
    <t>constant:MuonTauMassRatio</t>
  </si>
  <si>
    <t>natural unit of action</t>
  </si>
  <si>
    <t>NaturalUnitOfAction</t>
  </si>
  <si>
    <t>constant:NaturalUnitOfAction</t>
  </si>
  <si>
    <t>natural unit of action in eV s</t>
  </si>
  <si>
    <t>eV s</t>
  </si>
  <si>
    <t>eV.s</t>
  </si>
  <si>
    <t>constant:NaturalUnitOfActionInEVS</t>
  </si>
  <si>
    <t>natural unit of energy</t>
  </si>
  <si>
    <t>NaturalUnitOfEnergy</t>
  </si>
  <si>
    <t>constant:NaturalUnitOfEnergy</t>
  </si>
  <si>
    <t>natural unit of energy in MeV</t>
  </si>
  <si>
    <t>constant:NaturalUnitOfEnergyInMeV</t>
  </si>
  <si>
    <t>natural unit of length</t>
  </si>
  <si>
    <t>NaturalUnitOfLength</t>
  </si>
  <si>
    <t>constant:NaturalUnitOfLength</t>
  </si>
  <si>
    <t>natural unit of mass</t>
  </si>
  <si>
    <t>NaturalUnitOfMass</t>
  </si>
  <si>
    <t>constant:NaturalUnitOfMass</t>
  </si>
  <si>
    <t>natural unit of momentum</t>
  </si>
  <si>
    <t>NaturalUnitOfMomentum</t>
  </si>
  <si>
    <t>constant:NaturalUnitOfMomentum</t>
  </si>
  <si>
    <t>natural unit of momentum in MeV/c</t>
  </si>
  <si>
    <t>MeV/c</t>
  </si>
  <si>
    <t>MeV.[c]-1</t>
  </si>
  <si>
    <t>constant:NaturalUnitOfMomentumInMeV-PER-c</t>
  </si>
  <si>
    <t>natural unit of time</t>
  </si>
  <si>
    <t>NaturalUnitOfTime</t>
  </si>
  <si>
    <t>constant:NaturalUnitOfTime</t>
  </si>
  <si>
    <t>natural unit of velocity</t>
  </si>
  <si>
    <t>NaturalUnitOfVelocity</t>
  </si>
  <si>
    <t>constant:NaturalUnitOfVelocity</t>
  </si>
  <si>
    <t>neutron Compton wavelength</t>
  </si>
  <si>
    <t>NeutronComptonWavelength</t>
  </si>
  <si>
    <t>constant:NeutronComptonWavelength</t>
  </si>
  <si>
    <t>constant:NeutronComptonWavelengthOver2Pi</t>
  </si>
  <si>
    <t>neutron-electron mag. mom. ratio</t>
  </si>
  <si>
    <t>NeutronElectronMagneticMomentRatio</t>
  </si>
  <si>
    <t>constant:NeutronElectronMagneticMomentRatio</t>
  </si>
  <si>
    <t>neutron-electron mass ratio</t>
  </si>
  <si>
    <t>NeutronElectronMassRatio</t>
  </si>
  <si>
    <t>constant:NeutronElectronMassRatio</t>
  </si>
  <si>
    <t>neutron g factor</t>
  </si>
  <si>
    <t>NeutronGFactor</t>
  </si>
  <si>
    <t>constant:NeutronGFactor</t>
  </si>
  <si>
    <t>neutron gyromag. ratio</t>
  </si>
  <si>
    <t>NeutronGyromagneticRatio</t>
  </si>
  <si>
    <t>constant:NeutronGyromagneticRatio</t>
  </si>
  <si>
    <t>constant:NeutronGyromagneticRatioOver2Pi</t>
  </si>
  <si>
    <t>neutron gyromag. ratio in MHz/T</t>
  </si>
  <si>
    <t>NeutronGyromagneticRatioInMhzPerT</t>
  </si>
  <si>
    <t>Mhz.T-1</t>
  </si>
  <si>
    <t>neutron mag. mom.</t>
  </si>
  <si>
    <t>NeutronMagneticMoment</t>
  </si>
  <si>
    <t>constant:NeutronMagneticMoment</t>
  </si>
  <si>
    <t>neutron mag. mom. to Bohr magneton ratio</t>
  </si>
  <si>
    <t>NeutronMagneticMomentToBohrMagnetonRatio</t>
  </si>
  <si>
    <t>constant:NeutronMagneticMomentToBohrMagnetonRatio</t>
  </si>
  <si>
    <t>neutron mag. mom. to nuclear magneton ratio</t>
  </si>
  <si>
    <t>NeutronMagneticMomentToNuclearMagnetonRatio</t>
  </si>
  <si>
    <t>constant:NeutronMagneticMomentToNuclearMagnetonRatio</t>
  </si>
  <si>
    <t>neutron mass</t>
  </si>
  <si>
    <t>NeutronMass</t>
  </si>
  <si>
    <t>constant:NeutronMass</t>
  </si>
  <si>
    <t>neutron mass energy equivalent</t>
  </si>
  <si>
    <t>NeutronMassEnergyEquivalent</t>
  </si>
  <si>
    <t>constant:NeutronMassEnergyEquivalent</t>
  </si>
  <si>
    <t>neutron mass energy equivalent in MeV</t>
  </si>
  <si>
    <t>constant:NeutronMassEnergyEquivalentInMeV</t>
  </si>
  <si>
    <t>neutron mass in u</t>
  </si>
  <si>
    <t>NeutronMassInAtomicMassUnit</t>
  </si>
  <si>
    <t>constant:NeutronMassInAtomicMassUnit</t>
  </si>
  <si>
    <t>neutron molar mass</t>
  </si>
  <si>
    <t>NeutronMolarMass</t>
  </si>
  <si>
    <t>constant:NeutronMolarMass</t>
  </si>
  <si>
    <t>neutron-muon mass ratio</t>
  </si>
  <si>
    <t>NeutronMuonMassRatio</t>
  </si>
  <si>
    <t>constant:NeutronMuonMassRatio</t>
  </si>
  <si>
    <t>neutron-proton mag. mom. ratio</t>
  </si>
  <si>
    <t>NeutronProtonMagneticMomentRatio</t>
  </si>
  <si>
    <t>constant:NeutronProtonMagneticMomentRatio</t>
  </si>
  <si>
    <t>neutron-proton mass difference</t>
  </si>
  <si>
    <t>Neutron-ProtonMassDifference</t>
  </si>
  <si>
    <t>neutron-proton mass difference energy equivalent</t>
  </si>
  <si>
    <t>Neutron-ProtonMassDifferenceEnergyEquivalent</t>
  </si>
  <si>
    <t>neutron-proton mass difference energy equivalent in MeV</t>
  </si>
  <si>
    <t>neutron-proton mass difference in u</t>
  </si>
  <si>
    <t>Neutron-ProtonMassDifferenceInU</t>
  </si>
  <si>
    <t>neutron-proton mass ratio</t>
  </si>
  <si>
    <t>NeutronProtonMassRatio</t>
  </si>
  <si>
    <t>constant:NeutronProtonMassRatio</t>
  </si>
  <si>
    <t>neutron relative atomic mass</t>
  </si>
  <si>
    <t>NeutronRelativeAtomicMass</t>
  </si>
  <si>
    <t>neutron-tau mass ratio</t>
  </si>
  <si>
    <t>NeutronTauMassRatio</t>
  </si>
  <si>
    <t>constant:NeutronTauMassRatio</t>
  </si>
  <si>
    <t>neutron to shielded proton mag. mom. ratio</t>
  </si>
  <si>
    <t>NeutronToShieldedProtonMagneticMomentRatio</t>
  </si>
  <si>
    <t>constant:NeutronToShieldedProtonMagneticMomentRatio</t>
  </si>
  <si>
    <t>Newtonian constant of gravitation</t>
  </si>
  <si>
    <t>m^3 kg^-1 s^-2</t>
  </si>
  <si>
    <t>[G]</t>
  </si>
  <si>
    <t>NewtonianConstantOfGravitation</t>
  </si>
  <si>
    <t>constant:NewtonianConstantOfGravitation</t>
  </si>
  <si>
    <t>Newtonian constant of gravitation over h-bar c</t>
  </si>
  <si>
    <t>(GeV/c^2)^-2</t>
  </si>
  <si>
    <t>NewtonianConstantOfGravitationOverHBarC</t>
  </si>
  <si>
    <t>GeV-2.[c]4</t>
  </si>
  <si>
    <t>nuclear magneton</t>
  </si>
  <si>
    <t>NuclearMagneton</t>
  </si>
  <si>
    <t>constant:NuclearMagneton</t>
  </si>
  <si>
    <t>nuclear magneton in eV/T</t>
  </si>
  <si>
    <t>constant:NuclearMagnetonInEVPerT</t>
  </si>
  <si>
    <t>nuclear magneton in inverse meter per tesla</t>
  </si>
  <si>
    <t>NuclearMagnetonInInverseMetersPerTesla</t>
  </si>
  <si>
    <t>constant:NuclearMagnetonInInverseMetersPerTesla</t>
  </si>
  <si>
    <t>nuclear magneton in K/T</t>
  </si>
  <si>
    <t>NuclearMagnetonInKPerT</t>
  </si>
  <si>
    <t>constant:NuclearMagnetonInKPerT</t>
  </si>
  <si>
    <t>nuclear magneton in MHz/T</t>
  </si>
  <si>
    <t>NuclearMagnetonInMHzPerT</t>
  </si>
  <si>
    <t>constant:NuclearMagnetonInMHzPerT</t>
  </si>
  <si>
    <t>Planck constant</t>
  </si>
  <si>
    <t>J Hz^-1</t>
  </si>
  <si>
    <t>J.Hz-1</t>
  </si>
  <si>
    <t>PlanckConstant</t>
  </si>
  <si>
    <t>constant:PlanckConstant</t>
  </si>
  <si>
    <t>Planck constant in eV/Hz</t>
  </si>
  <si>
    <t>eV Hz^-1</t>
  </si>
  <si>
    <t>eV.Hz-1</t>
  </si>
  <si>
    <t>constant:PlanckConstantInEVS</t>
  </si>
  <si>
    <t>constant:PlanckConstantOver2Pi</t>
  </si>
  <si>
    <t>constant:PlanckConstantOver2PiInEVS</t>
  </si>
  <si>
    <t>constant:PlanckConstantOver2PiTimesCInMeVFm</t>
  </si>
  <si>
    <t>Planck length</t>
  </si>
  <si>
    <t>PlanckLength</t>
  </si>
  <si>
    <t>constant:PlanckLength</t>
  </si>
  <si>
    <t>Planck mass</t>
  </si>
  <si>
    <t>PlanckMass</t>
  </si>
  <si>
    <t>constant:PlanckMass</t>
  </si>
  <si>
    <t>Planck mass energy equivalent in GeV</t>
  </si>
  <si>
    <t>GeV</t>
  </si>
  <si>
    <t>constant:PlanckMassEnergyEquivalentInGeV</t>
  </si>
  <si>
    <t>Planck temperature</t>
  </si>
  <si>
    <t>Kg</t>
  </si>
  <si>
    <t>PlanckTemperature</t>
  </si>
  <si>
    <t>constant:PlanckTemperature</t>
  </si>
  <si>
    <t>Planck time</t>
  </si>
  <si>
    <t>PlanckTime</t>
  </si>
  <si>
    <t>constant:PlanckTime</t>
  </si>
  <si>
    <t>proton charge to mass quotient</t>
  </si>
  <si>
    <t>ProtonChargeToMassQuotient</t>
  </si>
  <si>
    <t>constant:ProtonChargeToMassQuotient</t>
  </si>
  <si>
    <t>proton Compton wavelength</t>
  </si>
  <si>
    <t>ProtonComptonWavelength</t>
  </si>
  <si>
    <t>constant:ProtonComptonWavelength</t>
  </si>
  <si>
    <t>constant:ProtonComptonWavelengthOver2Pi</t>
  </si>
  <si>
    <t>proton-electron mass ratio</t>
  </si>
  <si>
    <t>ProtonElectronMassRatio</t>
  </si>
  <si>
    <t>constant:ProtonElectronMassRatio</t>
  </si>
  <si>
    <t>proton g factor</t>
  </si>
  <si>
    <t>ProtonGFactor</t>
  </si>
  <si>
    <t>constant:ProtonGFactor</t>
  </si>
  <si>
    <t>proton gyromag. ratio</t>
  </si>
  <si>
    <t>ProtonGyromagneticRatio</t>
  </si>
  <si>
    <t>constant:ProtonGyromagneticRatio</t>
  </si>
  <si>
    <t>constant:ProtonGyromagneticRatioOver2Pi</t>
  </si>
  <si>
    <t>proton gyromag. ratio in MHz/T</t>
  </si>
  <si>
    <t>ProtonGyromagneticRatioInMhzPerT</t>
  </si>
  <si>
    <t>proton mag. mom.</t>
  </si>
  <si>
    <t>ProtonMagneticMoment</t>
  </si>
  <si>
    <t>constant:ProtonMagneticMoment</t>
  </si>
  <si>
    <t>proton mag. mom. to Bohr magneton ratio</t>
  </si>
  <si>
    <t>ProtonMagneticMomentToBohrMagnetonRatio</t>
  </si>
  <si>
    <t>constant:ProtonMagneticMomentToBohrMagnetonRatio</t>
  </si>
  <si>
    <t>proton mag. mom. to nuclear magneton ratio</t>
  </si>
  <si>
    <t>ProtonMagneticMomentToNuclearMagnetonRatio</t>
  </si>
  <si>
    <t>constant:ProtonMagneticMomentToNuclearMagnetonRatio</t>
  </si>
  <si>
    <t>proton mag. shielding correction</t>
  </si>
  <si>
    <t>ProtonMagneticShieldingCorrection</t>
  </si>
  <si>
    <t>proton mass</t>
  </si>
  <si>
    <t>[m_p]</t>
  </si>
  <si>
    <t>ProtonMass</t>
  </si>
  <si>
    <t>constant:ProtonMass</t>
  </si>
  <si>
    <t>proton mass energy equivalent</t>
  </si>
  <si>
    <t>constant:ProtonMassEnergyEquivalent</t>
  </si>
  <si>
    <t>proton mass energy equivalent in MeV</t>
  </si>
  <si>
    <t>constant:ProtonMassEnergyEquivalentInMeV</t>
  </si>
  <si>
    <t>proton mass in u</t>
  </si>
  <si>
    <t>constant:ProtonMassInAtomicMassUnit</t>
  </si>
  <si>
    <t>proton molar mass</t>
  </si>
  <si>
    <t>ProtonMolarMass</t>
  </si>
  <si>
    <t>constant:ProtonMolarMass</t>
  </si>
  <si>
    <t>proton-muon mass ratio</t>
  </si>
  <si>
    <t>ProtonMuonMassRatio</t>
  </si>
  <si>
    <t>constant:ProtonMuonMassRatio</t>
  </si>
  <si>
    <t>proton-neutron mag. mom. ratio</t>
  </si>
  <si>
    <t>ProtonNeutronMagneticMomentRatio</t>
  </si>
  <si>
    <t>constant:ProtonNeutronMagneticMomentRatio</t>
  </si>
  <si>
    <t>proton-neutron mass ratio</t>
  </si>
  <si>
    <t>ProtonNeutronMassRatio</t>
  </si>
  <si>
    <t>constant:ProtonNeutronMassRatio</t>
  </si>
  <si>
    <t>proton relative atomic mass</t>
  </si>
  <si>
    <t>ProtonRelativeAtomicMass</t>
  </si>
  <si>
    <t>proton rms charge radius</t>
  </si>
  <si>
    <t>ProtonRmsChargeRadius</t>
  </si>
  <si>
    <t>constant:ProtonRmsChargeRadius</t>
  </si>
  <si>
    <t>proton-tau mass ratio</t>
  </si>
  <si>
    <t>ProtonTauMassRatio</t>
  </si>
  <si>
    <t>constant:ProtonTauMassRatio</t>
  </si>
  <si>
    <t>quantum of circulation</t>
  </si>
  <si>
    <t>m^2 s^-1</t>
  </si>
  <si>
    <t>m^2.s-1</t>
  </si>
  <si>
    <t>QuantumOfCirculation</t>
  </si>
  <si>
    <t>constant:QuantumOfCirculation</t>
  </si>
  <si>
    <t>quantum of circulation times 2</t>
  </si>
  <si>
    <t>QuantumOfCirculationTimes2</t>
  </si>
  <si>
    <t>constant:QuantumOfCirculationTimes2</t>
  </si>
  <si>
    <t>reduced Compton wavelength</t>
  </si>
  <si>
    <t>ReducedComptonWavelength</t>
  </si>
  <si>
    <t>reduced muon Compton wavelength</t>
  </si>
  <si>
    <t>ReducedMuonComptonWavelength</t>
  </si>
  <si>
    <t>reduced neutron Compton wavelength</t>
  </si>
  <si>
    <t>ReducedNeutronComptonWavelength</t>
  </si>
  <si>
    <t>reduced Planck constant</t>
  </si>
  <si>
    <t>[h]</t>
  </si>
  <si>
    <t>ReducedPlanckConstant</t>
  </si>
  <si>
    <t>constant:ReducedPlanckConstant</t>
  </si>
  <si>
    <t>reduced Planck constant in eV s</t>
  </si>
  <si>
    <t>reduced Planck constant times c in MeV fm</t>
  </si>
  <si>
    <t>MeV fm</t>
  </si>
  <si>
    <t>MeV.fm</t>
  </si>
  <si>
    <t>reduced proton Compton wavelength</t>
  </si>
  <si>
    <t>ReducedProtonComptonWavelength</t>
  </si>
  <si>
    <t>reduced tau Compton wavelength</t>
  </si>
  <si>
    <t>ReducedTauComptonWavelength</t>
  </si>
  <si>
    <t>Rydberg constant</t>
  </si>
  <si>
    <t>RydbergConstant</t>
  </si>
  <si>
    <t>constant:RydbergConstant</t>
  </si>
  <si>
    <t>Rydberg constant times c in Hz</t>
  </si>
  <si>
    <t>constant:RydbergConstantTimesCInHz</t>
  </si>
  <si>
    <t>Rydberg constant times hc in eV</t>
  </si>
  <si>
    <t>constant:RydbergConstantTimesHcInEV</t>
  </si>
  <si>
    <t>Rydberg constant times hc in J</t>
  </si>
  <si>
    <t>constant:RydbergConstantTimesHcInJ</t>
  </si>
  <si>
    <t>Sackur-Tetrode constant (1 K, 100 kPa)</t>
  </si>
  <si>
    <t>SackurTetrodeConstant</t>
  </si>
  <si>
    <t>constant:SackurTetrodeConstant1K100KPa</t>
  </si>
  <si>
    <t>Sackur-Tetrode constant (1 K, 101.325 kPa)</t>
  </si>
  <si>
    <t>SackurTetrodeConstant1K101KPa</t>
  </si>
  <si>
    <t>second radiation constant</t>
  </si>
  <si>
    <t>m K</t>
  </si>
  <si>
    <t>m.K</t>
  </si>
  <si>
    <t>SecondRadiationConstant</t>
  </si>
  <si>
    <t>constant:SecondRadiationConstant</t>
  </si>
  <si>
    <t>shielded helion gyromag. ratio</t>
  </si>
  <si>
    <t>ShieldedHelionGyromagneticRatio</t>
  </si>
  <si>
    <t>constant:ShieldedHelionGyromagneticRatio</t>
  </si>
  <si>
    <t>constant:ShieldedHelionGyromagneticRatioOver2Pi</t>
  </si>
  <si>
    <t>shielded helion gyromag. ratio in MHz/T</t>
  </si>
  <si>
    <t>ShieldedHelionGyromag.RatioInMhzPerT</t>
  </si>
  <si>
    <t>shielded helion mag. mom.</t>
  </si>
  <si>
    <t>ShieldedHelionMagneticMoment</t>
  </si>
  <si>
    <t>constant:ShieldedHelionMagneticMoment</t>
  </si>
  <si>
    <t>shielded helion mag. mom. to Bohr magneton ratio</t>
  </si>
  <si>
    <t>ShieldedHelionMagneticMomentToBohrMagnetonRatio</t>
  </si>
  <si>
    <t>constant:ShieldedHelionMagneticMomentToBohrMagnetonRatio</t>
  </si>
  <si>
    <t>shielded helion mag. mom. to nuclear magneton ratio</t>
  </si>
  <si>
    <t>ShieldedHelionMagneticMomentToNuclearMagnetonRatio</t>
  </si>
  <si>
    <t>constant:ShieldedHelionMagneticMomentToNuclearMagnetonRatio</t>
  </si>
  <si>
    <t>shielded helion to proton mag. mom. ratio</t>
  </si>
  <si>
    <t>ShieldedHelionToProtonMagneticMomentRatio</t>
  </si>
  <si>
    <t>constant:ShieldedHelionToProtonMagneticMomentRatio</t>
  </si>
  <si>
    <t>shielded helion to shielded proton mag. mom. ratio</t>
  </si>
  <si>
    <t>ShieldedHelionToShieldedProtonMagneticMomentRatio</t>
  </si>
  <si>
    <t>constant:ShieldedHelionToShieldedProtonMagneticMomentRatio</t>
  </si>
  <si>
    <t>shielded proton gyromag. ratio</t>
  </si>
  <si>
    <t>ShieldedProtonGyromagneticRatio</t>
  </si>
  <si>
    <t>constant:ShieldedProtonGyromagneticRatio</t>
  </si>
  <si>
    <t>shielded proton gyromag. ratio in MHz/T</t>
  </si>
  <si>
    <t>constant:ShieldedProtonGyromagneticRatioOver2Pi</t>
  </si>
  <si>
    <t>shielded proton mag. mom.</t>
  </si>
  <si>
    <t>ShieldedProtonMagneticMoment</t>
  </si>
  <si>
    <t>constant:ShieldedProtonMagneticMoment</t>
  </si>
  <si>
    <t>shielded proton mag. mom. to Bohr magneton ratio</t>
  </si>
  <si>
    <t>ShieldedProtonMagneticMomentToBohrMagnetonRatio</t>
  </si>
  <si>
    <t>constant:ShieldedProtonMagneticMomentToBohrMagnetonRatio</t>
  </si>
  <si>
    <t>shielded proton mag. mom. to nuclear magneton ratio</t>
  </si>
  <si>
    <t>ShieldedProtonMagneticMomentToNuclearMagnetonRatio</t>
  </si>
  <si>
    <t>constant:ShieldedProtonMagneticMomentToNuclearMagnetonRatio</t>
  </si>
  <si>
    <t>shielding difference of d and p in HD</t>
  </si>
  <si>
    <t>ShieldingDifferenceOfDAndPInHd</t>
  </si>
  <si>
    <t>shielding difference of t and p in HT</t>
  </si>
  <si>
    <t>ShieldingDifferenceOfTAndPInHt</t>
  </si>
  <si>
    <t>speed of light in vacuum</t>
  </si>
  <si>
    <t>[c]</t>
  </si>
  <si>
    <t>SpeedOfLight_Vacuum</t>
  </si>
  <si>
    <t>constant:SpeedOfLight_Vacuum</t>
  </si>
  <si>
    <t>standard acceleration of gravity</t>
  </si>
  <si>
    <t>m s^-2</t>
  </si>
  <si>
    <t>[g]</t>
  </si>
  <si>
    <t>StandardAccelerationOfGravity</t>
  </si>
  <si>
    <t>constant:StandardAccelerationOfGravity</t>
  </si>
  <si>
    <t>standard atmosphere</t>
  </si>
  <si>
    <t>Pa</t>
  </si>
  <si>
    <t>atm</t>
  </si>
  <si>
    <t>StandardAtmosphere</t>
  </si>
  <si>
    <t>constant:StandardAtmosphere</t>
  </si>
  <si>
    <t>standard-state pressure</t>
  </si>
  <si>
    <t>Standard-StatePressure</t>
  </si>
  <si>
    <t>Stefan-Boltzmann constant</t>
  </si>
  <si>
    <t>W m^-2 K^-4</t>
  </si>
  <si>
    <t>W.m-2.K-4</t>
  </si>
  <si>
    <t>StefanBoltzmannConstant</t>
  </si>
  <si>
    <t>constant:StefanBoltzmannConstant</t>
  </si>
  <si>
    <t>tau Compton wavelength</t>
  </si>
  <si>
    <t>TauComptonWavelength</t>
  </si>
  <si>
    <t>constant:TauComptonWavelength</t>
  </si>
  <si>
    <t>TauComptonWavelengthOver2Pi</t>
  </si>
  <si>
    <t>constant:TauComptonWavelengthOver2Pi</t>
  </si>
  <si>
    <t>tau-electron mass ratio</t>
  </si>
  <si>
    <t>TauElectronMassRatio</t>
  </si>
  <si>
    <t>constant:TauElectronMassRatio</t>
  </si>
  <si>
    <t>tau energy equivalent</t>
  </si>
  <si>
    <t>TauEnergyEquivalent</t>
  </si>
  <si>
    <t>tau mass</t>
  </si>
  <si>
    <t>TauMass</t>
  </si>
  <si>
    <t>constant:TauMass</t>
  </si>
  <si>
    <t>tau mass energy equivalent</t>
  </si>
  <si>
    <t>constant:TauMassEnergyEquivalent</t>
  </si>
  <si>
    <t>constant:TauMassEnergyEquivalentInMeV</t>
  </si>
  <si>
    <t>tau mass in u</t>
  </si>
  <si>
    <t>constant:TauMassInAtomicMassUnit</t>
  </si>
  <si>
    <t>tau molar mass</t>
  </si>
  <si>
    <t>TauMolarMass</t>
  </si>
  <si>
    <t>constant:TauMolarMass</t>
  </si>
  <si>
    <t>tau-muon mass ratio</t>
  </si>
  <si>
    <t>TauMuonMassRatio</t>
  </si>
  <si>
    <t>constant:TauMuonMassRatio</t>
  </si>
  <si>
    <t>tau-neutron mass ratio</t>
  </si>
  <si>
    <t>TauNeutronMassRatio</t>
  </si>
  <si>
    <t>constant:TauNeutronMassRatio</t>
  </si>
  <si>
    <t>tau-proton mass ratio</t>
  </si>
  <si>
    <t>TauProtonMassRatio</t>
  </si>
  <si>
    <t>constant:TauProtonMassRatio</t>
  </si>
  <si>
    <t>Thomson cross section</t>
  </si>
  <si>
    <t>m^2</t>
  </si>
  <si>
    <t>ThomsonCrossSection</t>
  </si>
  <si>
    <t>constant:ThomsonCrossSection</t>
  </si>
  <si>
    <t>TritonElectronMagneticMomentRatio</t>
  </si>
  <si>
    <t>constant:TritonElectronMagneticMomentRatio</t>
  </si>
  <si>
    <t>triton-electron mass ratio</t>
  </si>
  <si>
    <t>TritonElectronMassRatio</t>
  </si>
  <si>
    <t>constant:TritonElectronMassRatio</t>
  </si>
  <si>
    <t>triton g factor</t>
  </si>
  <si>
    <t>TritonGFactor</t>
  </si>
  <si>
    <t>constant:TritonGFactor</t>
  </si>
  <si>
    <t>triton mag. mom.</t>
  </si>
  <si>
    <t>TritonMagneticMoment</t>
  </si>
  <si>
    <t>constant:TritonMagneticMoment</t>
  </si>
  <si>
    <t>triton mag. mom. to Bohr magneton ratio</t>
  </si>
  <si>
    <t>TritonMagneticMomentToBohrMagnetonRatio</t>
  </si>
  <si>
    <t>constant:TritonMagneticMomentToBohrMagnetonRatio</t>
  </si>
  <si>
    <t>triton mag. mom. to nuclear magneton ratio</t>
  </si>
  <si>
    <t>TritonMagneticMomentToNuclearMagnetonRatio</t>
  </si>
  <si>
    <t>constant:TritonMagneticMomentToNuclearMagnetonRatio</t>
  </si>
  <si>
    <t>triton mass</t>
  </si>
  <si>
    <t>TritonMass</t>
  </si>
  <si>
    <t>constant:TritonMass</t>
  </si>
  <si>
    <t>triton mass energy equivalent</t>
  </si>
  <si>
    <t>TritonMassEnergyEquivalent</t>
  </si>
  <si>
    <t>constant:TritonMassEnergyEquivalent</t>
  </si>
  <si>
    <t>triton mass energy equivalent in MeV</t>
  </si>
  <si>
    <t>constant:TritonMassEnergyEquivalentInMeV</t>
  </si>
  <si>
    <t>triton mass in u</t>
  </si>
  <si>
    <t>TritonMassInAtomicMassUnit</t>
  </si>
  <si>
    <t>constant:TritonMassInAtomicMassUnit</t>
  </si>
  <si>
    <t>triton molar mass</t>
  </si>
  <si>
    <t>TritonMolarMass</t>
  </si>
  <si>
    <t>constant:TritonMolarMass</t>
  </si>
  <si>
    <t>triton-proton mass ratio</t>
  </si>
  <si>
    <t>TritonNeutronMagneticMomentRatio</t>
  </si>
  <si>
    <t>constant:TritonNeutronMagneticMomentRatio</t>
  </si>
  <si>
    <t>triton relative atomic mass</t>
  </si>
  <si>
    <t>TritonProtonMagneticMomentRatio</t>
  </si>
  <si>
    <t>constant:TritonProtonMagneticMomentRatio</t>
  </si>
  <si>
    <t>triton to proton mag. mom. ratio</t>
  </si>
  <si>
    <t>TritonProtonMassRatio</t>
  </si>
  <si>
    <t>constant:TritonProtonMassRatio</t>
  </si>
  <si>
    <t>unified atomic mass unit</t>
  </si>
  <si>
    <t>UnifiedAtomicMassUnit</t>
  </si>
  <si>
    <t>constant:UnifiedAtomicMassUnit</t>
  </si>
  <si>
    <t>vacuum electric permittivity</t>
  </si>
  <si>
    <t>[eps_0]</t>
  </si>
  <si>
    <t>PermittivityOfVacuum</t>
  </si>
  <si>
    <t>constant:PermittivityOfVacuum</t>
  </si>
  <si>
    <t>vacuum mag. permeability</t>
  </si>
  <si>
    <t>N A^-2</t>
  </si>
  <si>
    <t>[mu_0]</t>
  </si>
  <si>
    <t>ElectromagneticPermeabilityOfVacuum</t>
  </si>
  <si>
    <t>constant:ElectromagneticPermeabilityOfVacuum</t>
  </si>
  <si>
    <t>von Klitzing constant</t>
  </si>
  <si>
    <t>VonKlitzingConstant</t>
  </si>
  <si>
    <t>constant:VonKlitzingConstant</t>
  </si>
  <si>
    <t>weak mixing angle</t>
  </si>
  <si>
    <t>WeakMixingAngle</t>
  </si>
  <si>
    <t>constant:WeakMixingAngle</t>
  </si>
  <si>
    <t>Wien frequency displacement law constant</t>
  </si>
  <si>
    <t>WienFrequencyDisplacementLawConstant</t>
  </si>
  <si>
    <t>constant:WienFrequencyDisplacementLawConstant</t>
  </si>
  <si>
    <t>Wien wavelength displacement law constant</t>
  </si>
  <si>
    <t>WienWavelengthDisplacementLawConstant</t>
  </si>
  <si>
    <t>constant:WienWavelengthDisplacementLawConstant</t>
  </si>
  <si>
    <t>W to Z mass ratio</t>
  </si>
  <si>
    <t>WToZMassRatio</t>
  </si>
  <si>
    <t>value_display</t>
  </si>
  <si>
    <t>uncertainty_display</t>
  </si>
  <si>
    <t>units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</si>
  <si>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</si>
  <si>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</si>
  <si>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</si>
  <si>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</si>
  <si>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</si>
  <si>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</si>
  <si>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</si>
  <si>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</si>
  <si>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</si>
  <si>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</si>
  <si>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</si>
  <si>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</si>
  <si>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</si>
  <si>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</si>
  <si>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</si>
  <si>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</si>
  <si>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</si>
  <si>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</si>
  <si>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</si>
  <si>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</si>
  <si>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</si>
  <si>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</si>
  <si>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</si>
  <si>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</si>
  <si>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</si>
  <si>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</si>
  <si>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</si>
  <si>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</si>
  <si>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</si>
  <si>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</si>
  <si>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</si>
  <si>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</si>
  <si>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</si>
  <si>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</si>
  <si>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</si>
  <si>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</si>
  <si>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</si>
  <si>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</si>
  <si>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</si>
  <si>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</si>
  <si>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</si>
  <si>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</si>
  <si>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</si>
  <si>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</si>
  <si>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</si>
  <si>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</si>
  <si>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</si>
  <si>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</si>
  <si>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</si>
  <si>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</si>
  <si>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</si>
  <si>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</si>
  <si>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</si>
  <si>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</si>
  <si>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</si>
  <si>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</si>
  <si>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</si>
  <si>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</si>
  <si>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</si>
  <si>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</si>
  <si>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</si>
  <si>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</si>
  <si>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</si>
  <si>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</si>
  <si>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</si>
  <si>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</si>
  <si>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</si>
  <si>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</si>
  <si>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</si>
  <si>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</si>
  <si>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</si>
  <si>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</si>
  <si>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</si>
  <si>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</si>
  <si>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</si>
  <si>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</si>
  <si>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</si>
  <si>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</si>
  <si>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</si>
  <si>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</si>
  <si>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</si>
  <si>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</si>
  <si>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</si>
  <si>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</si>
  <si>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</si>
  <si>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</si>
  <si>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</si>
  <si>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</si>
  <si>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</si>
  <si>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</si>
  <si>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</si>
  <si>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</si>
  <si>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</si>
  <si>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</si>
  <si>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</si>
  <si>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</si>
  <si>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</si>
  <si>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</si>
  <si>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</si>
  <si>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</si>
  <si>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</si>
  <si>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</si>
  <si>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</si>
  <si>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</si>
  <si>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</si>
  <si>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</si>
  <si>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</si>
  <si>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</si>
  <si>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</si>
  <si>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</si>
  <si>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</si>
  <si>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</si>
  <si>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</si>
  <si>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</si>
  <si>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</si>
  <si>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</si>
  <si>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</si>
  <si>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</si>
  <si>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</si>
  <si>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</si>
  <si>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</si>
  <si>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</si>
  <si>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</si>
  <si>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</si>
  <si>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</si>
  <si>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</si>
  <si>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</si>
  <si>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</si>
  <si>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</si>
  <si>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</si>
  <si>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</si>
  <si>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</si>
  <si>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</si>
  <si>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</si>
  <si>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</si>
  <si>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</si>
  <si>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</si>
  <si>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</si>
  <si>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</si>
  <si>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</si>
  <si>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</si>
  <si>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</si>
  <si>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</si>
  <si>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</si>
  <si>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</si>
  <si>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</si>
  <si>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</si>
  <si>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</si>
  <si>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</si>
  <si>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</si>
  <si>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</si>
  <si>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</si>
  <si>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</si>
  <si>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</si>
  <si>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</si>
  <si>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</si>
  <si>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</si>
  <si>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</si>
  <si>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</si>
  <si>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</si>
  <si>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</si>
  <si>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</si>
  <si>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</si>
  <si>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</si>
  <si>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</si>
  <si>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</si>
  <si>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</si>
  <si>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</si>
  <si>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</si>
  <si>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</si>
  <si>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</si>
  <si>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</si>
  <si>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</si>
  <si>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</si>
  <si>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</si>
  <si>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</si>
  <si>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</si>
  <si>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</si>
  <si>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</si>
  <si>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</si>
  <si>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</si>
  <si>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</si>
  <si>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</si>
  <si>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</si>
  <si>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</si>
  <si>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</si>
  <si>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</si>
  <si>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</si>
  <si>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</si>
  <si>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</si>
  <si>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</si>
  <si>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</si>
  <si>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</si>
  <si>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</si>
  <si>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</si>
  <si>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</si>
  <si>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</si>
  <si>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</si>
  <si>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</si>
  <si>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</si>
  <si>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</si>
  <si>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</si>
  <si>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</si>
  <si>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</si>
  <si>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</si>
  <si>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</si>
  <si>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</si>
  <si>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</si>
  <si>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</si>
  <si>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</si>
  <si>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</si>
  <si>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</si>
  <si>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</si>
  <si>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</si>
  <si>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</si>
  <si>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</si>
  <si>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</si>
  <si>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</si>
  <si>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</si>
  <si>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</si>
  <si>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</si>
  <si>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</si>
  <si>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</si>
  <si>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</si>
  <si>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</si>
  <si>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</si>
  <si>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</si>
  <si>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</si>
  <si>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</si>
  <si>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</si>
  <si>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</si>
  <si>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</si>
  <si>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</si>
  <si>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</si>
  <si>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</si>
  <si>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</si>
  <si>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</si>
  <si>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</si>
  <si>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</si>
  <si>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</si>
  <si>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</si>
  <si>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</si>
  <si>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</si>
  <si>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</si>
  <si>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</si>
  <si>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</si>
  <si>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</si>
  <si>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</si>
  <si>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</si>
  <si>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</si>
  <si>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</si>
  <si>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</si>
  <si>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</si>
  <si>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</si>
  <si>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</si>
  <si>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</si>
  <si>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</si>
  <si>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</si>
  <si>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</si>
  <si>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</si>
  <si>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</si>
  <si>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</si>
  <si>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</si>
  <si>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</si>
  <si>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</si>
  <si>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</si>
  <si>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</si>
  <si>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</si>
  <si>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</si>
  <si>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</si>
  <si>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</si>
  <si>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</si>
  <si>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</si>
  <si>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</si>
  <si>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</si>
  <si>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</si>
  <si>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</si>
  <si>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</si>
  <si>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</si>
  <si>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</si>
  <si>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</si>
  <si>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</si>
  <si>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</si>
  <si>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</si>
  <si>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</si>
  <si>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</si>
  <si>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</si>
  <si>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</si>
  <si>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</si>
  <si>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</si>
  <si>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</si>
  <si>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</si>
  <si>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</si>
  <si>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</si>
  <si>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</si>
  <si>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</si>
  <si>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</si>
  <si>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</si>
  <si>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</si>
  <si>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</si>
  <si>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</si>
  <si>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</si>
  <si>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</si>
  <si>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</si>
  <si>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</si>
  <si>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</si>
  <si>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</si>
  <si>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</si>
  <si>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</si>
  <si>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</si>
  <si>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</si>
  <si>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</si>
  <si>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</si>
  <si>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</si>
  <si>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</si>
  <si>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</si>
  <si>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</si>
  <si>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</si>
  <si>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</si>
  <si>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</si>
  <si>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</si>
  <si>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</si>
  <si>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</si>
  <si>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</si>
  <si>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</si>
  <si>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</si>
  <si>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</si>
  <si>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</si>
  <si>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</si>
  <si>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</si>
  <si>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</si>
  <si>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</si>
  <si>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</si>
  <si>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</si>
  <si>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</si>
  <si>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</si>
  <si>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</si>
  <si>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</si>
  <si>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</si>
  <si>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</si>
  <si>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</si>
  <si>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</si>
  <si>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</si>
  <si>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</si>
  <si>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</si>
  <si>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</si>
  <si>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</si>
  <si>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</si>
  <si>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</si>
  <si>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</si>
  <si>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</si>
  <si>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 xml:space="preserve"> 29.164 6931</t>
  </si>
  <si>
    <t>0.000 0069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</si>
  <si>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</si>
  <si>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</si>
  <si>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</si>
  <si>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</si>
  <si>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</si>
  <si>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</si>
  <si>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</si>
  <si>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</si>
  <si>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</si>
  <si>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</si>
  <si>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</si>
  <si>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</si>
  <si>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</si>
  <si>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</si>
  <si>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</si>
  <si>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</si>
  <si>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</si>
  <si>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</si>
  <si>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</si>
  <si>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</si>
  <si>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</si>
  <si>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</si>
  <si>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</si>
  <si>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</si>
  <si>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</si>
  <si>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</si>
  <si>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</si>
  <si>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</si>
  <si>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</si>
  <si>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</si>
  <si>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</si>
  <si>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</si>
  <si>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</si>
  <si>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</si>
  <si>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</si>
  <si>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</si>
  <si>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</si>
  <si>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</si>
  <si>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</si>
  <si>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</si>
  <si>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</si>
  <si>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</si>
  <si>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</si>
  <si>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</si>
  <si>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</si>
  <si>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</si>
  <si>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</si>
  <si>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</si>
  <si>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</si>
  <si>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</si>
  <si>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</si>
  <si>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</si>
  <si>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</si>
  <si>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</si>
  <si>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</si>
  <si>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</si>
  <si>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</si>
  <si>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</si>
  <si>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</si>
  <si>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</si>
  <si>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</si>
  <si>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 xml:space="preserve"> 42.577 478 518</t>
  </si>
  <si>
    <t>0.000 000 018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</si>
  <si>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</si>
  <si>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</si>
  <si>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</si>
  <si>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</si>
  <si>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</si>
  <si>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</si>
  <si>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</si>
  <si>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</si>
  <si>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</si>
  <si>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</si>
  <si>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</si>
  <si>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</si>
  <si>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</si>
  <si>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</si>
  <si>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</si>
  <si>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</si>
  <si>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</si>
  <si>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</si>
  <si>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</si>
  <si>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</si>
  <si>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</si>
  <si>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</si>
  <si>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</si>
  <si>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</si>
  <si>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</si>
  <si>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</si>
  <si>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</si>
  <si>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</si>
  <si>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</si>
  <si>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</si>
  <si>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</si>
  <si>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</si>
  <si>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</si>
  <si>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</si>
  <si>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</si>
  <si>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</si>
  <si>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</si>
  <si>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</si>
  <si>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</si>
  <si>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</si>
  <si>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</si>
  <si>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</si>
  <si>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</si>
  <si>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</si>
  <si>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</si>
  <si>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</si>
  <si>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</si>
  <si>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</si>
  <si>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</si>
  <si>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</si>
  <si>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>0.000 000 38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</si>
  <si>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</si>
  <si>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</si>
  <si>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</si>
  <si>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</si>
  <si>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</si>
  <si>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</si>
  <si>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</si>
  <si>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</si>
  <si>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</si>
  <si>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</si>
  <si>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</si>
  <si>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</si>
  <si>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</si>
  <si>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</si>
  <si>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</si>
  <si>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</si>
  <si>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</si>
  <si>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</si>
  <si>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</si>
  <si>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</si>
  <si>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</si>
  <si>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</si>
  <si>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</si>
  <si>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</si>
  <si>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</si>
  <si>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</si>
  <si>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</si>
  <si>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</si>
  <si>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</si>
  <si>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</si>
  <si>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</si>
  <si>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</si>
  <si>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</si>
  <si>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</si>
  <si>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</si>
  <si>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</si>
  <si>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</si>
  <si>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</si>
  <si>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</si>
  <si>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</si>
  <si>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</si>
  <si>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</si>
  <si>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</si>
  <si>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</si>
  <si>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</si>
  <si>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</si>
  <si>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</si>
  <si>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</si>
  <si>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</si>
  <si>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</si>
  <si>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</si>
  <si>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</si>
  <si>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</si>
  <si>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</si>
  <si>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</si>
  <si>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</si>
  <si>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</si>
  <si>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</si>
  <si>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</si>
  <si>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</si>
  <si>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</si>
  <si>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</si>
  <si>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</si>
  <si>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</si>
  <si>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</si>
  <si>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</si>
  <si>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</si>
  <si>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</si>
  <si>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</si>
  <si>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</si>
  <si>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</si>
  <si>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</si>
  <si>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</si>
  <si>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</si>
  <si>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</si>
  <si>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</si>
  <si>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</si>
  <si>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</si>
  <si>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</si>
  <si>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</si>
  <si>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</si>
  <si>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</si>
  <si>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</si>
  <si>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</si>
  <si>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</si>
  <si>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</si>
  <si>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</si>
  <si>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</si>
  <si>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</si>
  <si>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</si>
  <si>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</si>
  <si>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</si>
  <si>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</si>
  <si>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</si>
  <si>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</si>
  <si>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</si>
  <si>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</si>
  <si>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</si>
  <si>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</si>
  <si>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</si>
  <si>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</si>
  <si>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</si>
  <si>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</si>
  <si>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</si>
  <si>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</si>
  <si>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</si>
  <si>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</si>
  <si>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</si>
  <si>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</si>
  <si>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</si>
  <si>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</si>
  <si>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</si>
  <si>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</si>
  <si>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</si>
  <si>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</si>
  <si>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</si>
  <si>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</si>
  <si>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</si>
  <si>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</si>
  <si>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</si>
  <si>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</si>
  <si>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</si>
  <si>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</si>
  <si>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</si>
  <si>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</si>
  <si>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</si>
  <si>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</si>
  <si>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</si>
  <si>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</si>
  <si>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</si>
  <si>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</si>
  <si>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</si>
  <si>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</si>
  <si>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</si>
  <si>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</si>
  <si>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</si>
  <si>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</si>
  <si>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</si>
  <si>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</si>
  <si>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</si>
  <si>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</si>
  <si>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</si>
  <si>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</si>
  <si>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</si>
  <si>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</si>
  <si>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</si>
  <si>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</si>
  <si>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</si>
  <si>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</si>
  <si>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</si>
  <si>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</si>
  <si>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</si>
  <si>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</si>
  <si>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</si>
  <si>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</si>
  <si>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</si>
  <si>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</si>
  <si>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</si>
  <si>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</si>
  <si>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</si>
  <si>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</si>
  <si>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</si>
  <si>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</si>
  <si>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</si>
  <si>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</si>
  <si>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</si>
  <si>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</si>
  <si>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</si>
  <si>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</si>
  <si>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</si>
  <si>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</si>
  <si>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</si>
  <si>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</si>
  <si>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</si>
  <si>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</si>
  <si>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</si>
  <si>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>Compton wavelength over 2 pi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</si>
  <si>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</si>
  <si>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</si>
  <si>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</si>
  <si>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</si>
  <si>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</si>
  <si>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</si>
  <si>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</si>
  <si>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</si>
  <si>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</si>
  <si>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</si>
  <si>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</si>
  <si>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</si>
  <si>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</si>
  <si>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</si>
  <si>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</si>
  <si>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</si>
  <si>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</si>
  <si>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</si>
  <si>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</si>
  <si>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</si>
  <si>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</si>
  <si>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</si>
  <si>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</si>
  <si>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</si>
  <si>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</si>
  <si>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</si>
  <si>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</si>
  <si>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</si>
  <si>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</si>
  <si>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</si>
  <si>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</si>
  <si>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</si>
  <si>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</si>
  <si>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</si>
  <si>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</si>
  <si>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</si>
  <si>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</si>
  <si>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</si>
  <si>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>electron gyromag. ratio over 2 pi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</si>
  <si>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</si>
  <si>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</si>
  <si>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</si>
  <si>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</si>
  <si>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</si>
  <si>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</si>
  <si>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</si>
  <si>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</si>
  <si>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</si>
  <si>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</si>
  <si>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</si>
  <si>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</si>
  <si>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</si>
  <si>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</si>
  <si>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</si>
  <si>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</si>
  <si>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</si>
  <si>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</si>
  <si>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</si>
  <si>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</si>
  <si>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</si>
  <si>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</si>
  <si>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</si>
  <si>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</si>
  <si>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</si>
  <si>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</si>
  <si>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</si>
  <si>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</si>
  <si>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</si>
  <si>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</si>
  <si>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</si>
  <si>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</si>
  <si>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</si>
  <si>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</si>
  <si>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</si>
  <si>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</si>
  <si>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</si>
  <si>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</si>
  <si>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</si>
  <si>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</si>
  <si>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</si>
  <si>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</si>
  <si>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</si>
  <si>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</si>
  <si>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</si>
  <si>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</si>
  <si>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</si>
  <si>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</si>
  <si>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</si>
  <si>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</si>
  <si>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</si>
  <si>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</si>
  <si>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</si>
  <si>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</si>
  <si>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</si>
  <si>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</si>
  <si>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</si>
  <si>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</si>
  <si>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</si>
  <si>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</si>
  <si>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</si>
  <si>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</si>
  <si>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</si>
  <si>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</si>
  <si>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</si>
  <si>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</si>
  <si>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</si>
  <si>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</si>
  <si>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</si>
  <si>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</si>
  <si>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</si>
  <si>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</si>
  <si>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</si>
  <si>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</si>
  <si>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</si>
  <si>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</si>
  <si>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</si>
  <si>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</si>
  <si>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</si>
  <si>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</si>
  <si>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</si>
  <si>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</si>
  <si>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</si>
  <si>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</si>
  <si>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</si>
  <si>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</si>
  <si>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</si>
  <si>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</si>
  <si>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</si>
  <si>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</si>
  <si>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</si>
  <si>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</si>
  <si>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</si>
  <si>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</si>
  <si>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</si>
  <si>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</si>
  <si>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</si>
  <si>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</si>
  <si>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</si>
  <si>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</si>
  <si>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</si>
  <si>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</si>
  <si>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</si>
  <si>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</si>
  <si>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</si>
  <si>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</si>
  <si>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</si>
  <si>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</si>
  <si>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</si>
  <si>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</si>
  <si>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</si>
  <si>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</si>
  <si>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</si>
  <si>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</si>
  <si>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</si>
  <si>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</si>
  <si>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</si>
  <si>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</si>
  <si>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</si>
  <si>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</si>
  <si>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</si>
  <si>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</si>
  <si>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</si>
  <si>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</si>
  <si>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</si>
  <si>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</si>
  <si>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</si>
  <si>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</si>
  <si>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</si>
  <si>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</si>
  <si>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</si>
  <si>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</si>
  <si>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</si>
  <si>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</si>
  <si>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</si>
  <si>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</si>
  <si>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</si>
  <si>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</si>
  <si>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</si>
  <si>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</si>
  <si>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</si>
  <si>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</si>
  <si>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</si>
  <si>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</si>
  <si>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</si>
  <si>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</si>
  <si>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</si>
  <si>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</si>
  <si>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</si>
  <si>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</si>
  <si>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</si>
  <si>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</si>
  <si>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</si>
  <si>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</si>
  <si>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>molar Planck constant times c</t>
  </si>
  <si>
    <t xml:space="preserve"> 0.119 626 565 582</t>
  </si>
  <si>
    <t>0.000 000 000 054</t>
  </si>
  <si>
    <t>J m mol^-1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</si>
  <si>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</si>
  <si>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</si>
  <si>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</si>
  <si>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</si>
  <si>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</si>
  <si>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</si>
  <si>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</si>
  <si>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</si>
  <si>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>muon Compton wavelength over 2 pi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</si>
  <si>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</si>
  <si>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</si>
  <si>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</si>
  <si>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</si>
  <si>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</si>
  <si>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</si>
  <si>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</si>
  <si>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</si>
  <si>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</si>
  <si>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</si>
  <si>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</si>
  <si>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</si>
  <si>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</si>
  <si>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</si>
  <si>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</si>
  <si>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</si>
  <si>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</si>
  <si>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</si>
  <si>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</si>
  <si>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</si>
  <si>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</si>
  <si>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</si>
  <si>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</si>
  <si>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</si>
  <si>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</si>
  <si>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</si>
  <si>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</si>
  <si>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</si>
  <si>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</si>
  <si>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</si>
  <si>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>neutron Compton wavelength over 2 pi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</si>
  <si>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</si>
  <si>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</si>
  <si>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</si>
  <si>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</si>
  <si>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</si>
  <si>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</si>
  <si>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</si>
  <si>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>NeutronGyromagneticRatioOver2Pi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</si>
  <si>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</si>
  <si>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</si>
  <si>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</si>
  <si>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</si>
  <si>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</si>
  <si>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</si>
  <si>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</si>
  <si>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</si>
  <si>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</si>
  <si>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</si>
  <si>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</si>
  <si>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</si>
  <si>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</si>
  <si>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</si>
  <si>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</si>
  <si>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</si>
  <si>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</si>
  <si>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</si>
  <si>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</si>
  <si>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</si>
  <si>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</si>
  <si>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</si>
  <si>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</si>
  <si>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</si>
  <si>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</si>
  <si>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</si>
  <si>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</si>
  <si>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</si>
  <si>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</si>
  <si>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</si>
  <si>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</si>
  <si>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</si>
  <si>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</si>
  <si>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</si>
  <si>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</si>
  <si>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</si>
  <si>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</si>
  <si>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</si>
  <si>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</si>
  <si>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</si>
  <si>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 constant over 2 pi</t>
  </si>
  <si>
    <t>PlanckConstantOver2Pi</t>
  </si>
  <si>
    <t>Planck constant over 2 pi in eV s</t>
  </si>
  <si>
    <t>PlanckConstantOver2PiInEVS</t>
  </si>
  <si>
    <t>Planck constant over 2 pi times c in MeV fm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</si>
  <si>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</si>
  <si>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</si>
  <si>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</si>
  <si>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</si>
  <si>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</si>
  <si>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</si>
  <si>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</si>
  <si>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</si>
  <si>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</si>
  <si>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</si>
  <si>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</si>
  <si>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</si>
  <si>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</si>
  <si>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</si>
  <si>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</si>
  <si>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</si>
  <si>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>proton Compton wavelength over 2 pi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</si>
  <si>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</si>
  <si>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</si>
  <si>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</si>
  <si>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</si>
  <si>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</si>
  <si>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</si>
  <si>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</si>
  <si>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</si>
  <si>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</si>
  <si>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</si>
  <si>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>ProtonGyromagneticRatioOver2Pi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</si>
  <si>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</si>
  <si>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</si>
  <si>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</si>
  <si>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</si>
  <si>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</si>
  <si>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</si>
  <si>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</si>
  <si>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</si>
  <si>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</si>
  <si>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</si>
  <si>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</si>
  <si>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</si>
  <si>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</si>
  <si>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</si>
  <si>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</si>
  <si>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</si>
  <si>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</si>
  <si>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</si>
  <si>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</si>
  <si>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</si>
  <si>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</si>
  <si>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</si>
  <si>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</si>
  <si>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</si>
  <si>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</si>
  <si>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</si>
  <si>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</si>
  <si>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</si>
  <si>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</si>
  <si>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</si>
  <si>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</si>
  <si>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</si>
  <si>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</si>
  <si>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</si>
  <si>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</si>
  <si>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</si>
  <si>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</si>
  <si>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</si>
  <si>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</si>
  <si>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</si>
  <si>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>ShieldedHelionGyromagneticRatioOver2Pi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</si>
  <si>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</si>
  <si>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</si>
  <si>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</si>
  <si>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</si>
  <si>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</si>
  <si>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</si>
  <si>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</si>
  <si>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</si>
  <si>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</si>
  <si>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</si>
  <si>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</si>
  <si>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</si>
  <si>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</si>
  <si>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</si>
  <si>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</si>
  <si>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</si>
  <si>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</si>
  <si>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>tau Compton wavelength over 2 pi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</si>
  <si>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</si>
  <si>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</si>
  <si>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</si>
  <si>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</si>
  <si>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</si>
  <si>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</si>
  <si>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</si>
  <si>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</si>
  <si>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>tau mass energy equivalent in MeV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</si>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</sst>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E+00"/>
  </numFmts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999999"/>
      <name val="Arial"/>
    </font>
    <font>
      <b/>
      <color rgb="FF999999"/>
      <name val="Arial"/>
    </font>
    <font>
      <b/>
    </font>
    <font>
      <u/>
      <color rgb="FF0000FF"/>
    </font>
    <font>
      <color rgb="FF000000"/>
      <name val="Arial"/>
    </font>
    <font>
      <b/>
      <color rgb="FF666666"/>
      <name val="Arial"/>
    </font>
    <font>
      <color rgb="FF66666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164" xfId="0" applyFont="1" applyNumberFormat="1"/>
    <xf borderId="0" fillId="0" fontId="9" numFmtId="0" xfId="0" applyFont="1"/>
    <xf borderId="0" fillId="0" fontId="9" numFmtId="164" xfId="0" applyFont="1" applyNumberFormat="1"/>
    <xf borderId="0" fillId="0" fontId="9" numFmtId="0" xfId="0" applyAlignment="1" applyFont="1">
      <alignment horizontal="center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57"/>
    <col customWidth="1" min="4" max="4" width="3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D3" s="1" t="s">
        <v>7</v>
      </c>
    </row>
    <row r="4">
      <c r="A4" s="3" t="s">
        <v>8</v>
      </c>
      <c r="D4" s="1" t="s">
        <v>9</v>
      </c>
      <c r="E4" s="1" t="s">
        <v>10</v>
      </c>
    </row>
    <row r="5">
      <c r="A5" s="3" t="s">
        <v>11</v>
      </c>
      <c r="D5" s="1" t="s">
        <v>12</v>
      </c>
    </row>
    <row r="6">
      <c r="A6" s="3" t="s">
        <v>13</v>
      </c>
      <c r="D6" s="1" t="s">
        <v>14</v>
      </c>
    </row>
    <row r="7">
      <c r="A7" s="3" t="s">
        <v>15</v>
      </c>
      <c r="D7" s="1" t="s">
        <v>16</v>
      </c>
    </row>
    <row r="8">
      <c r="A8" s="1" t="s">
        <v>17</v>
      </c>
    </row>
    <row r="9">
      <c r="A9" s="1" t="s">
        <v>18</v>
      </c>
      <c r="D9" s="1" t="s">
        <v>19</v>
      </c>
      <c r="E9" s="1" t="s">
        <v>10</v>
      </c>
    </row>
    <row r="10">
      <c r="A10" s="1" t="s">
        <v>20</v>
      </c>
      <c r="E10" s="1" t="s">
        <v>10</v>
      </c>
    </row>
    <row r="11">
      <c r="A11" s="1" t="s">
        <v>21</v>
      </c>
    </row>
    <row r="12">
      <c r="A12" s="1" t="s">
        <v>22</v>
      </c>
      <c r="F12" s="1" t="s">
        <v>23</v>
      </c>
    </row>
    <row r="13">
      <c r="A13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0.29"/>
    <col customWidth="1" min="3" max="3" width="28.71"/>
  </cols>
  <sheetData>
    <row r="1">
      <c r="A1" s="4" t="s">
        <v>0</v>
      </c>
      <c r="B1" s="4" t="s">
        <v>1</v>
      </c>
      <c r="C1" s="4" t="s">
        <v>2</v>
      </c>
      <c r="D1" s="4" t="s">
        <v>25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tr">
        <f>IFERROR(__xludf.DUMMYFUNCTION("unique(ConstantsUnits!G2:G1001)"),"AlphaParticleElectronMassRatio")</f>
        <v>AlphaParticleElectronMassRatio</v>
      </c>
      <c r="E2" s="3" t="str">
        <f>countif</f>
        <v>#NAME?</v>
      </c>
    </row>
    <row r="3">
      <c r="A3" s="7" t="str">
        <f>IFERROR(__xludf.DUMMYFUNCTION("""COMPUTED_VALUE"""),"AlphaParticleMass")</f>
        <v>AlphaParticleMass</v>
      </c>
    </row>
    <row r="4">
      <c r="A4" s="7" t="str">
        <f>IFERROR(__xludf.DUMMYFUNCTION("""COMPUTED_VALUE"""),"AlphaParticleMolarMass")</f>
        <v>AlphaParticleMolarMass</v>
      </c>
    </row>
    <row r="5">
      <c r="A5" s="7" t="str">
        <f>IFERROR(__xludf.DUMMYFUNCTION("""COMPUTED_VALUE"""),"AlphaParticleProtonMassRatio")</f>
        <v>AlphaParticleProtonMassRatio</v>
      </c>
    </row>
    <row r="6">
      <c r="A6" s="7" t="str">
        <f>IFERROR(__xludf.DUMMYFUNCTION("""COMPUTED_VALUE"""),"AlphaParticleRelativeAtomicMass")</f>
        <v>AlphaParticleRelativeAtomicMass</v>
      </c>
    </row>
    <row r="7">
      <c r="A7" s="7" t="str">
        <f>IFERROR(__xludf.DUMMYFUNCTION("""COMPUTED_VALUE"""),"AngstromStar")</f>
        <v>AngstromStar</v>
      </c>
    </row>
    <row r="8">
      <c r="A8" s="7" t="str">
        <f>IFERROR(__xludf.DUMMYFUNCTION("""COMPUTED_VALUE"""),"AtomicMassConstant")</f>
        <v>AtomicMassConstant</v>
      </c>
    </row>
    <row r="9">
      <c r="A9" s="7" t="str">
        <f>IFERROR(__xludf.DUMMYFUNCTION("""COMPUTED_VALUE"""),"AtomicMassUnitElectronVoltRelationship")</f>
        <v>AtomicMassUnitElectronVoltRelationship</v>
      </c>
    </row>
    <row r="10">
      <c r="A10" s="7" t="str">
        <f>IFERROR(__xludf.DUMMYFUNCTION("""COMPUTED_VALUE"""),"AtomicMassUnitHartreeRelationship")</f>
        <v>AtomicMassUnitHartreeRelationship</v>
      </c>
    </row>
    <row r="11">
      <c r="A11" s="7" t="str">
        <f>IFERROR(__xludf.DUMMYFUNCTION("""COMPUTED_VALUE"""),"AtomicMassUnitHertzRelationship")</f>
        <v>AtomicMassUnitHertzRelationship</v>
      </c>
    </row>
    <row r="12">
      <c r="A12" s="7" t="str">
        <f>IFERROR(__xludf.DUMMYFUNCTION("""COMPUTED_VALUE"""),"AtomicMassUnitInverseMeterRelationship")</f>
        <v>AtomicMassUnitInverseMeterRelationship</v>
      </c>
    </row>
    <row r="13">
      <c r="A13" s="7" t="str">
        <f>IFERROR(__xludf.DUMMYFUNCTION("""COMPUTED_VALUE"""),"AtomicMassUnitJouleRelationship")</f>
        <v>AtomicMassUnitJouleRelationship</v>
      </c>
    </row>
    <row r="14">
      <c r="A14" s="7" t="str">
        <f>IFERROR(__xludf.DUMMYFUNCTION("""COMPUTED_VALUE"""),"AtomicMassUnitKelvinRelationship")</f>
        <v>AtomicMassUnitKelvinRelationship</v>
      </c>
    </row>
    <row r="15">
      <c r="A15" s="7" t="str">
        <f>IFERROR(__xludf.DUMMYFUNCTION("""COMPUTED_VALUE"""),"AtomicMassUnitKilogramRelationship")</f>
        <v>AtomicMassUnitKilogramRelationship</v>
      </c>
    </row>
    <row r="16">
      <c r="A16" s="7" t="str">
        <f>IFERROR(__xludf.DUMMYFUNCTION("""COMPUTED_VALUE"""),"AtomicUnitOf1stHyperpolarizablity")</f>
        <v>AtomicUnitOf1stHyperpolarizablity</v>
      </c>
    </row>
    <row r="17">
      <c r="A17" s="7" t="str">
        <f>IFERROR(__xludf.DUMMYFUNCTION("""COMPUTED_VALUE"""),"AtomicUnitOf2ndHyperpolarizablity")</f>
        <v>AtomicUnitOf2ndHyperpolarizablity</v>
      </c>
    </row>
    <row r="18">
      <c r="A18" s="7" t="str">
        <f>IFERROR(__xludf.DUMMYFUNCTION("""COMPUTED_VALUE"""),"AtomicUnitOfAction")</f>
        <v>AtomicUnitOfAction</v>
      </c>
    </row>
    <row r="19">
      <c r="A19" s="7" t="str">
        <f>IFERROR(__xludf.DUMMYFUNCTION("""COMPUTED_VALUE"""),"AtomicUnitOfCharge")</f>
        <v>AtomicUnitOfCharge</v>
      </c>
    </row>
    <row r="20">
      <c r="A20" s="7" t="str">
        <f>IFERROR(__xludf.DUMMYFUNCTION("""COMPUTED_VALUE"""),"AtomicUnitOfChargeDensity")</f>
        <v>AtomicUnitOfChargeDensity</v>
      </c>
    </row>
    <row r="21">
      <c r="A21" s="7" t="str">
        <f>IFERROR(__xludf.DUMMYFUNCTION("""COMPUTED_VALUE"""),"AtomicUnitOfCurrent")</f>
        <v>AtomicUnitOfCurrent</v>
      </c>
    </row>
    <row r="22">
      <c r="A22" s="7" t="str">
        <f>IFERROR(__xludf.DUMMYFUNCTION("""COMPUTED_VALUE"""),"AtomicUnitOfElectricDipoleMom.")</f>
        <v>AtomicUnitOfElectricDipoleMom.</v>
      </c>
    </row>
    <row r="23">
      <c r="A23" s="7" t="str">
        <f>IFERROR(__xludf.DUMMYFUNCTION("""COMPUTED_VALUE"""),"AtomicUnitOfElectricField")</f>
        <v>AtomicUnitOfElectricField</v>
      </c>
    </row>
    <row r="24">
      <c r="A24" s="7" t="str">
        <f>IFERROR(__xludf.DUMMYFUNCTION("""COMPUTED_VALUE"""),"AtomicUnitOfElectricFieldGradient")</f>
        <v>AtomicUnitOfElectricFieldGradient</v>
      </c>
    </row>
    <row r="25">
      <c r="A25" s="7" t="str">
        <f>IFERROR(__xludf.DUMMYFUNCTION("""COMPUTED_VALUE"""),"AtomicUnitOfElectricPolarizablity")</f>
        <v>AtomicUnitOfElectricPolarizablity</v>
      </c>
    </row>
    <row r="26">
      <c r="A26" s="7" t="str">
        <f>IFERROR(__xludf.DUMMYFUNCTION("""COMPUTED_VALUE"""),"AtomicUnitOfElectricPotential")</f>
        <v>AtomicUnitOfElectricPotential</v>
      </c>
    </row>
    <row r="27">
      <c r="A27" s="7" t="str">
        <f>IFERROR(__xludf.DUMMYFUNCTION("""COMPUTED_VALUE"""),"AtomicUnitOfElectricQuadrupoleMoment")</f>
        <v>AtomicUnitOfElectricQuadrupoleMoment</v>
      </c>
    </row>
    <row r="28">
      <c r="A28" s="7" t="str">
        <f>IFERROR(__xludf.DUMMYFUNCTION("""COMPUTED_VALUE"""),"AtomicUnitOfEnergy")</f>
        <v>AtomicUnitOfEnergy</v>
      </c>
    </row>
    <row r="29">
      <c r="A29" s="7" t="str">
        <f>IFERROR(__xludf.DUMMYFUNCTION("""COMPUTED_VALUE"""),"AtomicUnitOfForce")</f>
        <v>AtomicUnitOfForce</v>
      </c>
    </row>
    <row r="30">
      <c r="A30" s="7" t="str">
        <f>IFERROR(__xludf.DUMMYFUNCTION("""COMPUTED_VALUE"""),"AtomicUnitOfLength")</f>
        <v>AtomicUnitOfLength</v>
      </c>
    </row>
    <row r="31">
      <c r="A31" s="7" t="str">
        <f>IFERROR(__xludf.DUMMYFUNCTION("""COMPUTED_VALUE"""),"AtomicUnitOfMagneticDipoleMoment")</f>
        <v>AtomicUnitOfMagneticDipoleMoment</v>
      </c>
    </row>
    <row r="32">
      <c r="A32" s="7" t="str">
        <f>IFERROR(__xludf.DUMMYFUNCTION("""COMPUTED_VALUE"""),"AtomicUnitOfMagneticFluxDensity")</f>
        <v>AtomicUnitOfMagneticFluxDensity</v>
      </c>
    </row>
    <row r="33">
      <c r="A33" s="7" t="str">
        <f>IFERROR(__xludf.DUMMYFUNCTION("""COMPUTED_VALUE"""),"AtomicUnitOfMagnetizability")</f>
        <v>AtomicUnitOfMagnetizability</v>
      </c>
    </row>
    <row r="34">
      <c r="A34" s="7" t="str">
        <f>IFERROR(__xludf.DUMMYFUNCTION("""COMPUTED_VALUE"""),"AtomicUnitOfMass")</f>
        <v>AtomicUnitOfMass</v>
      </c>
    </row>
    <row r="35">
      <c r="A35" s="7" t="str">
        <f>IFERROR(__xludf.DUMMYFUNCTION("""COMPUTED_VALUE"""),"AtomicUnitOfMomentum")</f>
        <v>AtomicUnitOfMomentum</v>
      </c>
    </row>
    <row r="36">
      <c r="A36" s="7" t="str">
        <f>IFERROR(__xludf.DUMMYFUNCTION("""COMPUTED_VALUE"""),"AtomicUnitOfPermittivity")</f>
        <v>AtomicUnitOfPermittivity</v>
      </c>
    </row>
    <row r="37">
      <c r="A37" s="7" t="str">
        <f>IFERROR(__xludf.DUMMYFUNCTION("""COMPUTED_VALUE"""),"AtomicUnitOfTime")</f>
        <v>AtomicUnitOfTime</v>
      </c>
    </row>
    <row r="38">
      <c r="A38" s="7" t="str">
        <f>IFERROR(__xludf.DUMMYFUNCTION("""COMPUTED_VALUE"""),"AtomicUnitOfVelocity")</f>
        <v>AtomicUnitOfVelocity</v>
      </c>
    </row>
    <row r="39">
      <c r="A39" s="7" t="str">
        <f>IFERROR(__xludf.DUMMYFUNCTION("""COMPUTED_VALUE"""),"AvogadroConstant")</f>
        <v>AvogadroConstant</v>
      </c>
    </row>
    <row r="40">
      <c r="A40" s="7" t="str">
        <f>IFERROR(__xludf.DUMMYFUNCTION("""COMPUTED_VALUE"""),"BohrMagneton")</f>
        <v>BohrMagneton</v>
      </c>
    </row>
    <row r="41">
      <c r="A41" s="7" t="str">
        <f>IFERROR(__xludf.DUMMYFUNCTION("""COMPUTED_VALUE"""),"BohrMagnetonInEVPerT")</f>
        <v>BohrMagnetonInEVPerT</v>
      </c>
    </row>
    <row r="42">
      <c r="A42" s="7" t="str">
        <f>IFERROR(__xludf.DUMMYFUNCTION("""COMPUTED_VALUE"""),"BohrMagnetonInHzPerT")</f>
        <v>BohrMagnetonInHzPerT</v>
      </c>
    </row>
    <row r="43">
      <c r="A43" s="7" t="str">
        <f>IFERROR(__xludf.DUMMYFUNCTION("""COMPUTED_VALUE"""),"BohrMagnetonInInverseMetersPerTesla")</f>
        <v>BohrMagnetonInInverseMetersPerTesla</v>
      </c>
    </row>
    <row r="44">
      <c r="A44" s="7" t="str">
        <f>IFERROR(__xludf.DUMMYFUNCTION("""COMPUTED_VALUE"""),"BohrMagnetonInKPerT")</f>
        <v>BohrMagnetonInKPerT</v>
      </c>
    </row>
    <row r="45">
      <c r="A45" s="7" t="str">
        <f>IFERROR(__xludf.DUMMYFUNCTION("""COMPUTED_VALUE"""),"BohrRadius")</f>
        <v>BohrRadius</v>
      </c>
    </row>
    <row r="46">
      <c r="A46" s="7" t="str">
        <f>IFERROR(__xludf.DUMMYFUNCTION("""COMPUTED_VALUE"""),"BoltzmannConstant")</f>
        <v>BoltzmannConstant</v>
      </c>
    </row>
    <row r="47">
      <c r="A47" s="7" t="str">
        <f>IFERROR(__xludf.DUMMYFUNCTION("""COMPUTED_VALUE"""),"BoltzmannConstantInEVPerK")</f>
        <v>BoltzmannConstantInEVPerK</v>
      </c>
    </row>
    <row r="48">
      <c r="A48" s="7" t="str">
        <f>IFERROR(__xludf.DUMMYFUNCTION("""COMPUTED_VALUE"""),"BoltzmannConstantInHzPerK")</f>
        <v>BoltzmannConstantInHzPerK</v>
      </c>
    </row>
    <row r="49">
      <c r="A49" s="7" t="str">
        <f>IFERROR(__xludf.DUMMYFUNCTION("""COMPUTED_VALUE"""),"BoltzmannConstantInInverseMetersPerKelvin")</f>
        <v>BoltzmannConstantInInverseMetersPerKelvin</v>
      </c>
    </row>
    <row r="50">
      <c r="A50" s="7" t="str">
        <f>IFERROR(__xludf.DUMMYFUNCTION("""COMPUTED_VALUE"""),"CharacteristicImpedanceOfVacuum")</f>
        <v>CharacteristicImpedanceOfVacuum</v>
      </c>
    </row>
    <row r="51">
      <c r="A51" s="7" t="str">
        <f>IFERROR(__xludf.DUMMYFUNCTION("""COMPUTED_VALUE"""),"ClassicalElectronRadius")</f>
        <v>ClassicalElectronRadius</v>
      </c>
    </row>
    <row r="52">
      <c r="A52" s="7" t="str">
        <f>IFERROR(__xludf.DUMMYFUNCTION("""COMPUTED_VALUE"""),"ComptonWavelength")</f>
        <v>ComptonWavelength</v>
      </c>
    </row>
    <row r="53">
      <c r="A53" s="7" t="str">
        <f>IFERROR(__xludf.DUMMYFUNCTION("""COMPUTED_VALUE"""),"ConductanceQuantum")</f>
        <v>ConductanceQuantum</v>
      </c>
    </row>
    <row r="54">
      <c r="A54" s="7" t="str">
        <f>IFERROR(__xludf.DUMMYFUNCTION("""COMPUTED_VALUE"""),"ComptonWavelengthOver2Pi")</f>
        <v>ComptonWavelengthOver2Pi</v>
      </c>
    </row>
    <row r="55">
      <c r="A55" s="7" t="str">
        <f>IFERROR(__xludf.DUMMYFUNCTION("""COMPUTED_VALUE"""),"ConventionalValueOfAmpere-90")</f>
        <v>ConventionalValueOfAmpere-90</v>
      </c>
    </row>
    <row r="56">
      <c r="A56" s="7" t="str">
        <f>IFERROR(__xludf.DUMMYFUNCTION("""COMPUTED_VALUE"""),"ConventionalValueOfCoulomb-90")</f>
        <v>ConventionalValueOfCoulomb-90</v>
      </c>
    </row>
    <row r="57">
      <c r="A57" s="7" t="str">
        <f>IFERROR(__xludf.DUMMYFUNCTION("""COMPUTED_VALUE"""),"ConventionalValueOfFarad-90")</f>
        <v>ConventionalValueOfFarad-90</v>
      </c>
    </row>
    <row r="58">
      <c r="A58" s="7" t="str">
        <f>IFERROR(__xludf.DUMMYFUNCTION("""COMPUTED_VALUE"""),"ConventionalValueOfHenry-90")</f>
        <v>ConventionalValueOfHenry-90</v>
      </c>
    </row>
    <row r="59">
      <c r="A59" s="7" t="str">
        <f>IFERROR(__xludf.DUMMYFUNCTION("""COMPUTED_VALUE"""),"ConventionalValueOfJosephsonConstant")</f>
        <v>ConventionalValueOfJosephsonConstant</v>
      </c>
    </row>
    <row r="60">
      <c r="A60" s="7" t="str">
        <f>IFERROR(__xludf.DUMMYFUNCTION("""COMPUTED_VALUE"""),"ConventionalValueOfOhm-90")</f>
        <v>ConventionalValueOfOhm-90</v>
      </c>
    </row>
    <row r="61">
      <c r="A61" s="7" t="str">
        <f>IFERROR(__xludf.DUMMYFUNCTION("""COMPUTED_VALUE"""),"ConventionalValueOfVolt-90")</f>
        <v>ConventionalValueOfVolt-90</v>
      </c>
    </row>
    <row r="62">
      <c r="A62" s="7" t="str">
        <f>IFERROR(__xludf.DUMMYFUNCTION("""COMPUTED_VALUE"""),"ConventionalValueOfVonKlitzingConstant")</f>
        <v>ConventionalValueOfVonKlitzingConstant</v>
      </c>
    </row>
    <row r="63">
      <c r="A63" s="7" t="str">
        <f>IFERROR(__xludf.DUMMYFUNCTION("""COMPUTED_VALUE"""),"ConventionalValueOfWatt-90")</f>
        <v>ConventionalValueOfWatt-90</v>
      </c>
    </row>
    <row r="64">
      <c r="A64" s="7" t="str">
        <f>IFERROR(__xludf.DUMMYFUNCTION("""COMPUTED_VALUE"""),"CuXUnit")</f>
        <v>CuXUnit</v>
      </c>
    </row>
    <row r="65">
      <c r="A65" s="7" t="str">
        <f>IFERROR(__xludf.DUMMYFUNCTION("""COMPUTED_VALUE"""),"DeuteronElectronMagneticMomentRatio")</f>
        <v>DeuteronElectronMagneticMomentRatio</v>
      </c>
    </row>
    <row r="66">
      <c r="A66" s="7" t="str">
        <f>IFERROR(__xludf.DUMMYFUNCTION("""COMPUTED_VALUE"""),"DeuteronElectronMassRatio")</f>
        <v>DeuteronElectronMassRatio</v>
      </c>
    </row>
    <row r="67">
      <c r="A67" s="7" t="str">
        <f>IFERROR(__xludf.DUMMYFUNCTION("""COMPUTED_VALUE"""),"DeuteronGFactor")</f>
        <v>DeuteronGFactor</v>
      </c>
    </row>
    <row r="68">
      <c r="A68" s="7" t="str">
        <f>IFERROR(__xludf.DUMMYFUNCTION("""COMPUTED_VALUE"""),"DeuteronMagneticMoment")</f>
        <v>DeuteronMagneticMoment</v>
      </c>
    </row>
    <row r="69">
      <c r="A69" s="7" t="str">
        <f>IFERROR(__xludf.DUMMYFUNCTION("""COMPUTED_VALUE"""),"DeuteronMagneticMomentToBohrMagnetonRatio")</f>
        <v>DeuteronMagneticMomentToBohrMagnetonRatio</v>
      </c>
    </row>
    <row r="70">
      <c r="A70" s="7" t="str">
        <f>IFERROR(__xludf.DUMMYFUNCTION("""COMPUTED_VALUE"""),"DeuteronMagneticMomentToNuclearMagnetonRatio")</f>
        <v>DeuteronMagneticMomentToNuclearMagnetonRatio</v>
      </c>
    </row>
    <row r="71">
      <c r="A71" s="7" t="str">
        <f>IFERROR(__xludf.DUMMYFUNCTION("""COMPUTED_VALUE"""),"DeuteronMass")</f>
        <v>DeuteronMass</v>
      </c>
    </row>
    <row r="72">
      <c r="A72" s="7" t="str">
        <f>IFERROR(__xludf.DUMMYFUNCTION("""COMPUTED_VALUE"""),"DeuteronMassEnergyEquivalent")</f>
        <v>DeuteronMassEnergyEquivalent</v>
      </c>
    </row>
    <row r="73">
      <c r="A73" s="7" t="str">
        <f>IFERROR(__xludf.DUMMYFUNCTION("""COMPUTED_VALUE"""),"DeuteronMassInAtomicMassUnit")</f>
        <v>DeuteronMassInAtomicMassUnit</v>
      </c>
    </row>
    <row r="74">
      <c r="A74" s="7" t="str">
        <f>IFERROR(__xludf.DUMMYFUNCTION("""COMPUTED_VALUE"""),"DeuteronMolarMass")</f>
        <v>DeuteronMolarMass</v>
      </c>
    </row>
    <row r="75">
      <c r="A75" s="7" t="str">
        <f>IFERROR(__xludf.DUMMYFUNCTION("""COMPUTED_VALUE"""),"DeuteronNeutronMagneticMomentRatio")</f>
        <v>DeuteronNeutronMagneticMomentRatio</v>
      </c>
    </row>
    <row r="76">
      <c r="A76" s="7" t="str">
        <f>IFERROR(__xludf.DUMMYFUNCTION("""COMPUTED_VALUE"""),"DeuteronProtonMagneticMomentRatio")</f>
        <v>DeuteronProtonMagneticMomentRatio</v>
      </c>
    </row>
    <row r="77">
      <c r="A77" s="7" t="str">
        <f>IFERROR(__xludf.DUMMYFUNCTION("""COMPUTED_VALUE"""),"DeuteronProtonMassRatio")</f>
        <v>DeuteronProtonMassRatio</v>
      </c>
    </row>
    <row r="78">
      <c r="A78" s="7" t="str">
        <f>IFERROR(__xludf.DUMMYFUNCTION("""COMPUTED_VALUE"""),"DeuteronRelativeAtomicMass")</f>
        <v>DeuteronRelativeAtomicMass</v>
      </c>
    </row>
    <row r="79">
      <c r="A79" s="7" t="str">
        <f>IFERROR(__xludf.DUMMYFUNCTION("""COMPUTED_VALUE"""),"DeuteronRmsChargeRadius")</f>
        <v>DeuteronRmsChargeRadius</v>
      </c>
    </row>
    <row r="80">
      <c r="A80" s="7" t="str">
        <f>IFERROR(__xludf.DUMMYFUNCTION("""COMPUTED_VALUE"""),"ElectricConstant")</f>
        <v>ElectricConstant</v>
      </c>
    </row>
    <row r="81">
      <c r="A81" s="7" t="str">
        <f>IFERROR(__xludf.DUMMYFUNCTION("""COMPUTED_VALUE"""),"ElectronChargeToMassQuotient")</f>
        <v>ElectronChargeToMassQuotient</v>
      </c>
    </row>
    <row r="82">
      <c r="A82" s="7" t="str">
        <f>IFERROR(__xludf.DUMMYFUNCTION("""COMPUTED_VALUE"""),"ElectronDeuteronMagneticMomentRatio")</f>
        <v>ElectronDeuteronMagneticMomentRatio</v>
      </c>
    </row>
    <row r="83">
      <c r="A83" s="7" t="str">
        <f>IFERROR(__xludf.DUMMYFUNCTION("""COMPUTED_VALUE"""),"ElectronDeuteronMassRatio")</f>
        <v>ElectronDeuteronMassRatio</v>
      </c>
    </row>
    <row r="84">
      <c r="A84" s="7" t="str">
        <f>IFERROR(__xludf.DUMMYFUNCTION("""COMPUTED_VALUE"""),"ElectronGFactor")</f>
        <v>ElectronGFactor</v>
      </c>
    </row>
    <row r="85">
      <c r="A85" s="7" t="str">
        <f>IFERROR(__xludf.DUMMYFUNCTION("""COMPUTED_VALUE"""),"ElectronGyromagneticRatio")</f>
        <v>ElectronGyromagneticRatio</v>
      </c>
    </row>
    <row r="86">
      <c r="A86" s="7" t="str">
        <f>IFERROR(__xludf.DUMMYFUNCTION("""COMPUTED_VALUE"""),"Electron-HelionMassRatio")</f>
        <v>Electron-HelionMassRatio</v>
      </c>
    </row>
    <row r="87">
      <c r="A87" s="7" t="str">
        <f>IFERROR(__xludf.DUMMYFUNCTION("""COMPUTED_VALUE"""),"ElectronMagneticMoment")</f>
        <v>ElectronMagneticMoment</v>
      </c>
    </row>
    <row r="88">
      <c r="A88" s="7" t="str">
        <f>IFERROR(__xludf.DUMMYFUNCTION("""COMPUTED_VALUE"""),"ElectronMagneticMomentAnomaly")</f>
        <v>ElectronMagneticMomentAnomaly</v>
      </c>
    </row>
    <row r="89">
      <c r="A89" s="7" t="str">
        <f>IFERROR(__xludf.DUMMYFUNCTION("""COMPUTED_VALUE"""),"ElectronMagneticMomentToBohrMagnetonRatio")</f>
        <v>ElectronMagneticMomentToBohrMagnetonRatio</v>
      </c>
    </row>
    <row r="90">
      <c r="A90" s="7" t="str">
        <f>IFERROR(__xludf.DUMMYFUNCTION("""COMPUTED_VALUE"""),"ElectronMagneticMomentToNuclearMagnetonRatio")</f>
        <v>ElectronMagneticMomentToNuclearMagnetonRatio</v>
      </c>
    </row>
    <row r="91">
      <c r="A91" s="7" t="str">
        <f>IFERROR(__xludf.DUMMYFUNCTION("""COMPUTED_VALUE"""),"ElectronMass")</f>
        <v>ElectronMass</v>
      </c>
    </row>
    <row r="92">
      <c r="A92" s="7" t="str">
        <f>IFERROR(__xludf.DUMMYFUNCTION("""COMPUTED_VALUE"""),"ElectronMassEnergyEquivalent")</f>
        <v>ElectronMassEnergyEquivalent</v>
      </c>
    </row>
    <row r="93">
      <c r="A93" s="7" t="str">
        <f>IFERROR(__xludf.DUMMYFUNCTION("""COMPUTED_VALUE"""),"ElectronMassEnergyEquivalentInMeV")</f>
        <v>ElectronMassEnergyEquivalentInMeV</v>
      </c>
    </row>
    <row r="94">
      <c r="A94" s="7" t="str">
        <f>IFERROR(__xludf.DUMMYFUNCTION("""COMPUTED_VALUE"""),"ElectronMassInAtomicMassUnit")</f>
        <v>ElectronMassInAtomicMassUnit</v>
      </c>
    </row>
    <row r="95">
      <c r="A95" s="7" t="str">
        <f>IFERROR(__xludf.DUMMYFUNCTION("""COMPUTED_VALUE"""),"ElectronMolarMass")</f>
        <v>ElectronMolarMass</v>
      </c>
    </row>
    <row r="96">
      <c r="A96" s="7" t="str">
        <f>IFERROR(__xludf.DUMMYFUNCTION("""COMPUTED_VALUE"""),"ElectronMuonMagneticMomentRatio")</f>
        <v>ElectronMuonMagneticMomentRatio</v>
      </c>
    </row>
    <row r="97">
      <c r="A97" s="7" t="str">
        <f>IFERROR(__xludf.DUMMYFUNCTION("""COMPUTED_VALUE"""),"ElectronMuonMassRatio")</f>
        <v>ElectronMuonMassRatio</v>
      </c>
    </row>
    <row r="98">
      <c r="A98" s="7" t="str">
        <f>IFERROR(__xludf.DUMMYFUNCTION("""COMPUTED_VALUE"""),"ElectronNeutronMagneticMomentRatio")</f>
        <v>ElectronNeutronMagneticMomentRatio</v>
      </c>
    </row>
    <row r="99">
      <c r="A99" s="7" t="str">
        <f>IFERROR(__xludf.DUMMYFUNCTION("""COMPUTED_VALUE"""),"ElectronNeutronMassRatio")</f>
        <v>ElectronNeutronMassRatio</v>
      </c>
    </row>
    <row r="100">
      <c r="A100" s="7" t="str">
        <f>IFERROR(__xludf.DUMMYFUNCTION("""COMPUTED_VALUE"""),"ElectronProtonMagneticMomentRatio")</f>
        <v>ElectronProtonMagneticMomentRatio</v>
      </c>
    </row>
    <row r="101">
      <c r="A101" s="7" t="str">
        <f>IFERROR(__xludf.DUMMYFUNCTION("""COMPUTED_VALUE"""),"ElectronProtonMassRatio")</f>
        <v>ElectronProtonMassRatio</v>
      </c>
    </row>
    <row r="102">
      <c r="A102" s="7" t="str">
        <f>IFERROR(__xludf.DUMMYFUNCTION("""COMPUTED_VALUE"""),"ElectronRelativeAtomicMass")</f>
        <v>ElectronRelativeAtomicMass</v>
      </c>
    </row>
    <row r="103">
      <c r="A103" s="7" t="str">
        <f>IFERROR(__xludf.DUMMYFUNCTION("""COMPUTED_VALUE"""),"ElectronTauMassRatio")</f>
        <v>ElectronTauMassRatio</v>
      </c>
    </row>
    <row r="104">
      <c r="A104" s="7" t="str">
        <f>IFERROR(__xludf.DUMMYFUNCTION("""COMPUTED_VALUE"""),"ElectronToAlphaParticleMassRatio")</f>
        <v>ElectronToAlphaParticleMassRatio</v>
      </c>
    </row>
    <row r="105">
      <c r="A105" s="7" t="str">
        <f>IFERROR(__xludf.DUMMYFUNCTION("""COMPUTED_VALUE"""),"ElectronToShieldedHelionMagneticMomentRatio")</f>
        <v>ElectronToShieldedHelionMagneticMomentRatio</v>
      </c>
    </row>
    <row r="106">
      <c r="A106" s="7" t="str">
        <f>IFERROR(__xludf.DUMMYFUNCTION("""COMPUTED_VALUE"""),"ElectronToShieldedProtonMagneticMomentRatio")</f>
        <v>ElectronToShieldedProtonMagneticMomentRatio</v>
      </c>
    </row>
    <row r="107">
      <c r="A107" s="7" t="str">
        <f>IFERROR(__xludf.DUMMYFUNCTION("""COMPUTED_VALUE"""),"Electron-TritonMassRatio")</f>
        <v>Electron-TritonMassRatio</v>
      </c>
    </row>
    <row r="108">
      <c r="A108" s="7" t="str">
        <f>IFERROR(__xludf.DUMMYFUNCTION("""COMPUTED_VALUE"""),"ElectronVolt")</f>
        <v>ElectronVolt</v>
      </c>
    </row>
    <row r="109">
      <c r="A109" s="7" t="str">
        <f>IFERROR(__xludf.DUMMYFUNCTION("""COMPUTED_VALUE"""),"ElectronVoltAtomicMassUnitRelationship")</f>
        <v>ElectronVoltAtomicMassUnitRelationship</v>
      </c>
    </row>
    <row r="110">
      <c r="A110" s="7" t="str">
        <f>IFERROR(__xludf.DUMMYFUNCTION("""COMPUTED_VALUE"""),"ElectronVoltHartreeRelationship")</f>
        <v>ElectronVoltHartreeRelationship</v>
      </c>
    </row>
    <row r="111">
      <c r="A111" s="7" t="str">
        <f>IFERROR(__xludf.DUMMYFUNCTION("""COMPUTED_VALUE"""),"ElectronVoltHertzRelationship")</f>
        <v>ElectronVoltHertzRelationship</v>
      </c>
    </row>
    <row r="112">
      <c r="A112" s="7" t="str">
        <f>IFERROR(__xludf.DUMMYFUNCTION("""COMPUTED_VALUE"""),"ElectronVoltInverseMeterRelationship")</f>
        <v>ElectronVoltInverseMeterRelationship</v>
      </c>
    </row>
    <row r="113">
      <c r="A113" s="7" t="str">
        <f>IFERROR(__xludf.DUMMYFUNCTION("""COMPUTED_VALUE"""),"ElectronVoltJouleRelationship")</f>
        <v>ElectronVoltJouleRelationship</v>
      </c>
    </row>
    <row r="114">
      <c r="A114" s="7" t="str">
        <f>IFERROR(__xludf.DUMMYFUNCTION("""COMPUTED_VALUE"""),"ElectronVoltKelvinRelationship")</f>
        <v>ElectronVoltKelvinRelationship</v>
      </c>
    </row>
    <row r="115">
      <c r="A115" s="7" t="str">
        <f>IFERROR(__xludf.DUMMYFUNCTION("""COMPUTED_VALUE"""),"ElectronVoltKilogramRelationship")</f>
        <v>ElectronVoltKilogramRelationship</v>
      </c>
    </row>
    <row r="116">
      <c r="A116" s="7" t="str">
        <f>IFERROR(__xludf.DUMMYFUNCTION("""COMPUTED_VALUE"""),"ElementaryCharge")</f>
        <v>ElementaryCharge</v>
      </c>
    </row>
    <row r="117">
      <c r="A117" s="7" t="str">
        <f>IFERROR(__xludf.DUMMYFUNCTION("""COMPUTED_VALUE"""),"ElementaryChargeOverH")</f>
        <v>ElementaryChargeOverH</v>
      </c>
    </row>
    <row r="118">
      <c r="A118" s="7" t="str">
        <f>IFERROR(__xludf.DUMMYFUNCTION("""COMPUTED_VALUE"""),"FaradayConstant")</f>
        <v>FaradayConstant</v>
      </c>
    </row>
    <row r="119">
      <c r="A119" s="7" t="str">
        <f>IFERROR(__xludf.DUMMYFUNCTION("""COMPUTED_VALUE"""),"FermiCouplingConstant")</f>
        <v>FermiCouplingConstant</v>
      </c>
    </row>
    <row r="120">
      <c r="A120" s="7" t="str">
        <f>IFERROR(__xludf.DUMMYFUNCTION("""COMPUTED_VALUE"""),"FineStructureConstant")</f>
        <v>FineStructureConstant</v>
      </c>
    </row>
    <row r="121">
      <c r="A121" s="7" t="str">
        <f>IFERROR(__xludf.DUMMYFUNCTION("""COMPUTED_VALUE"""),"FirstRadiationConstant")</f>
        <v>FirstRadiationConstant</v>
      </c>
    </row>
    <row r="122">
      <c r="A122" s="7" t="str">
        <f>IFERROR(__xludf.DUMMYFUNCTION("""COMPUTED_VALUE"""),"FirstRadiationConstantForSpectralRadiance")</f>
        <v>FirstRadiationConstantForSpectralRadiance</v>
      </c>
    </row>
    <row r="123">
      <c r="A123" s="7" t="str">
        <f>IFERROR(__xludf.DUMMYFUNCTION("""COMPUTED_VALUE"""),"GravitationalConstant")</f>
        <v>GravitationalConstant</v>
      </c>
    </row>
    <row r="124">
      <c r="A124" s="7" t="str">
        <f>IFERROR(__xludf.DUMMYFUNCTION("""COMPUTED_VALUE"""),"HartreeAtomicMassUnitRelationship")</f>
        <v>HartreeAtomicMassUnitRelationship</v>
      </c>
    </row>
    <row r="125">
      <c r="A125" s="7" t="str">
        <f>IFERROR(__xludf.DUMMYFUNCTION("""COMPUTED_VALUE"""),"HartreeElectronVoltRelationship")</f>
        <v>HartreeElectronVoltRelationship</v>
      </c>
    </row>
    <row r="126">
      <c r="A126" s="7" t="str">
        <f>IFERROR(__xludf.DUMMYFUNCTION("""COMPUTED_VALUE"""),"HartreeEnergy")</f>
        <v>HartreeEnergy</v>
      </c>
    </row>
    <row r="127">
      <c r="A127" s="7" t="str">
        <f>IFERROR(__xludf.DUMMYFUNCTION("""COMPUTED_VALUE"""),"HartreeEnergyInEV")</f>
        <v>HartreeEnergyInEV</v>
      </c>
    </row>
    <row r="128">
      <c r="A128" s="7" t="str">
        <f>IFERROR(__xludf.DUMMYFUNCTION("""COMPUTED_VALUE"""),"HartreeHertzRelationship")</f>
        <v>HartreeHertzRelationship</v>
      </c>
    </row>
    <row r="129">
      <c r="A129" s="7" t="str">
        <f>IFERROR(__xludf.DUMMYFUNCTION("""COMPUTED_VALUE"""),"HartreeInverseMeterRelationship")</f>
        <v>HartreeInverseMeterRelationship</v>
      </c>
    </row>
    <row r="130">
      <c r="A130" s="7" t="str">
        <f>IFERROR(__xludf.DUMMYFUNCTION("""COMPUTED_VALUE"""),"HartreeJouleRelationship")</f>
        <v>HartreeJouleRelationship</v>
      </c>
    </row>
    <row r="131">
      <c r="A131" s="7" t="str">
        <f>IFERROR(__xludf.DUMMYFUNCTION("""COMPUTED_VALUE"""),"HartreeKelvinRelationship")</f>
        <v>HartreeKelvinRelationship</v>
      </c>
    </row>
    <row r="132">
      <c r="A132" s="7" t="str">
        <f>IFERROR(__xludf.DUMMYFUNCTION("""COMPUTED_VALUE"""),"HartreeKilogramRelationship")</f>
        <v>HartreeKilogramRelationship</v>
      </c>
    </row>
    <row r="133">
      <c r="A133" s="7" t="str">
        <f>IFERROR(__xludf.DUMMYFUNCTION("""COMPUTED_VALUE"""),"HelionElectronMassRatio")</f>
        <v>HelionElectronMassRatio</v>
      </c>
    </row>
    <row r="134">
      <c r="A134" s="7" t="str">
        <f>IFERROR(__xludf.DUMMYFUNCTION("""COMPUTED_VALUE"""),"HelionGFactor")</f>
        <v>HelionGFactor</v>
      </c>
    </row>
    <row r="135">
      <c r="A135" s="7" t="str">
        <f>IFERROR(__xludf.DUMMYFUNCTION("""COMPUTED_VALUE"""),"HelionMag.Mom.")</f>
        <v>HelionMag.Mom.</v>
      </c>
    </row>
    <row r="136">
      <c r="A136" s="7" t="str">
        <f>IFERROR(__xludf.DUMMYFUNCTION("""COMPUTED_VALUE"""),"HelionMag.Mom.ToBohrMagnetonRatio")</f>
        <v>HelionMag.Mom.ToBohrMagnetonRatio</v>
      </c>
    </row>
    <row r="137">
      <c r="A137" s="7" t="str">
        <f>IFERROR(__xludf.DUMMYFUNCTION("""COMPUTED_VALUE"""),"HelionMag.Mom.ToNuclearMagnetonRatio")</f>
        <v>HelionMag.Mom.ToNuclearMagnetonRatio</v>
      </c>
    </row>
    <row r="138">
      <c r="A138" s="7" t="str">
        <f>IFERROR(__xludf.DUMMYFUNCTION("""COMPUTED_VALUE"""),"HelionMass")</f>
        <v>HelionMass</v>
      </c>
    </row>
    <row r="139">
      <c r="A139" s="7" t="str">
        <f>IFERROR(__xludf.DUMMYFUNCTION("""COMPUTED_VALUE"""),"HelionMassEnergyEquivalent")</f>
        <v>HelionMassEnergyEquivalent</v>
      </c>
    </row>
    <row r="140">
      <c r="A140" s="7" t="str">
        <f>IFERROR(__xludf.DUMMYFUNCTION("""COMPUTED_VALUE"""),"HelionMassInAtomicMassUnit")</f>
        <v>HelionMassInAtomicMassUnit</v>
      </c>
    </row>
    <row r="141">
      <c r="A141" s="7" t="str">
        <f>IFERROR(__xludf.DUMMYFUNCTION("""COMPUTED_VALUE"""),"HelionMolarMass")</f>
        <v>HelionMolarMass</v>
      </c>
    </row>
    <row r="142">
      <c r="A142" s="7" t="str">
        <f>IFERROR(__xludf.DUMMYFUNCTION("""COMPUTED_VALUE"""),"HelionProtonMassRatio")</f>
        <v>HelionProtonMassRatio</v>
      </c>
    </row>
    <row r="143">
      <c r="A143" s="7" t="str">
        <f>IFERROR(__xludf.DUMMYFUNCTION("""COMPUTED_VALUE"""),"HelionRelativeAtomicMass")</f>
        <v>HelionRelativeAtomicMass</v>
      </c>
    </row>
    <row r="144">
      <c r="A144" s="7" t="str">
        <f>IFERROR(__xludf.DUMMYFUNCTION("""COMPUTED_VALUE"""),"HelionShieldingShift")</f>
        <v>HelionShieldingShift</v>
      </c>
    </row>
    <row r="145">
      <c r="A145" s="7" t="str">
        <f>IFERROR(__xludf.DUMMYFUNCTION("""COMPUTED_VALUE"""),"HertzAtomicMassUnitRelationship")</f>
        <v>HertzAtomicMassUnitRelationship</v>
      </c>
    </row>
    <row r="146">
      <c r="A146" s="7" t="str">
        <f>IFERROR(__xludf.DUMMYFUNCTION("""COMPUTED_VALUE"""),"HertzElectronVoltRelationship")</f>
        <v>HertzElectronVoltRelationship</v>
      </c>
    </row>
    <row r="147">
      <c r="A147" s="7" t="str">
        <f>IFERROR(__xludf.DUMMYFUNCTION("""COMPUTED_VALUE"""),"HertzHartreeRelationship")</f>
        <v>HertzHartreeRelationship</v>
      </c>
    </row>
    <row r="148">
      <c r="A148" s="7" t="str">
        <f>IFERROR(__xludf.DUMMYFUNCTION("""COMPUTED_VALUE"""),"HertzInverseMeterRelationship")</f>
        <v>HertzInverseMeterRelationship</v>
      </c>
    </row>
    <row r="149">
      <c r="A149" s="7" t="str">
        <f>IFERROR(__xludf.DUMMYFUNCTION("""COMPUTED_VALUE"""),"HertzJouleRelationship")</f>
        <v>HertzJouleRelationship</v>
      </c>
    </row>
    <row r="150">
      <c r="A150" s="7" t="str">
        <f>IFERROR(__xludf.DUMMYFUNCTION("""COMPUTED_VALUE"""),"HertzKelvinRelationship")</f>
        <v>HertzKelvinRelationship</v>
      </c>
    </row>
    <row r="151">
      <c r="A151" s="7" t="str">
        <f>IFERROR(__xludf.DUMMYFUNCTION("""COMPUTED_VALUE"""),"HertzKilogramRelationship")</f>
        <v>HertzKilogramRelationship</v>
      </c>
    </row>
    <row r="152">
      <c r="A152" s="7" t="str">
        <f>IFERROR(__xludf.DUMMYFUNCTION("""COMPUTED_VALUE"""),"HyperfineTransitionFrequencyOfCs-133")</f>
        <v>HyperfineTransitionFrequencyOfCs-133</v>
      </c>
    </row>
    <row r="153">
      <c r="A153" s="7" t="str">
        <f>IFERROR(__xludf.DUMMYFUNCTION("""COMPUTED_VALUE"""),"InverseFineStructureConstant")</f>
        <v>InverseFineStructureConstant</v>
      </c>
    </row>
    <row r="154">
      <c r="A154" s="7" t="str">
        <f>IFERROR(__xludf.DUMMYFUNCTION("""COMPUTED_VALUE"""),"InverseMeterAtomicMassUnitRelationship")</f>
        <v>InverseMeterAtomicMassUnitRelationship</v>
      </c>
    </row>
    <row r="155">
      <c r="A155" s="7" t="str">
        <f>IFERROR(__xludf.DUMMYFUNCTION("""COMPUTED_VALUE"""),"InverseMeterElectronVoltRelationship")</f>
        <v>InverseMeterElectronVoltRelationship</v>
      </c>
    </row>
    <row r="156">
      <c r="A156" s="7" t="str">
        <f>IFERROR(__xludf.DUMMYFUNCTION("""COMPUTED_VALUE"""),"InverseMeterHartreeRelationship")</f>
        <v>InverseMeterHartreeRelationship</v>
      </c>
    </row>
    <row r="157">
      <c r="A157" s="7" t="str">
        <f>IFERROR(__xludf.DUMMYFUNCTION("""COMPUTED_VALUE"""),"InverseMeterHertzRelationship")</f>
        <v>InverseMeterHertzRelationship</v>
      </c>
    </row>
    <row r="158">
      <c r="A158" s="7" t="str">
        <f>IFERROR(__xludf.DUMMYFUNCTION("""COMPUTED_VALUE"""),"InverseMeterJouleRelationship")</f>
        <v>InverseMeterJouleRelationship</v>
      </c>
    </row>
    <row r="159">
      <c r="A159" s="7" t="str">
        <f>IFERROR(__xludf.DUMMYFUNCTION("""COMPUTED_VALUE"""),"InverseMeterKelvinRelationship")</f>
        <v>InverseMeterKelvinRelationship</v>
      </c>
    </row>
    <row r="160">
      <c r="A160" s="7" t="str">
        <f>IFERROR(__xludf.DUMMYFUNCTION("""COMPUTED_VALUE"""),"InverseMeterKilogramRelationship")</f>
        <v>InverseMeterKilogramRelationship</v>
      </c>
    </row>
    <row r="161">
      <c r="A161" s="7" t="str">
        <f>IFERROR(__xludf.DUMMYFUNCTION("""COMPUTED_VALUE"""),"InverseOfConductanceQuantum")</f>
        <v>InverseOfConductanceQuantum</v>
      </c>
    </row>
    <row r="162">
      <c r="A162" s="7" t="str">
        <f>IFERROR(__xludf.DUMMYFUNCTION("""COMPUTED_VALUE"""),"JosephsonConstant")</f>
        <v>JosephsonConstant</v>
      </c>
    </row>
    <row r="163">
      <c r="A163" s="7" t="str">
        <f>IFERROR(__xludf.DUMMYFUNCTION("""COMPUTED_VALUE"""),"JouleAtomicMassUnitRelationship")</f>
        <v>JouleAtomicMassUnitRelationship</v>
      </c>
    </row>
    <row r="164">
      <c r="A164" s="7" t="str">
        <f>IFERROR(__xludf.DUMMYFUNCTION("""COMPUTED_VALUE"""),"JouleElectronVoltRelationship")</f>
        <v>JouleElectronVoltRelationship</v>
      </c>
    </row>
    <row r="165">
      <c r="A165" s="7" t="str">
        <f>IFERROR(__xludf.DUMMYFUNCTION("""COMPUTED_VALUE"""),"JouleHartreeRelationship")</f>
        <v>JouleHartreeRelationship</v>
      </c>
    </row>
    <row r="166">
      <c r="A166" s="7" t="str">
        <f>IFERROR(__xludf.DUMMYFUNCTION("""COMPUTED_VALUE"""),"JouleHertzRelationship")</f>
        <v>JouleHertzRelationship</v>
      </c>
    </row>
    <row r="167">
      <c r="A167" s="7" t="str">
        <f>IFERROR(__xludf.DUMMYFUNCTION("""COMPUTED_VALUE"""),"JouleInverseMeterRelationship")</f>
        <v>JouleInverseMeterRelationship</v>
      </c>
    </row>
    <row r="168">
      <c r="A168" s="7" t="str">
        <f>IFERROR(__xludf.DUMMYFUNCTION("""COMPUTED_VALUE"""),"JouleKelvinRelationship")</f>
        <v>JouleKelvinRelationship</v>
      </c>
    </row>
    <row r="169">
      <c r="A169" s="7" t="str">
        <f>IFERROR(__xludf.DUMMYFUNCTION("""COMPUTED_VALUE"""),"JouleKilogramRelationship")</f>
        <v>JouleKilogramRelationship</v>
      </c>
    </row>
    <row r="170">
      <c r="A170" s="7" t="str">
        <f>IFERROR(__xludf.DUMMYFUNCTION("""COMPUTED_VALUE"""),"KelvinAtomicMassUnitRelationship")</f>
        <v>KelvinAtomicMassUnitRelationship</v>
      </c>
    </row>
    <row r="171">
      <c r="A171" s="7" t="str">
        <f>IFERROR(__xludf.DUMMYFUNCTION("""COMPUTED_VALUE"""),"KelvinElectronVoltRelationship")</f>
        <v>KelvinElectronVoltRelationship</v>
      </c>
    </row>
    <row r="172">
      <c r="A172" s="7" t="str">
        <f>IFERROR(__xludf.DUMMYFUNCTION("""COMPUTED_VALUE"""),"KelvinHartreeRelationship")</f>
        <v>KelvinHartreeRelationship</v>
      </c>
    </row>
    <row r="173">
      <c r="A173" s="7" t="str">
        <f>IFERROR(__xludf.DUMMYFUNCTION("""COMPUTED_VALUE"""),"KelvinHertzRelationship")</f>
        <v>KelvinHertzRelationship</v>
      </c>
    </row>
    <row r="174">
      <c r="A174" s="7" t="str">
        <f>IFERROR(__xludf.DUMMYFUNCTION("""COMPUTED_VALUE"""),"KelvinInverseMeterRelationship")</f>
        <v>KelvinInverseMeterRelationship</v>
      </c>
    </row>
    <row r="175">
      <c r="A175" s="7" t="str">
        <f>IFERROR(__xludf.DUMMYFUNCTION("""COMPUTED_VALUE"""),"KelvinJouleRelationship")</f>
        <v>KelvinJouleRelationship</v>
      </c>
    </row>
    <row r="176">
      <c r="A176" s="7" t="str">
        <f>IFERROR(__xludf.DUMMYFUNCTION("""COMPUTED_VALUE"""),"KelvinKilogramRelationship")</f>
        <v>KelvinKilogramRelationship</v>
      </c>
    </row>
    <row r="177">
      <c r="A177" s="7" t="str">
        <f>IFERROR(__xludf.DUMMYFUNCTION("""COMPUTED_VALUE"""),"KilogramAtomicMassUnitRelationship")</f>
        <v>KilogramAtomicMassUnitRelationship</v>
      </c>
    </row>
    <row r="178">
      <c r="A178" s="7" t="str">
        <f>IFERROR(__xludf.DUMMYFUNCTION("""COMPUTED_VALUE"""),"KilogramElectronVoltRelationship")</f>
        <v>KilogramElectronVoltRelationship</v>
      </c>
    </row>
    <row r="179">
      <c r="A179" s="7" t="str">
        <f>IFERROR(__xludf.DUMMYFUNCTION("""COMPUTED_VALUE"""),"KilogramHartreeRelationship")</f>
        <v>KilogramHartreeRelationship</v>
      </c>
    </row>
    <row r="180">
      <c r="A180" s="7" t="str">
        <f>IFERROR(__xludf.DUMMYFUNCTION("""COMPUTED_VALUE"""),"KilogramHertzRelationship")</f>
        <v>KilogramHertzRelationship</v>
      </c>
    </row>
    <row r="181">
      <c r="A181" s="7" t="str">
        <f>IFERROR(__xludf.DUMMYFUNCTION("""COMPUTED_VALUE"""),"KilogramInverseMeterRelationship")</f>
        <v>KilogramInverseMeterRelationship</v>
      </c>
    </row>
    <row r="182">
      <c r="A182" s="7" t="str">
        <f>IFERROR(__xludf.DUMMYFUNCTION("""COMPUTED_VALUE"""),"KilogramJouleRelationship")</f>
        <v>KilogramJouleRelationship</v>
      </c>
    </row>
    <row r="183">
      <c r="A183" s="7" t="str">
        <f>IFERROR(__xludf.DUMMYFUNCTION("""COMPUTED_VALUE"""),"KilogramKelvinRelationship")</f>
        <v>KilogramKelvinRelationship</v>
      </c>
    </row>
    <row r="184">
      <c r="A184" s="7" t="str">
        <f>IFERROR(__xludf.DUMMYFUNCTION("""COMPUTED_VALUE"""),"LatticeParameterOfSilicon")</f>
        <v>LatticeParameterOfSilicon</v>
      </c>
    </row>
    <row r="185">
      <c r="A185" s="7" t="str">
        <f>IFERROR(__xludf.DUMMYFUNCTION("""COMPUTED_VALUE"""),"LatticeSpacingOfSilicon")</f>
        <v>LatticeSpacingOfSilicon</v>
      </c>
    </row>
    <row r="186">
      <c r="A186" s="8" t="str">
        <f>IFERROR(__xludf.DUMMYFUNCTION("""COMPUTED_VALUE"""),"LoschmidtConstant")</f>
        <v>LoschmidtConstant</v>
      </c>
    </row>
    <row r="187">
      <c r="A187" s="8" t="str">
        <f>IFERROR(__xludf.DUMMYFUNCTION("""COMPUTED_VALUE"""),"LuminousEfficacy")</f>
        <v>LuminousEfficacy</v>
      </c>
    </row>
    <row r="188">
      <c r="A188" s="7" t="str">
        <f>IFERROR(__xludf.DUMMYFUNCTION("""COMPUTED_VALUE"""),"MagneticConstant")</f>
        <v>MagneticConstant</v>
      </c>
    </row>
    <row r="189">
      <c r="A189" s="7" t="str">
        <f>IFERROR(__xludf.DUMMYFUNCTION("""COMPUTED_VALUE"""),"MagneticFluxQuantum")</f>
        <v>MagneticFluxQuantum</v>
      </c>
    </row>
    <row r="190">
      <c r="A190" s="7" t="str">
        <f>IFERROR(__xludf.DUMMYFUNCTION("""COMPUTED_VALUE"""),"MolarGasConstant")</f>
        <v>MolarGasConstant</v>
      </c>
    </row>
    <row r="191">
      <c r="A191" s="7" t="str">
        <f>IFERROR(__xludf.DUMMYFUNCTION("""COMPUTED_VALUE"""),"MolarMassConstant")</f>
        <v>MolarMassConstant</v>
      </c>
    </row>
    <row r="192">
      <c r="A192" s="7" t="str">
        <f>IFERROR(__xludf.DUMMYFUNCTION("""COMPUTED_VALUE"""),"MolarMassOfCarbon12")</f>
        <v>MolarMassOfCarbon12</v>
      </c>
    </row>
    <row r="193">
      <c r="A193" s="7" t="str">
        <f>IFERROR(__xludf.DUMMYFUNCTION("""COMPUTED_VALUE"""),"MolarPlanckConstant")</f>
        <v>MolarPlanckConstant</v>
      </c>
    </row>
    <row r="194">
      <c r="A194" s="7" t="str">
        <f>IFERROR(__xludf.DUMMYFUNCTION("""COMPUTED_VALUE"""),"MolarPlanckConstantTimesC")</f>
        <v>MolarPlanckConstantTimesC</v>
      </c>
    </row>
    <row r="195">
      <c r="A195" s="7" t="str">
        <f>IFERROR(__xludf.DUMMYFUNCTION("""COMPUTED_VALUE"""),"MolarVolumeOfIdealGas")</f>
        <v>MolarVolumeOfIdealGas</v>
      </c>
    </row>
    <row r="196">
      <c r="A196" s="8" t="str">
        <f>IFERROR(__xludf.DUMMYFUNCTION("""COMPUTED_VALUE"""),"MolarVolumeOfSilicon")</f>
        <v>MolarVolumeOfSilicon</v>
      </c>
    </row>
    <row r="197">
      <c r="A197" s="8" t="str">
        <f>IFERROR(__xludf.DUMMYFUNCTION("""COMPUTED_VALUE"""),"MolybdenumXUnit")</f>
        <v>MolybdenumXUnit</v>
      </c>
    </row>
    <row r="198">
      <c r="A198" s="7" t="str">
        <f>IFERROR(__xludf.DUMMYFUNCTION("""COMPUTED_VALUE"""),"MoXUnit")</f>
        <v>MoXUnit</v>
      </c>
    </row>
    <row r="199">
      <c r="A199" s="7" t="str">
        <f>IFERROR(__xludf.DUMMYFUNCTION("""COMPUTED_VALUE"""),"MuonComptonWavelength")</f>
        <v>MuonComptonWavelength</v>
      </c>
    </row>
    <row r="200">
      <c r="A200" s="7" t="str">
        <f>IFERROR(__xludf.DUMMYFUNCTION("""COMPUTED_VALUE"""),"MuonElectronMassRatio")</f>
        <v>MuonElectronMassRatio</v>
      </c>
    </row>
    <row r="201">
      <c r="A201" s="7" t="str">
        <f>IFERROR(__xludf.DUMMYFUNCTION("""COMPUTED_VALUE"""),"MuonGFactor")</f>
        <v>MuonGFactor</v>
      </c>
    </row>
    <row r="202">
      <c r="A202" s="7" t="str">
        <f>IFERROR(__xludf.DUMMYFUNCTION("""COMPUTED_VALUE"""),"MuonMagneticMoment")</f>
        <v>MuonMagneticMoment</v>
      </c>
    </row>
    <row r="203">
      <c r="A203" s="7" t="str">
        <f>IFERROR(__xludf.DUMMYFUNCTION("""COMPUTED_VALUE"""),"MuonMagneticMomentAnomaly")</f>
        <v>MuonMagneticMomentAnomaly</v>
      </c>
    </row>
    <row r="204">
      <c r="A204" s="7" t="str">
        <f>IFERROR(__xludf.DUMMYFUNCTION("""COMPUTED_VALUE"""),"MuonMagneticMomentToBohrMagnetonRatio")</f>
        <v>MuonMagneticMomentToBohrMagnetonRatio</v>
      </c>
    </row>
    <row r="205">
      <c r="A205" s="7" t="str">
        <f>IFERROR(__xludf.DUMMYFUNCTION("""COMPUTED_VALUE"""),"MuonMagneticMomentToNuclearMagnetonRatio")</f>
        <v>MuonMagneticMomentToNuclearMagnetonRatio</v>
      </c>
    </row>
    <row r="206">
      <c r="A206" s="7" t="str">
        <f>IFERROR(__xludf.DUMMYFUNCTION("""COMPUTED_VALUE"""),"MuonMass")</f>
        <v>MuonMass</v>
      </c>
    </row>
    <row r="207">
      <c r="A207" s="7" t="str">
        <f>IFERROR(__xludf.DUMMYFUNCTION("""COMPUTED_VALUE"""),"MuonMassEnergyEquivalent")</f>
        <v>MuonMassEnergyEquivalent</v>
      </c>
    </row>
    <row r="208">
      <c r="A208" s="7" t="str">
        <f>IFERROR(__xludf.DUMMYFUNCTION("""COMPUTED_VALUE"""),"MuonMassInAtomicMassUnit")</f>
        <v>MuonMassInAtomicMassUnit</v>
      </c>
    </row>
    <row r="209">
      <c r="A209" s="7" t="str">
        <f>IFERROR(__xludf.DUMMYFUNCTION("""COMPUTED_VALUE"""),"MuonMolarMass")</f>
        <v>MuonMolarMass</v>
      </c>
    </row>
    <row r="210">
      <c r="A210" s="7" t="str">
        <f>IFERROR(__xludf.DUMMYFUNCTION("""COMPUTED_VALUE"""),"MuonNeutronMassRatio")</f>
        <v>MuonNeutronMassRatio</v>
      </c>
    </row>
    <row r="211">
      <c r="A211" s="7" t="str">
        <f>IFERROR(__xludf.DUMMYFUNCTION("""COMPUTED_VALUE"""),"MuonProtonMagneticMomentRatio")</f>
        <v>MuonProtonMagneticMomentRatio</v>
      </c>
    </row>
    <row r="212">
      <c r="A212" s="7" t="str">
        <f>IFERROR(__xludf.DUMMYFUNCTION("""COMPUTED_VALUE"""),"MuonProtonMassRatio")</f>
        <v>MuonProtonMassRatio</v>
      </c>
    </row>
    <row r="213">
      <c r="A213" s="7" t="str">
        <f>IFERROR(__xludf.DUMMYFUNCTION("""COMPUTED_VALUE"""),"MuonTauMassRatio")</f>
        <v>MuonTauMassRatio</v>
      </c>
    </row>
    <row r="214">
      <c r="A214" s="7" t="str">
        <f>IFERROR(__xludf.DUMMYFUNCTION("""COMPUTED_VALUE"""),"NaturalUnitOfAction")</f>
        <v>NaturalUnitOfAction</v>
      </c>
    </row>
    <row r="215">
      <c r="A215" s="7" t="str">
        <f>IFERROR(__xludf.DUMMYFUNCTION("""COMPUTED_VALUE"""),"NaturalUnitOfEnergy")</f>
        <v>NaturalUnitOfEnergy</v>
      </c>
    </row>
    <row r="216">
      <c r="A216" s="7" t="str">
        <f>IFERROR(__xludf.DUMMYFUNCTION("""COMPUTED_VALUE"""),"NaturalUnitOfLength")</f>
        <v>NaturalUnitOfLength</v>
      </c>
    </row>
    <row r="217">
      <c r="A217" s="7" t="str">
        <f>IFERROR(__xludf.DUMMYFUNCTION("""COMPUTED_VALUE"""),"NaturalUnitOfMass")</f>
        <v>NaturalUnitOfMass</v>
      </c>
    </row>
    <row r="218">
      <c r="A218" s="7" t="str">
        <f>IFERROR(__xludf.DUMMYFUNCTION("""COMPUTED_VALUE"""),"NaturalUnitOfMomentum")</f>
        <v>NaturalUnitOfMomentum</v>
      </c>
    </row>
    <row r="219">
      <c r="A219" s="7" t="str">
        <f>IFERROR(__xludf.DUMMYFUNCTION("""COMPUTED_VALUE"""),"NaturalUnitOfTime")</f>
        <v>NaturalUnitOfTime</v>
      </c>
    </row>
    <row r="220">
      <c r="A220" s="7" t="str">
        <f>IFERROR(__xludf.DUMMYFUNCTION("""COMPUTED_VALUE"""),"NaturalUnitOfVelocity")</f>
        <v>NaturalUnitOfVelocity</v>
      </c>
    </row>
    <row r="221">
      <c r="A221" s="7" t="str">
        <f>IFERROR(__xludf.DUMMYFUNCTION("""COMPUTED_VALUE"""),"NeutronComptonWavelength")</f>
        <v>NeutronComptonWavelength</v>
      </c>
    </row>
    <row r="222">
      <c r="A222" s="7" t="str">
        <f>IFERROR(__xludf.DUMMYFUNCTION("""COMPUTED_VALUE"""),"NeutronElectronMagneticMomentRatio")</f>
        <v>NeutronElectronMagneticMomentRatio</v>
      </c>
    </row>
    <row r="223">
      <c r="A223" s="7" t="str">
        <f>IFERROR(__xludf.DUMMYFUNCTION("""COMPUTED_VALUE"""),"NeutronElectronMassRatio")</f>
        <v>NeutronElectronMassRatio</v>
      </c>
    </row>
    <row r="224">
      <c r="A224" s="7" t="str">
        <f>IFERROR(__xludf.DUMMYFUNCTION("""COMPUTED_VALUE"""),"NeutronGFactor")</f>
        <v>NeutronGFactor</v>
      </c>
    </row>
    <row r="225">
      <c r="A225" s="7" t="str">
        <f>IFERROR(__xludf.DUMMYFUNCTION("""COMPUTED_VALUE"""),"NeutronGyromagneticRatio")</f>
        <v>NeutronGyromagneticRatio</v>
      </c>
    </row>
    <row r="226">
      <c r="A226" s="7" t="str">
        <f>IFERROR(__xludf.DUMMYFUNCTION("""COMPUTED_VALUE"""),"NeutronMagneticMoment")</f>
        <v>NeutronMagneticMoment</v>
      </c>
    </row>
    <row r="227">
      <c r="A227" s="7" t="str">
        <f>IFERROR(__xludf.DUMMYFUNCTION("""COMPUTED_VALUE"""),"NeutronMagneticMomentToBohrMagnetonRatio")</f>
        <v>NeutronMagneticMomentToBohrMagnetonRatio</v>
      </c>
    </row>
    <row r="228">
      <c r="A228" s="7" t="str">
        <f>IFERROR(__xludf.DUMMYFUNCTION("""COMPUTED_VALUE"""),"NeutronMagneticMomentToNuclearMagnetonRatio")</f>
        <v>NeutronMagneticMomentToNuclearMagnetonRatio</v>
      </c>
    </row>
    <row r="229">
      <c r="A229" s="7" t="str">
        <f>IFERROR(__xludf.DUMMYFUNCTION("""COMPUTED_VALUE"""),"NeutronMass")</f>
        <v>NeutronMass</v>
      </c>
    </row>
    <row r="230">
      <c r="A230" s="7" t="str">
        <f>IFERROR(__xludf.DUMMYFUNCTION("""COMPUTED_VALUE"""),"NeutronMassEnergyEquivalent")</f>
        <v>NeutronMassEnergyEquivalent</v>
      </c>
    </row>
    <row r="231">
      <c r="A231" s="7" t="str">
        <f>IFERROR(__xludf.DUMMYFUNCTION("""COMPUTED_VALUE"""),"NeutronMassInAtomicMassUnit")</f>
        <v>NeutronMassInAtomicMassUnit</v>
      </c>
    </row>
    <row r="232">
      <c r="A232" s="7" t="str">
        <f>IFERROR(__xludf.DUMMYFUNCTION("""COMPUTED_VALUE"""),"NeutronMolarMass")</f>
        <v>NeutronMolarMass</v>
      </c>
    </row>
    <row r="233">
      <c r="A233" s="7" t="str">
        <f>IFERROR(__xludf.DUMMYFUNCTION("""COMPUTED_VALUE"""),"NeutronMuonMassRatio")</f>
        <v>NeutronMuonMassRatio</v>
      </c>
    </row>
    <row r="234">
      <c r="A234" s="7" t="str">
        <f>IFERROR(__xludf.DUMMYFUNCTION("""COMPUTED_VALUE"""),"NeutronProtonMagneticMomentRatio")</f>
        <v>NeutronProtonMagneticMomentRatio</v>
      </c>
    </row>
    <row r="235">
      <c r="A235" s="7" t="str">
        <f>IFERROR(__xludf.DUMMYFUNCTION("""COMPUTED_VALUE"""),"Neutron-ProtonMassDifference")</f>
        <v>Neutron-ProtonMassDifference</v>
      </c>
    </row>
    <row r="236">
      <c r="A236" s="7" t="str">
        <f>IFERROR(__xludf.DUMMYFUNCTION("""COMPUTED_VALUE"""),"Neutron-ProtonMassDifferenceEnergyEquivalent")</f>
        <v>Neutron-ProtonMassDifferenceEnergyEquivalent</v>
      </c>
    </row>
    <row r="237">
      <c r="A237" s="7" t="str">
        <f>IFERROR(__xludf.DUMMYFUNCTION("""COMPUTED_VALUE"""),"Neutron-ProtonMassDifferenceInU")</f>
        <v>Neutron-ProtonMassDifferenceInU</v>
      </c>
    </row>
    <row r="238">
      <c r="A238" s="7" t="str">
        <f>IFERROR(__xludf.DUMMYFUNCTION("""COMPUTED_VALUE"""),"NeutronProtonMassRatio")</f>
        <v>NeutronProtonMassRatio</v>
      </c>
    </row>
    <row r="239">
      <c r="A239" s="7" t="str">
        <f>IFERROR(__xludf.DUMMYFUNCTION("""COMPUTED_VALUE"""),"NeutronRelativeAtomicMass")</f>
        <v>NeutronRelativeAtomicMass</v>
      </c>
    </row>
    <row r="240">
      <c r="A240" s="7" t="str">
        <f>IFERROR(__xludf.DUMMYFUNCTION("""COMPUTED_VALUE"""),"NeutronTauMassRatio")</f>
        <v>NeutronTauMassRatio</v>
      </c>
    </row>
    <row r="241">
      <c r="A241" s="7" t="str">
        <f>IFERROR(__xludf.DUMMYFUNCTION("""COMPUTED_VALUE"""),"NeutronToShieldedProtonMagneticMomentRatio")</f>
        <v>NeutronToShieldedProtonMagneticMomentRatio</v>
      </c>
    </row>
    <row r="242">
      <c r="A242" s="7" t="str">
        <f>IFERROR(__xludf.DUMMYFUNCTION("""COMPUTED_VALUE"""),"NewtonianConstantOfGravitation")</f>
        <v>NewtonianConstantOfGravitation</v>
      </c>
    </row>
    <row r="243">
      <c r="A243" s="7" t="str">
        <f>IFERROR(__xludf.DUMMYFUNCTION("""COMPUTED_VALUE"""),"NuclearMagneton")</f>
        <v>NuclearMagneton</v>
      </c>
    </row>
    <row r="244">
      <c r="A244" s="7" t="str">
        <f>IFERROR(__xludf.DUMMYFUNCTION("""COMPUTED_VALUE"""),"NuclearMagnetonInInverseMetersPerTesla")</f>
        <v>NuclearMagnetonInInverseMetersPerTesla</v>
      </c>
    </row>
    <row r="245">
      <c r="A245" s="7" t="str">
        <f>IFERROR(__xludf.DUMMYFUNCTION("""COMPUTED_VALUE"""),"NuclearMagnetonInKPerT")</f>
        <v>NuclearMagnetonInKPerT</v>
      </c>
    </row>
    <row r="246">
      <c r="A246" s="7" t="str">
        <f>IFERROR(__xludf.DUMMYFUNCTION("""COMPUTED_VALUE"""),"NuclearMagnetonInMHzPerT")</f>
        <v>NuclearMagnetonInMHzPerT</v>
      </c>
    </row>
    <row r="247">
      <c r="A247" s="7" t="str">
        <f>IFERROR(__xludf.DUMMYFUNCTION("""COMPUTED_VALUE"""),"PlanckConstant")</f>
        <v>PlanckConstant</v>
      </c>
    </row>
    <row r="248">
      <c r="A248" s="7" t="str">
        <f>IFERROR(__xludf.DUMMYFUNCTION("""COMPUTED_VALUE"""),"PlanckLength")</f>
        <v>PlanckLength</v>
      </c>
    </row>
    <row r="249">
      <c r="A249" s="7" t="str">
        <f>IFERROR(__xludf.DUMMYFUNCTION("""COMPUTED_VALUE"""),"PlanckMass")</f>
        <v>PlanckMass</v>
      </c>
    </row>
    <row r="250">
      <c r="A250" s="7" t="str">
        <f>IFERROR(__xludf.DUMMYFUNCTION("""COMPUTED_VALUE"""),"PlanckTemperature")</f>
        <v>PlanckTemperature</v>
      </c>
    </row>
    <row r="251">
      <c r="A251" s="7" t="str">
        <f>IFERROR(__xludf.DUMMYFUNCTION("""COMPUTED_VALUE"""),"PlanckTime")</f>
        <v>PlanckTime</v>
      </c>
    </row>
    <row r="252">
      <c r="A252" s="7" t="str">
        <f>IFERROR(__xludf.DUMMYFUNCTION("""COMPUTED_VALUE"""),"ProtonChargeToMassQuotient")</f>
        <v>ProtonChargeToMassQuotient</v>
      </c>
    </row>
    <row r="253">
      <c r="A253" s="7" t="str">
        <f>IFERROR(__xludf.DUMMYFUNCTION("""COMPUTED_VALUE"""),"ProtonComptonWavelength")</f>
        <v>ProtonComptonWavelength</v>
      </c>
    </row>
    <row r="254">
      <c r="A254" s="7" t="str">
        <f>IFERROR(__xludf.DUMMYFUNCTION("""COMPUTED_VALUE"""),"ProtonElectronMassRatio")</f>
        <v>ProtonElectronMassRatio</v>
      </c>
    </row>
    <row r="255">
      <c r="A255" s="7" t="str">
        <f>IFERROR(__xludf.DUMMYFUNCTION("""COMPUTED_VALUE"""),"ProtonGFactor")</f>
        <v>ProtonGFactor</v>
      </c>
    </row>
    <row r="256">
      <c r="A256" s="7" t="str">
        <f>IFERROR(__xludf.DUMMYFUNCTION("""COMPUTED_VALUE"""),"ProtonGyromagneticRatio")</f>
        <v>ProtonGyromagneticRatio</v>
      </c>
    </row>
    <row r="257">
      <c r="A257" s="7" t="str">
        <f>IFERROR(__xludf.DUMMYFUNCTION("""COMPUTED_VALUE"""),"ProtonMagneticMoment")</f>
        <v>ProtonMagneticMoment</v>
      </c>
    </row>
    <row r="258">
      <c r="A258" s="7" t="str">
        <f>IFERROR(__xludf.DUMMYFUNCTION("""COMPUTED_VALUE"""),"ProtonMagneticMomentToBohrMagnetonRatio")</f>
        <v>ProtonMagneticMomentToBohrMagnetonRatio</v>
      </c>
    </row>
    <row r="259">
      <c r="A259" s="7" t="str">
        <f>IFERROR(__xludf.DUMMYFUNCTION("""COMPUTED_VALUE"""),"ProtonMagneticMomentToNuclearMagnetonRatio")</f>
        <v>ProtonMagneticMomentToNuclearMagnetonRatio</v>
      </c>
    </row>
    <row r="260">
      <c r="A260" s="7" t="str">
        <f>IFERROR(__xludf.DUMMYFUNCTION("""COMPUTED_VALUE"""),"ProtonMagneticShieldingCorrection")</f>
        <v>ProtonMagneticShieldingCorrection</v>
      </c>
    </row>
    <row r="261">
      <c r="A261" s="7" t="str">
        <f>IFERROR(__xludf.DUMMYFUNCTION("""COMPUTED_VALUE"""),"ProtonMass")</f>
        <v>ProtonMass</v>
      </c>
    </row>
    <row r="262">
      <c r="A262" s="7" t="str">
        <f>IFERROR(__xludf.DUMMYFUNCTION("""COMPUTED_VALUE"""),"ProtonMolarMass")</f>
        <v>ProtonMolarMass</v>
      </c>
    </row>
    <row r="263">
      <c r="A263" s="7" t="str">
        <f>IFERROR(__xludf.DUMMYFUNCTION("""COMPUTED_VALUE"""),"ProtonMuonMassRatio")</f>
        <v>ProtonMuonMassRatio</v>
      </c>
    </row>
    <row r="264">
      <c r="A264" s="7" t="str">
        <f>IFERROR(__xludf.DUMMYFUNCTION("""COMPUTED_VALUE"""),"ProtonNeutronMagneticMomentRatio")</f>
        <v>ProtonNeutronMagneticMomentRatio</v>
      </c>
    </row>
    <row r="265">
      <c r="A265" s="7" t="str">
        <f>IFERROR(__xludf.DUMMYFUNCTION("""COMPUTED_VALUE"""),"ProtonNeutronMassRatio")</f>
        <v>ProtonNeutronMassRatio</v>
      </c>
    </row>
    <row r="266">
      <c r="A266" s="7" t="str">
        <f>IFERROR(__xludf.DUMMYFUNCTION("""COMPUTED_VALUE"""),"ProtonRelativeAtomicMass")</f>
        <v>ProtonRelativeAtomicMass</v>
      </c>
    </row>
    <row r="267">
      <c r="A267" s="7" t="str">
        <f>IFERROR(__xludf.DUMMYFUNCTION("""COMPUTED_VALUE"""),"ProtonRmsChargeRadius")</f>
        <v>ProtonRmsChargeRadius</v>
      </c>
    </row>
    <row r="268">
      <c r="A268" s="7" t="str">
        <f>IFERROR(__xludf.DUMMYFUNCTION("""COMPUTED_VALUE"""),"ProtonTauMassRatio")</f>
        <v>ProtonTauMassRatio</v>
      </c>
    </row>
    <row r="269">
      <c r="A269" s="7" t="str">
        <f>IFERROR(__xludf.DUMMYFUNCTION("""COMPUTED_VALUE"""),"QuantumOfCirculation")</f>
        <v>QuantumOfCirculation</v>
      </c>
    </row>
    <row r="270">
      <c r="A270" s="7" t="str">
        <f>IFERROR(__xludf.DUMMYFUNCTION("""COMPUTED_VALUE"""),"QuantumOfCirculationTimes2")</f>
        <v>QuantumOfCirculationTimes2</v>
      </c>
    </row>
    <row r="271">
      <c r="A271" s="7" t="str">
        <f>IFERROR(__xludf.DUMMYFUNCTION("""COMPUTED_VALUE"""),"ReducedComptonWavelength")</f>
        <v>ReducedComptonWavelength</v>
      </c>
    </row>
    <row r="272">
      <c r="A272" s="7" t="str">
        <f>IFERROR(__xludf.DUMMYFUNCTION("""COMPUTED_VALUE"""),"ReducedMuonComptonWavelength")</f>
        <v>ReducedMuonComptonWavelength</v>
      </c>
    </row>
    <row r="273">
      <c r="A273" s="7" t="str">
        <f>IFERROR(__xludf.DUMMYFUNCTION("""COMPUTED_VALUE"""),"ReducedNeutronComptonWavelength")</f>
        <v>ReducedNeutronComptonWavelength</v>
      </c>
    </row>
    <row r="274">
      <c r="A274" s="7" t="str">
        <f>IFERROR(__xludf.DUMMYFUNCTION("""COMPUTED_VALUE"""),"ReducedPlanckConstant")</f>
        <v>ReducedPlanckConstant</v>
      </c>
    </row>
    <row r="275">
      <c r="A275" s="7" t="str">
        <f>IFERROR(__xludf.DUMMYFUNCTION("""COMPUTED_VALUE"""),"ReducedProtonComptonWavelength")</f>
        <v>ReducedProtonComptonWavelength</v>
      </c>
    </row>
    <row r="276">
      <c r="A276" s="7" t="str">
        <f>IFERROR(__xludf.DUMMYFUNCTION("""COMPUTED_VALUE"""),"ReducedTauComptonWavelength")</f>
        <v>ReducedTauComptonWavelength</v>
      </c>
    </row>
    <row r="277">
      <c r="A277" s="7" t="str">
        <f>IFERROR(__xludf.DUMMYFUNCTION("""COMPUTED_VALUE"""),"RydbergConstant")</f>
        <v>RydbergConstant</v>
      </c>
    </row>
    <row r="278">
      <c r="A278" s="7" t="str">
        <f>IFERROR(__xludf.DUMMYFUNCTION("""COMPUTED_VALUE"""),"SackurTetrodeConstant")</f>
        <v>SackurTetrodeConstant</v>
      </c>
    </row>
    <row r="279">
      <c r="A279" s="7" t="str">
        <f>IFERROR(__xludf.DUMMYFUNCTION("""COMPUTED_VALUE"""),"SecondRadiationConstant")</f>
        <v>SecondRadiationConstant</v>
      </c>
    </row>
    <row r="280">
      <c r="A280" s="7" t="str">
        <f>IFERROR(__xludf.DUMMYFUNCTION("""COMPUTED_VALUE"""),"ShieldedHelionGyromagneticRatio")</f>
        <v>ShieldedHelionGyromagneticRatio</v>
      </c>
    </row>
    <row r="281">
      <c r="A281" s="7" t="str">
        <f>IFERROR(__xludf.DUMMYFUNCTION("""COMPUTED_VALUE"""),"ShieldedHelionMagneticMoment")</f>
        <v>ShieldedHelionMagneticMoment</v>
      </c>
    </row>
    <row r="282">
      <c r="A282" s="7" t="str">
        <f>IFERROR(__xludf.DUMMYFUNCTION("""COMPUTED_VALUE"""),"ShieldedHelionMagneticMomentToBohrMagnetonRatio")</f>
        <v>ShieldedHelionMagneticMomentToBohrMagnetonRatio</v>
      </c>
    </row>
    <row r="283">
      <c r="A283" s="7" t="str">
        <f>IFERROR(__xludf.DUMMYFUNCTION("""COMPUTED_VALUE"""),"ShieldedHelionMagneticMomentToNuclearMagnetonRatio")</f>
        <v>ShieldedHelionMagneticMomentToNuclearMagnetonRatio</v>
      </c>
    </row>
    <row r="284">
      <c r="A284" s="7" t="str">
        <f>IFERROR(__xludf.DUMMYFUNCTION("""COMPUTED_VALUE"""),"ShieldedHelionToProtonMagneticMomentRatio")</f>
        <v>ShieldedHelionToProtonMagneticMomentRatio</v>
      </c>
    </row>
    <row r="285">
      <c r="A285" s="7" t="str">
        <f>IFERROR(__xludf.DUMMYFUNCTION("""COMPUTED_VALUE"""),"ShieldedHelionToShieldedProtonMagneticMomentRatio")</f>
        <v>ShieldedHelionToShieldedProtonMagneticMomentRatio</v>
      </c>
    </row>
    <row r="286">
      <c r="A286" s="7" t="str">
        <f>IFERROR(__xludf.DUMMYFUNCTION("""COMPUTED_VALUE"""),"ShieldedProtonGyromagneticRatio")</f>
        <v>ShieldedProtonGyromagneticRatio</v>
      </c>
    </row>
    <row r="287">
      <c r="A287" s="7" t="str">
        <f>IFERROR(__xludf.DUMMYFUNCTION("""COMPUTED_VALUE"""),"ShieldedProtonMagneticMoment")</f>
        <v>ShieldedProtonMagneticMoment</v>
      </c>
    </row>
    <row r="288">
      <c r="A288" s="7" t="str">
        <f>IFERROR(__xludf.DUMMYFUNCTION("""COMPUTED_VALUE"""),"ShieldedProtonMagneticMomentToBohrMagnetonRatio")</f>
        <v>ShieldedProtonMagneticMomentToBohrMagnetonRatio</v>
      </c>
    </row>
    <row r="289">
      <c r="A289" s="7" t="str">
        <f>IFERROR(__xludf.DUMMYFUNCTION("""COMPUTED_VALUE"""),"ShieldedProtonMagneticMomentToNuclearMagnetonRatio")</f>
        <v>ShieldedProtonMagneticMomentToNuclearMagnetonRatio</v>
      </c>
    </row>
    <row r="290">
      <c r="A290" s="7" t="str">
        <f>IFERROR(__xludf.DUMMYFUNCTION("""COMPUTED_VALUE"""),"ShieldingDifferenceOfDAndPInHd")</f>
        <v>ShieldingDifferenceOfDAndPInHd</v>
      </c>
    </row>
    <row r="291">
      <c r="A291" s="7" t="str">
        <f>IFERROR(__xludf.DUMMYFUNCTION("""COMPUTED_VALUE"""),"ShieldingDifferenceOfTAndPInHt")</f>
        <v>ShieldingDifferenceOfTAndPInHt</v>
      </c>
    </row>
    <row r="292">
      <c r="A292" s="7" t="str">
        <f>IFERROR(__xludf.DUMMYFUNCTION("""COMPUTED_VALUE"""),"SpeedOfLight_Vacuum")</f>
        <v>SpeedOfLight_Vacuum</v>
      </c>
    </row>
    <row r="293">
      <c r="A293" s="7" t="str">
        <f>IFERROR(__xludf.DUMMYFUNCTION("""COMPUTED_VALUE"""),"StandardAccelerationOfGravity")</f>
        <v>StandardAccelerationOfGravity</v>
      </c>
    </row>
    <row r="294">
      <c r="A294" s="7" t="str">
        <f>IFERROR(__xludf.DUMMYFUNCTION("""COMPUTED_VALUE"""),"StandardAtmosphere")</f>
        <v>StandardAtmosphere</v>
      </c>
    </row>
    <row r="295">
      <c r="A295" s="7" t="str">
        <f>IFERROR(__xludf.DUMMYFUNCTION("""COMPUTED_VALUE"""),"Standard-StatePressure")</f>
        <v>Standard-StatePressure</v>
      </c>
    </row>
    <row r="296">
      <c r="A296" s="7" t="str">
        <f>IFERROR(__xludf.DUMMYFUNCTION("""COMPUTED_VALUE"""),"StefanBoltzmannConstant")</f>
        <v>StefanBoltzmannConstant</v>
      </c>
    </row>
    <row r="297">
      <c r="A297" s="7" t="str">
        <f>IFERROR(__xludf.DUMMYFUNCTION("""COMPUTED_VALUE"""),"TauComptonWavelength")</f>
        <v>TauComptonWavelength</v>
      </c>
    </row>
    <row r="298">
      <c r="A298" s="7" t="str">
        <f>IFERROR(__xludf.DUMMYFUNCTION("""COMPUTED_VALUE"""),"TauComptonWavelengthOver2Pi")</f>
        <v>TauComptonWavelengthOver2Pi</v>
      </c>
    </row>
    <row r="299">
      <c r="A299" s="7" t="str">
        <f>IFERROR(__xludf.DUMMYFUNCTION("""COMPUTED_VALUE"""),"TauElectronMassRatio")</f>
        <v>TauElectronMassRatio</v>
      </c>
    </row>
    <row r="300">
      <c r="A300" s="7" t="str">
        <f>IFERROR(__xludf.DUMMYFUNCTION("""COMPUTED_VALUE"""),"TauEnergyEquivalent")</f>
        <v>TauEnergyEquivalent</v>
      </c>
    </row>
    <row r="301">
      <c r="A301" s="7" t="str">
        <f>IFERROR(__xludf.DUMMYFUNCTION("""COMPUTED_VALUE"""),"TauMass")</f>
        <v>TauMass</v>
      </c>
    </row>
    <row r="302">
      <c r="A302" s="7" t="str">
        <f>IFERROR(__xludf.DUMMYFUNCTION("""COMPUTED_VALUE"""),"TauMolarMass")</f>
        <v>TauMolarMass</v>
      </c>
    </row>
    <row r="303">
      <c r="A303" s="7" t="str">
        <f>IFERROR(__xludf.DUMMYFUNCTION("""COMPUTED_VALUE"""),"TauMuonMassRatio")</f>
        <v>TauMuonMassRatio</v>
      </c>
    </row>
    <row r="304">
      <c r="A304" s="7" t="str">
        <f>IFERROR(__xludf.DUMMYFUNCTION("""COMPUTED_VALUE"""),"TauNeutronMassRatio")</f>
        <v>TauNeutronMassRatio</v>
      </c>
    </row>
    <row r="305">
      <c r="A305" s="7" t="str">
        <f>IFERROR(__xludf.DUMMYFUNCTION("""COMPUTED_VALUE"""),"TauProtonMassRatio")</f>
        <v>TauProtonMassRatio</v>
      </c>
    </row>
    <row r="306">
      <c r="A306" s="7" t="str">
        <f>IFERROR(__xludf.DUMMYFUNCTION("""COMPUTED_VALUE"""),"ThomsonCrossSection")</f>
        <v>ThomsonCrossSection</v>
      </c>
    </row>
    <row r="307">
      <c r="A307" s="7" t="str">
        <f>IFERROR(__xludf.DUMMYFUNCTION("""COMPUTED_VALUE"""),"TritonElectronMagneticMomentRatio")</f>
        <v>TritonElectronMagneticMomentRatio</v>
      </c>
    </row>
    <row r="308">
      <c r="A308" s="7" t="str">
        <f>IFERROR(__xludf.DUMMYFUNCTION("""COMPUTED_VALUE"""),"TritonElectronMassRatio")</f>
        <v>TritonElectronMassRatio</v>
      </c>
    </row>
    <row r="309">
      <c r="A309" s="7" t="str">
        <f>IFERROR(__xludf.DUMMYFUNCTION("""COMPUTED_VALUE"""),"TritonGFactor")</f>
        <v>TritonGFactor</v>
      </c>
    </row>
    <row r="310">
      <c r="A310" s="7" t="str">
        <f>IFERROR(__xludf.DUMMYFUNCTION("""COMPUTED_VALUE"""),"TritonMagneticMoment")</f>
        <v>TritonMagneticMoment</v>
      </c>
    </row>
    <row r="311">
      <c r="A311" s="7" t="str">
        <f>IFERROR(__xludf.DUMMYFUNCTION("""COMPUTED_VALUE"""),"TritonMagneticMomentToBohrMagnetonRatio")</f>
        <v>TritonMagneticMomentToBohrMagnetonRatio</v>
      </c>
    </row>
    <row r="312">
      <c r="A312" s="7" t="str">
        <f>IFERROR(__xludf.DUMMYFUNCTION("""COMPUTED_VALUE"""),"TritonMagneticMomentToNuclearMagnetonRatio")</f>
        <v>TritonMagneticMomentToNuclearMagnetonRatio</v>
      </c>
    </row>
    <row r="313">
      <c r="A313" s="7" t="str">
        <f>IFERROR(__xludf.DUMMYFUNCTION("""COMPUTED_VALUE"""),"TritonMass")</f>
        <v>TritonMass</v>
      </c>
    </row>
    <row r="314">
      <c r="A314" s="7" t="str">
        <f>IFERROR(__xludf.DUMMYFUNCTION("""COMPUTED_VALUE"""),"TritonMassEnergyEquivalent")</f>
        <v>TritonMassEnergyEquivalent</v>
      </c>
    </row>
    <row r="315">
      <c r="A315" s="7" t="str">
        <f>IFERROR(__xludf.DUMMYFUNCTION("""COMPUTED_VALUE"""),"TritonMassInAtomicMassUnit")</f>
        <v>TritonMassInAtomicMassUnit</v>
      </c>
    </row>
    <row r="316">
      <c r="A316" s="7" t="str">
        <f>IFERROR(__xludf.DUMMYFUNCTION("""COMPUTED_VALUE"""),"TritonMolarMass")</f>
        <v>TritonMolarMass</v>
      </c>
    </row>
    <row r="317">
      <c r="A317" s="7" t="str">
        <f>IFERROR(__xludf.DUMMYFUNCTION("""COMPUTED_VALUE"""),"TritonNeutronMagneticMomentRatio")</f>
        <v>TritonNeutronMagneticMomentRatio</v>
      </c>
    </row>
    <row r="318">
      <c r="A318" s="7" t="str">
        <f>IFERROR(__xludf.DUMMYFUNCTION("""COMPUTED_VALUE"""),"TritonProtonMagneticMomentRatio")</f>
        <v>TritonProtonMagneticMomentRatio</v>
      </c>
    </row>
    <row r="319">
      <c r="A319" s="7" t="str">
        <f>IFERROR(__xludf.DUMMYFUNCTION("""COMPUTED_VALUE"""),"TritonProtonMassRatio")</f>
        <v>TritonProtonMassRatio</v>
      </c>
    </row>
    <row r="320">
      <c r="A320" s="7" t="str">
        <f>IFERROR(__xludf.DUMMYFUNCTION("""COMPUTED_VALUE"""),"UnifiedAtomicMassUnit")</f>
        <v>UnifiedAtomicMassUnit</v>
      </c>
    </row>
    <row r="321">
      <c r="A321" s="7" t="str">
        <f>IFERROR(__xludf.DUMMYFUNCTION("""COMPUTED_VALUE"""),"PermittivityOfVacuum")</f>
        <v>PermittivityOfVacuum</v>
      </c>
    </row>
    <row r="322">
      <c r="A322" s="7" t="str">
        <f>IFERROR(__xludf.DUMMYFUNCTION("""COMPUTED_VALUE"""),"ElectromagneticPermeabilityOfVacuum")</f>
        <v>ElectromagneticPermeabilityOfVacuum</v>
      </c>
    </row>
    <row r="323">
      <c r="A323" s="7" t="str">
        <f>IFERROR(__xludf.DUMMYFUNCTION("""COMPUTED_VALUE"""),"VonKlitzingConstant")</f>
        <v>VonKlitzingConstant</v>
      </c>
    </row>
    <row r="324">
      <c r="A324" s="7" t="str">
        <f>IFERROR(__xludf.DUMMYFUNCTION("""COMPUTED_VALUE"""),"WeakMixingAngle")</f>
        <v>WeakMixingAngle</v>
      </c>
    </row>
    <row r="325">
      <c r="A325" s="7" t="str">
        <f>IFERROR(__xludf.DUMMYFUNCTION("""COMPUTED_VALUE"""),"WienFrequencyDisplacementLawConstant")</f>
        <v>WienFrequencyDisplacementLawConstant</v>
      </c>
    </row>
    <row r="326">
      <c r="A326" s="7" t="str">
        <f>IFERROR(__xludf.DUMMYFUNCTION("""COMPUTED_VALUE"""),"WienWavelengthDisplacementLawConstant")</f>
        <v>WienWavelengthDisplacementLawConstant</v>
      </c>
    </row>
    <row r="327">
      <c r="A327" s="7" t="str">
        <f>IFERROR(__xludf.DUMMYFUNCTION("""COMPUTED_VALUE"""),"WToZMassRatio")</f>
        <v>WToZMassRatio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3" max="3" width="58.0"/>
    <col customWidth="1" min="4" max="4" width="14.57"/>
    <col customWidth="1" min="5" max="5" width="29.57"/>
    <col customWidth="1" min="6" max="6" width="8.43"/>
    <col customWidth="1" min="7" max="7" width="50.29"/>
    <col customWidth="1" min="8" max="8" width="58.0"/>
    <col customWidth="1" min="10" max="10" width="36.14"/>
  </cols>
  <sheetData>
    <row r="1">
      <c r="A1" s="4" t="s">
        <v>26</v>
      </c>
      <c r="B1" s="9" t="s">
        <v>27</v>
      </c>
      <c r="C1" s="4" t="s">
        <v>0</v>
      </c>
      <c r="D1" s="4" t="s">
        <v>28</v>
      </c>
      <c r="E1" s="9" t="s">
        <v>29</v>
      </c>
      <c r="F1" s="4"/>
      <c r="G1" s="4" t="s">
        <v>30</v>
      </c>
      <c r="H1" s="4" t="s">
        <v>31</v>
      </c>
      <c r="I1" s="10" t="s">
        <v>32</v>
      </c>
      <c r="J1" s="4" t="s">
        <v>33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3" t="s">
        <v>34</v>
      </c>
      <c r="C2" s="7" t="str">
        <f t="shared" ref="C2:C92" si="1">if(isblank(H2),concatenate(substitute(proper(A2)," ","")),SUBSTITUTE(H2,"constant:",""))</f>
        <v>AlphaParticleElectronMassRatio</v>
      </c>
      <c r="D2" s="1"/>
      <c r="E2" s="3" t="str">
        <f t="shared" ref="E2:E375" si="2">if(or(isblank(D2),D2="?"),"",hyperlink(concatenate("https://w3id.org/uom/",D2)))</f>
        <v/>
      </c>
      <c r="F2" s="1"/>
      <c r="G2" s="1" t="s">
        <v>6</v>
      </c>
      <c r="H2" s="1" t="s">
        <v>35</v>
      </c>
      <c r="I2" s="7" t="b">
        <f t="shared" ref="I2:I318" si="3">not(isblank(H2))</f>
        <v>1</v>
      </c>
      <c r="J2" s="1" t="s">
        <v>36</v>
      </c>
    </row>
    <row r="3">
      <c r="A3" s="3" t="s">
        <v>37</v>
      </c>
      <c r="B3" s="3" t="s">
        <v>38</v>
      </c>
      <c r="C3" s="7" t="str">
        <f t="shared" si="1"/>
        <v>AlphaParticleMass</v>
      </c>
      <c r="D3" s="1" t="s">
        <v>38</v>
      </c>
      <c r="E3" s="11" t="str">
        <f t="shared" si="2"/>
        <v>https://w3id.org/uom/kg</v>
      </c>
      <c r="G3" s="3" t="s">
        <v>8</v>
      </c>
      <c r="H3" s="1" t="s">
        <v>39</v>
      </c>
      <c r="I3" s="7" t="b">
        <f t="shared" si="3"/>
        <v>1</v>
      </c>
      <c r="J3" s="1" t="s">
        <v>9</v>
      </c>
    </row>
    <row r="4">
      <c r="A4" s="3" t="s">
        <v>40</v>
      </c>
      <c r="B4" s="3" t="s">
        <v>41</v>
      </c>
      <c r="C4" s="7" t="str">
        <f t="shared" si="1"/>
        <v>AlphaParticleMassEnergyEquivalent</v>
      </c>
      <c r="D4" s="1" t="s">
        <v>41</v>
      </c>
      <c r="E4" s="11" t="str">
        <f t="shared" si="2"/>
        <v>https://w3id.org/uom/J</v>
      </c>
      <c r="F4" s="1"/>
      <c r="G4" s="1" t="s">
        <v>8</v>
      </c>
      <c r="H4" s="1" t="s">
        <v>42</v>
      </c>
      <c r="I4" s="7" t="b">
        <f t="shared" si="3"/>
        <v>1</v>
      </c>
      <c r="J4" s="1" t="s">
        <v>43</v>
      </c>
    </row>
    <row r="5">
      <c r="A5" s="3" t="s">
        <v>44</v>
      </c>
      <c r="B5" s="3" t="s">
        <v>45</v>
      </c>
      <c r="C5" s="7" t="str">
        <f t="shared" si="1"/>
        <v>AlphaParticleMassEnergyEquivalentInMeV</v>
      </c>
      <c r="D5" s="3" t="s">
        <v>45</v>
      </c>
      <c r="E5" s="11" t="str">
        <f t="shared" si="2"/>
        <v>https://w3id.org/uom/MeV</v>
      </c>
      <c r="F5" s="1"/>
      <c r="G5" s="1" t="s">
        <v>8</v>
      </c>
      <c r="H5" s="1" t="s">
        <v>46</v>
      </c>
      <c r="I5" s="7" t="b">
        <f t="shared" si="3"/>
        <v>1</v>
      </c>
      <c r="J5" s="1" t="s">
        <v>43</v>
      </c>
    </row>
    <row r="6">
      <c r="A6" s="3" t="s">
        <v>47</v>
      </c>
      <c r="B6" s="3" t="s">
        <v>48</v>
      </c>
      <c r="C6" s="7" t="str">
        <f t="shared" si="1"/>
        <v>AlphaParticleMassInAtomicMassUnit</v>
      </c>
      <c r="D6" s="1" t="s">
        <v>48</v>
      </c>
      <c r="E6" s="11" t="str">
        <f t="shared" si="2"/>
        <v>https://w3id.org/uom/u</v>
      </c>
      <c r="F6" s="1"/>
      <c r="G6" s="1" t="s">
        <v>8</v>
      </c>
      <c r="H6" s="1" t="s">
        <v>49</v>
      </c>
      <c r="I6" s="7" t="b">
        <f t="shared" si="3"/>
        <v>1</v>
      </c>
      <c r="J6" s="1" t="s">
        <v>9</v>
      </c>
    </row>
    <row r="7">
      <c r="A7" s="3" t="s">
        <v>50</v>
      </c>
      <c r="B7" s="3" t="s">
        <v>51</v>
      </c>
      <c r="C7" s="7" t="str">
        <f t="shared" si="1"/>
        <v>AlphaParticleMolarMass</v>
      </c>
      <c r="D7" s="1" t="s">
        <v>52</v>
      </c>
      <c r="E7" s="11" t="str">
        <f t="shared" si="2"/>
        <v>https://w3id.org/uom/kg/mol</v>
      </c>
      <c r="G7" s="3" t="s">
        <v>11</v>
      </c>
      <c r="H7" s="1" t="s">
        <v>53</v>
      </c>
      <c r="I7" s="7" t="b">
        <f t="shared" si="3"/>
        <v>1</v>
      </c>
      <c r="J7" s="1" t="s">
        <v>12</v>
      </c>
    </row>
    <row r="8">
      <c r="A8" s="3" t="s">
        <v>54</v>
      </c>
      <c r="C8" s="7" t="str">
        <f t="shared" si="1"/>
        <v>AlphaParticleProtonMassRatio</v>
      </c>
      <c r="D8" s="1"/>
      <c r="E8" s="3" t="str">
        <f t="shared" si="2"/>
        <v/>
      </c>
      <c r="G8" s="3" t="s">
        <v>13</v>
      </c>
      <c r="H8" s="1" t="s">
        <v>55</v>
      </c>
      <c r="I8" s="7" t="b">
        <f t="shared" si="3"/>
        <v>1</v>
      </c>
      <c r="J8" s="1" t="s">
        <v>56</v>
      </c>
    </row>
    <row r="9">
      <c r="A9" s="3" t="s">
        <v>57</v>
      </c>
      <c r="C9" s="7" t="str">
        <f t="shared" si="1"/>
        <v>AlphaParticleRelativeAtomicMass</v>
      </c>
      <c r="E9" s="3" t="str">
        <f t="shared" si="2"/>
        <v/>
      </c>
      <c r="G9" s="3" t="s">
        <v>15</v>
      </c>
      <c r="I9" s="7" t="b">
        <f t="shared" si="3"/>
        <v>0</v>
      </c>
    </row>
    <row r="10">
      <c r="A10" s="3" t="s">
        <v>58</v>
      </c>
      <c r="B10" s="3" t="s">
        <v>59</v>
      </c>
      <c r="C10" s="7" t="str">
        <f t="shared" si="1"/>
        <v>AngstromStar</v>
      </c>
      <c r="D10" s="1" t="s">
        <v>59</v>
      </c>
      <c r="E10" s="11" t="str">
        <f t="shared" si="2"/>
        <v>https://w3id.org/uom/m</v>
      </c>
      <c r="G10" s="3" t="s">
        <v>60</v>
      </c>
      <c r="H10" s="1" t="s">
        <v>61</v>
      </c>
      <c r="I10" s="7" t="b">
        <f t="shared" si="3"/>
        <v>1</v>
      </c>
    </row>
    <row r="11">
      <c r="A11" s="3" t="s">
        <v>62</v>
      </c>
      <c r="B11" s="3" t="s">
        <v>38</v>
      </c>
      <c r="C11" s="7" t="str">
        <f t="shared" si="1"/>
        <v>AtomicMassConstant</v>
      </c>
      <c r="D11" s="1" t="s">
        <v>38</v>
      </c>
      <c r="E11" s="11" t="str">
        <f t="shared" si="2"/>
        <v>https://w3id.org/uom/kg</v>
      </c>
      <c r="G11" s="3" t="s">
        <v>63</v>
      </c>
      <c r="H11" s="1" t="s">
        <v>64</v>
      </c>
      <c r="I11" s="7" t="b">
        <f t="shared" si="3"/>
        <v>1</v>
      </c>
    </row>
    <row r="12">
      <c r="A12" s="3" t="s">
        <v>65</v>
      </c>
      <c r="B12" s="3" t="s">
        <v>41</v>
      </c>
      <c r="C12" s="7" t="str">
        <f t="shared" si="1"/>
        <v>AtomicMassConstantEnergyEquivalent</v>
      </c>
      <c r="D12" s="1" t="s">
        <v>41</v>
      </c>
      <c r="E12" s="11" t="str">
        <f t="shared" si="2"/>
        <v>https://w3id.org/uom/J</v>
      </c>
      <c r="F12" s="1"/>
      <c r="G12" s="1" t="s">
        <v>63</v>
      </c>
      <c r="H12" s="1" t="s">
        <v>66</v>
      </c>
      <c r="I12" s="7" t="b">
        <f t="shared" si="3"/>
        <v>1</v>
      </c>
    </row>
    <row r="13">
      <c r="A13" s="3" t="s">
        <v>67</v>
      </c>
      <c r="B13" s="3" t="s">
        <v>45</v>
      </c>
      <c r="C13" s="7" t="str">
        <f t="shared" si="1"/>
        <v>AtomicMassConstantEnergyEquivalentInMeV</v>
      </c>
      <c r="D13" s="1" t="s">
        <v>45</v>
      </c>
      <c r="E13" s="11" t="str">
        <f t="shared" si="2"/>
        <v>https://w3id.org/uom/MeV</v>
      </c>
      <c r="F13" s="1"/>
      <c r="G13" s="1" t="s">
        <v>63</v>
      </c>
      <c r="H13" s="1" t="s">
        <v>68</v>
      </c>
      <c r="I13" s="7" t="b">
        <f t="shared" si="3"/>
        <v>1</v>
      </c>
    </row>
    <row r="14">
      <c r="A14" s="3" t="s">
        <v>69</v>
      </c>
      <c r="B14" s="3" t="s">
        <v>70</v>
      </c>
      <c r="C14" s="7" t="str">
        <f t="shared" si="1"/>
        <v>AtomicMassUnitElectronVoltRelationship</v>
      </c>
      <c r="D14" s="1" t="s">
        <v>70</v>
      </c>
      <c r="E14" s="11" t="str">
        <f t="shared" si="2"/>
        <v>https://w3id.org/uom/eV</v>
      </c>
      <c r="G14" s="3" t="s">
        <v>71</v>
      </c>
      <c r="H14" s="1" t="s">
        <v>72</v>
      </c>
      <c r="I14" s="7" t="b">
        <f t="shared" si="3"/>
        <v>1</v>
      </c>
    </row>
    <row r="15">
      <c r="A15" s="3" t="s">
        <v>73</v>
      </c>
      <c r="B15" s="3" t="s">
        <v>74</v>
      </c>
      <c r="C15" s="7" t="str">
        <f t="shared" si="1"/>
        <v>AtomicMassUnitHartreeRelationship</v>
      </c>
      <c r="D15" s="1" t="s">
        <v>75</v>
      </c>
      <c r="E15" s="3" t="str">
        <f t="shared" si="2"/>
        <v/>
      </c>
      <c r="G15" s="3" t="s">
        <v>76</v>
      </c>
      <c r="H15" s="1" t="s">
        <v>77</v>
      </c>
      <c r="I15" s="7" t="b">
        <f t="shared" si="3"/>
        <v>1</v>
      </c>
    </row>
    <row r="16">
      <c r="A16" s="3" t="s">
        <v>78</v>
      </c>
      <c r="B16" s="3" t="s">
        <v>79</v>
      </c>
      <c r="C16" s="7" t="str">
        <f t="shared" si="1"/>
        <v>AtomicMassUnitHertzRelationship</v>
      </c>
      <c r="D16" s="1" t="s">
        <v>79</v>
      </c>
      <c r="E16" s="11" t="str">
        <f t="shared" si="2"/>
        <v>https://w3id.org/uom/Hz</v>
      </c>
      <c r="G16" s="3" t="s">
        <v>80</v>
      </c>
      <c r="H16" s="1" t="s">
        <v>81</v>
      </c>
      <c r="I16" s="7" t="b">
        <f t="shared" si="3"/>
        <v>1</v>
      </c>
    </row>
    <row r="17">
      <c r="A17" s="3" t="s">
        <v>82</v>
      </c>
      <c r="B17" s="3" t="s">
        <v>83</v>
      </c>
      <c r="C17" s="7" t="str">
        <f t="shared" si="1"/>
        <v>AtomicMassUnitInverseMeterRelationship</v>
      </c>
      <c r="D17" s="1" t="s">
        <v>84</v>
      </c>
      <c r="E17" s="11" t="str">
        <f t="shared" si="2"/>
        <v>https://w3id.org/uom/m-1</v>
      </c>
      <c r="G17" s="3" t="s">
        <v>85</v>
      </c>
      <c r="H17" s="1" t="s">
        <v>86</v>
      </c>
      <c r="I17" s="7" t="b">
        <f t="shared" si="3"/>
        <v>1</v>
      </c>
    </row>
    <row r="18">
      <c r="A18" s="3" t="s">
        <v>87</v>
      </c>
      <c r="B18" s="3" t="s">
        <v>41</v>
      </c>
      <c r="C18" s="7" t="str">
        <f t="shared" si="1"/>
        <v>AtomicMassUnitJouleRelationship</v>
      </c>
      <c r="D18" s="1" t="s">
        <v>41</v>
      </c>
      <c r="E18" s="11" t="str">
        <f t="shared" si="2"/>
        <v>https://w3id.org/uom/J</v>
      </c>
      <c r="G18" s="3" t="s">
        <v>88</v>
      </c>
      <c r="H18" s="1" t="s">
        <v>89</v>
      </c>
      <c r="I18" s="7" t="b">
        <f t="shared" si="3"/>
        <v>1</v>
      </c>
    </row>
    <row r="19">
      <c r="A19" s="3" t="s">
        <v>90</v>
      </c>
      <c r="B19" s="3" t="s">
        <v>91</v>
      </c>
      <c r="C19" s="7" t="str">
        <f t="shared" si="1"/>
        <v>AtomicMassUnitKelvinRelationship</v>
      </c>
      <c r="D19" s="1" t="s">
        <v>91</v>
      </c>
      <c r="E19" s="11" t="str">
        <f t="shared" si="2"/>
        <v>https://w3id.org/uom/K</v>
      </c>
      <c r="G19" s="3" t="s">
        <v>92</v>
      </c>
      <c r="H19" s="1" t="s">
        <v>93</v>
      </c>
      <c r="I19" s="7" t="b">
        <f t="shared" si="3"/>
        <v>1</v>
      </c>
    </row>
    <row r="20">
      <c r="A20" s="3" t="s">
        <v>94</v>
      </c>
      <c r="B20" s="3" t="s">
        <v>38</v>
      </c>
      <c r="C20" s="7" t="str">
        <f t="shared" si="1"/>
        <v>AtomicMassUnitKilogramRelationship</v>
      </c>
      <c r="D20" s="1" t="s">
        <v>38</v>
      </c>
      <c r="E20" s="11" t="str">
        <f t="shared" si="2"/>
        <v>https://w3id.org/uom/kg</v>
      </c>
      <c r="G20" s="3" t="s">
        <v>95</v>
      </c>
      <c r="H20" s="1" t="s">
        <v>96</v>
      </c>
      <c r="I20" s="7" t="b">
        <f t="shared" si="3"/>
        <v>1</v>
      </c>
    </row>
    <row r="21">
      <c r="A21" s="3" t="s">
        <v>97</v>
      </c>
      <c r="B21" s="3" t="s">
        <v>98</v>
      </c>
      <c r="C21" s="7" t="str">
        <f t="shared" si="1"/>
        <v>AtomicUnitOf1stHyperpolarizablity</v>
      </c>
      <c r="D21" s="1" t="s">
        <v>99</v>
      </c>
      <c r="E21" s="11" t="str">
        <f t="shared" si="2"/>
        <v>https://w3id.org/uom/C3.m3.J-2</v>
      </c>
      <c r="G21" s="3" t="s">
        <v>100</v>
      </c>
      <c r="H21" s="1" t="s">
        <v>101</v>
      </c>
      <c r="I21" s="7" t="b">
        <f t="shared" si="3"/>
        <v>1</v>
      </c>
    </row>
    <row r="22">
      <c r="A22" s="3" t="s">
        <v>102</v>
      </c>
      <c r="B22" s="3" t="s">
        <v>103</v>
      </c>
      <c r="C22" s="7" t="str">
        <f t="shared" si="1"/>
        <v>AtomicUnitOf2ndHyperpolarizablity</v>
      </c>
      <c r="D22" s="1" t="s">
        <v>104</v>
      </c>
      <c r="E22" s="11" t="str">
        <f t="shared" si="2"/>
        <v>https://w3id.org/uom/C4.m4.J-3</v>
      </c>
      <c r="G22" s="3" t="s">
        <v>105</v>
      </c>
      <c r="H22" s="1" t="s">
        <v>106</v>
      </c>
      <c r="I22" s="7" t="b">
        <f t="shared" si="3"/>
        <v>1</v>
      </c>
    </row>
    <row r="23">
      <c r="A23" s="3" t="s">
        <v>107</v>
      </c>
      <c r="B23" s="3" t="s">
        <v>108</v>
      </c>
      <c r="C23" s="7" t="str">
        <f t="shared" si="1"/>
        <v>AtomicUnitOfAction</v>
      </c>
      <c r="D23" s="1" t="s">
        <v>109</v>
      </c>
      <c r="E23" s="11" t="str">
        <f t="shared" si="2"/>
        <v>https://w3id.org/uom/J.s</v>
      </c>
      <c r="G23" s="3" t="s">
        <v>110</v>
      </c>
      <c r="H23" s="1" t="s">
        <v>111</v>
      </c>
      <c r="I23" s="7" t="b">
        <f t="shared" si="3"/>
        <v>1</v>
      </c>
    </row>
    <row r="24">
      <c r="A24" s="3" t="s">
        <v>112</v>
      </c>
      <c r="B24" s="3" t="s">
        <v>113</v>
      </c>
      <c r="C24" s="7" t="str">
        <f t="shared" si="1"/>
        <v>AtomicUnitOfCharge</v>
      </c>
      <c r="D24" s="1" t="s">
        <v>114</v>
      </c>
      <c r="E24" s="11" t="str">
        <f t="shared" si="2"/>
        <v>https://w3id.org/uom/[e]</v>
      </c>
      <c r="G24" s="3" t="s">
        <v>115</v>
      </c>
      <c r="H24" s="1" t="s">
        <v>116</v>
      </c>
      <c r="I24" s="7" t="b">
        <f t="shared" si="3"/>
        <v>1</v>
      </c>
    </row>
    <row r="25">
      <c r="A25" s="3" t="s">
        <v>117</v>
      </c>
      <c r="B25" s="3" t="s">
        <v>118</v>
      </c>
      <c r="C25" s="7" t="str">
        <f t="shared" si="1"/>
        <v>AtomicUnitOfChargeDensity</v>
      </c>
      <c r="D25" s="1" t="s">
        <v>119</v>
      </c>
      <c r="E25" s="11" t="str">
        <f t="shared" si="2"/>
        <v>https://w3id.org/uom/C.m-3</v>
      </c>
      <c r="G25" s="3" t="s">
        <v>120</v>
      </c>
      <c r="H25" s="1" t="s">
        <v>121</v>
      </c>
      <c r="I25" s="7" t="b">
        <f t="shared" si="3"/>
        <v>1</v>
      </c>
    </row>
    <row r="26">
      <c r="A26" s="3" t="s">
        <v>122</v>
      </c>
      <c r="B26" s="3" t="s">
        <v>123</v>
      </c>
      <c r="C26" s="7" t="str">
        <f t="shared" si="1"/>
        <v>AtomicUnitOfCurrent</v>
      </c>
      <c r="D26" s="1" t="s">
        <v>123</v>
      </c>
      <c r="E26" s="11" t="str">
        <f t="shared" si="2"/>
        <v>https://w3id.org/uom/A</v>
      </c>
      <c r="G26" s="3" t="s">
        <v>124</v>
      </c>
      <c r="H26" s="1" t="s">
        <v>125</v>
      </c>
      <c r="I26" s="7" t="b">
        <f t="shared" si="3"/>
        <v>1</v>
      </c>
    </row>
    <row r="27">
      <c r="A27" s="3" t="s">
        <v>126</v>
      </c>
      <c r="B27" s="3" t="s">
        <v>127</v>
      </c>
      <c r="C27" s="7" t="str">
        <f t="shared" si="1"/>
        <v>AtomicUnitOfElectricDipoleMom.</v>
      </c>
      <c r="D27" s="1" t="s">
        <v>128</v>
      </c>
      <c r="E27" s="11" t="str">
        <f t="shared" si="2"/>
        <v>https://w3id.org/uom/C.m</v>
      </c>
      <c r="G27" s="3" t="s">
        <v>129</v>
      </c>
      <c r="I27" s="7" t="b">
        <f t="shared" si="3"/>
        <v>0</v>
      </c>
    </row>
    <row r="28">
      <c r="A28" s="3" t="s">
        <v>130</v>
      </c>
      <c r="B28" s="3" t="s">
        <v>131</v>
      </c>
      <c r="C28" s="7" t="str">
        <f t="shared" si="1"/>
        <v>AtomicUnitOfElectricField</v>
      </c>
      <c r="D28" s="1" t="s">
        <v>132</v>
      </c>
      <c r="E28" s="11" t="str">
        <f t="shared" si="2"/>
        <v>https://w3id.org/uom/V.m-1</v>
      </c>
      <c r="G28" s="3" t="s">
        <v>133</v>
      </c>
      <c r="H28" s="1" t="s">
        <v>134</v>
      </c>
      <c r="I28" s="7" t="b">
        <f t="shared" si="3"/>
        <v>1</v>
      </c>
    </row>
    <row r="29">
      <c r="A29" s="3" t="s">
        <v>135</v>
      </c>
      <c r="B29" s="3" t="s">
        <v>136</v>
      </c>
      <c r="C29" s="7" t="str">
        <f t="shared" si="1"/>
        <v>AtomicUnitOfElectricFieldGradient</v>
      </c>
      <c r="D29" s="1" t="s">
        <v>137</v>
      </c>
      <c r="E29" s="11" t="str">
        <f t="shared" si="2"/>
        <v>https://w3id.org/uom/V.m-2</v>
      </c>
      <c r="G29" s="3" t="s">
        <v>138</v>
      </c>
      <c r="H29" s="1" t="s">
        <v>139</v>
      </c>
      <c r="I29" s="7" t="b">
        <f t="shared" si="3"/>
        <v>1</v>
      </c>
    </row>
    <row r="30">
      <c r="A30" s="3" t="s">
        <v>140</v>
      </c>
      <c r="B30" s="3" t="s">
        <v>141</v>
      </c>
      <c r="C30" s="7" t="str">
        <f t="shared" si="1"/>
        <v>AtomicUnitOfElectricPolarizablity</v>
      </c>
      <c r="D30" s="1" t="s">
        <v>142</v>
      </c>
      <c r="E30" s="11" t="str">
        <f t="shared" si="2"/>
        <v>https://w3id.org/uom/C2.m2.J-1</v>
      </c>
      <c r="G30" s="3" t="s">
        <v>143</v>
      </c>
      <c r="H30" s="1" t="s">
        <v>144</v>
      </c>
      <c r="I30" s="7" t="b">
        <f t="shared" si="3"/>
        <v>1</v>
      </c>
    </row>
    <row r="31">
      <c r="A31" s="3" t="s">
        <v>145</v>
      </c>
      <c r="B31" s="3" t="s">
        <v>146</v>
      </c>
      <c r="C31" s="7" t="str">
        <f t="shared" si="1"/>
        <v>AtomicUnitOfElectricPotential</v>
      </c>
      <c r="D31" s="1" t="s">
        <v>146</v>
      </c>
      <c r="E31" s="11" t="str">
        <f t="shared" si="2"/>
        <v>https://w3id.org/uom/V</v>
      </c>
      <c r="G31" s="3" t="s">
        <v>147</v>
      </c>
      <c r="H31" s="1" t="s">
        <v>148</v>
      </c>
      <c r="I31" s="7" t="b">
        <f t="shared" si="3"/>
        <v>1</v>
      </c>
    </row>
    <row r="32">
      <c r="A32" s="3" t="s">
        <v>149</v>
      </c>
      <c r="B32" s="3" t="s">
        <v>150</v>
      </c>
      <c r="C32" s="7" t="str">
        <f t="shared" si="1"/>
        <v>AtomicUnitOfElectricQuadrupoleMoment</v>
      </c>
      <c r="D32" s="1" t="s">
        <v>151</v>
      </c>
      <c r="E32" s="11" t="str">
        <f t="shared" si="2"/>
        <v>https://w3id.org/uom/C.m2</v>
      </c>
      <c r="G32" s="3" t="s">
        <v>152</v>
      </c>
      <c r="H32" s="1" t="s">
        <v>153</v>
      </c>
      <c r="I32" s="7" t="b">
        <f t="shared" si="3"/>
        <v>1</v>
      </c>
    </row>
    <row r="33">
      <c r="A33" s="3" t="s">
        <v>154</v>
      </c>
      <c r="B33" s="3" t="s">
        <v>41</v>
      </c>
      <c r="C33" s="7" t="str">
        <f t="shared" si="1"/>
        <v>AtomicUnitOfEnergy</v>
      </c>
      <c r="D33" s="1" t="s">
        <v>41</v>
      </c>
      <c r="E33" s="11" t="str">
        <f t="shared" si="2"/>
        <v>https://w3id.org/uom/J</v>
      </c>
      <c r="G33" s="3" t="s">
        <v>155</v>
      </c>
      <c r="H33" s="1" t="s">
        <v>156</v>
      </c>
      <c r="I33" s="7" t="b">
        <f t="shared" si="3"/>
        <v>1</v>
      </c>
    </row>
    <row r="34">
      <c r="A34" s="3" t="s">
        <v>157</v>
      </c>
      <c r="B34" s="3" t="s">
        <v>158</v>
      </c>
      <c r="C34" s="7" t="str">
        <f t="shared" si="1"/>
        <v>AtomicUnitOfForce</v>
      </c>
      <c r="D34" s="1" t="s">
        <v>158</v>
      </c>
      <c r="E34" s="11" t="str">
        <f t="shared" si="2"/>
        <v>https://w3id.org/uom/N</v>
      </c>
      <c r="G34" s="3" t="s">
        <v>159</v>
      </c>
      <c r="H34" s="1" t="s">
        <v>160</v>
      </c>
      <c r="I34" s="7" t="b">
        <f t="shared" si="3"/>
        <v>1</v>
      </c>
    </row>
    <row r="35">
      <c r="A35" s="3" t="s">
        <v>161</v>
      </c>
      <c r="B35" s="3" t="s">
        <v>59</v>
      </c>
      <c r="C35" s="7" t="str">
        <f t="shared" si="1"/>
        <v>AtomicUnitOfLength</v>
      </c>
      <c r="D35" s="1" t="s">
        <v>59</v>
      </c>
      <c r="E35" s="11" t="str">
        <f t="shared" si="2"/>
        <v>https://w3id.org/uom/m</v>
      </c>
      <c r="G35" s="3" t="s">
        <v>162</v>
      </c>
      <c r="H35" s="1" t="s">
        <v>163</v>
      </c>
      <c r="I35" s="7" t="b">
        <f t="shared" si="3"/>
        <v>1</v>
      </c>
    </row>
    <row r="36">
      <c r="A36" s="3" t="s">
        <v>164</v>
      </c>
      <c r="B36" s="3" t="s">
        <v>165</v>
      </c>
      <c r="C36" s="7" t="str">
        <f t="shared" si="1"/>
        <v>AtomicUnitOfMagneticDipoleMoment</v>
      </c>
      <c r="D36" s="1" t="s">
        <v>166</v>
      </c>
      <c r="E36" s="11" t="str">
        <f t="shared" si="2"/>
        <v>https://w3id.org/uom/J.T-1</v>
      </c>
      <c r="G36" s="3" t="s">
        <v>167</v>
      </c>
      <c r="H36" s="1" t="s">
        <v>168</v>
      </c>
      <c r="I36" s="7" t="b">
        <f t="shared" si="3"/>
        <v>1</v>
      </c>
    </row>
    <row r="37">
      <c r="A37" s="3" t="s">
        <v>169</v>
      </c>
      <c r="B37" s="3" t="s">
        <v>170</v>
      </c>
      <c r="C37" s="7" t="str">
        <f t="shared" si="1"/>
        <v>AtomicUnitOfMagneticFluxDensity</v>
      </c>
      <c r="D37" s="1" t="s">
        <v>170</v>
      </c>
      <c r="E37" s="11" t="str">
        <f t="shared" si="2"/>
        <v>https://w3id.org/uom/T</v>
      </c>
      <c r="G37" s="3" t="s">
        <v>171</v>
      </c>
      <c r="H37" s="1" t="s">
        <v>172</v>
      </c>
      <c r="I37" s="7" t="b">
        <f t="shared" si="3"/>
        <v>1</v>
      </c>
    </row>
    <row r="38">
      <c r="A38" s="3" t="s">
        <v>173</v>
      </c>
      <c r="B38" s="3" t="s">
        <v>174</v>
      </c>
      <c r="C38" s="7" t="str">
        <f t="shared" si="1"/>
        <v>AtomicUnitOfMagnetizability</v>
      </c>
      <c r="D38" s="1" t="s">
        <v>175</v>
      </c>
      <c r="E38" s="11" t="str">
        <f t="shared" si="2"/>
        <v>https://w3id.org/uom/J.T-2</v>
      </c>
      <c r="G38" s="3" t="s">
        <v>176</v>
      </c>
      <c r="H38" s="1" t="s">
        <v>177</v>
      </c>
      <c r="I38" s="7" t="b">
        <f t="shared" si="3"/>
        <v>1</v>
      </c>
    </row>
    <row r="39">
      <c r="A39" s="3" t="s">
        <v>178</v>
      </c>
      <c r="B39" s="3" t="s">
        <v>38</v>
      </c>
      <c r="C39" s="7" t="str">
        <f t="shared" si="1"/>
        <v>AtomicUnitOfMass</v>
      </c>
      <c r="D39" s="1" t="s">
        <v>38</v>
      </c>
      <c r="E39" s="11" t="str">
        <f t="shared" si="2"/>
        <v>https://w3id.org/uom/kg</v>
      </c>
      <c r="G39" s="3" t="s">
        <v>179</v>
      </c>
      <c r="H39" s="1" t="s">
        <v>180</v>
      </c>
      <c r="I39" s="7" t="b">
        <f t="shared" si="3"/>
        <v>1</v>
      </c>
    </row>
    <row r="40">
      <c r="A40" s="3" t="s">
        <v>181</v>
      </c>
      <c r="B40" s="3" t="s">
        <v>182</v>
      </c>
      <c r="C40" s="7" t="str">
        <f t="shared" si="1"/>
        <v>AtomicUnitOfMomentum</v>
      </c>
      <c r="D40" s="1" t="s">
        <v>183</v>
      </c>
      <c r="E40" s="11" t="str">
        <f t="shared" si="2"/>
        <v>https://w3id.org/uom/kg.m.s-1</v>
      </c>
      <c r="G40" s="3" t="s">
        <v>184</v>
      </c>
      <c r="H40" s="1" t="s">
        <v>185</v>
      </c>
      <c r="I40" s="7" t="b">
        <f t="shared" si="3"/>
        <v>1</v>
      </c>
    </row>
    <row r="41">
      <c r="A41" s="3" t="s">
        <v>186</v>
      </c>
      <c r="B41" s="3" t="s">
        <v>187</v>
      </c>
      <c r="C41" s="7" t="str">
        <f t="shared" si="1"/>
        <v>AtomicUnitOfPermittivity</v>
      </c>
      <c r="D41" s="1" t="s">
        <v>188</v>
      </c>
      <c r="E41" s="11" t="str">
        <f t="shared" si="2"/>
        <v>https://w3id.org/uom/F.m-1</v>
      </c>
      <c r="G41" s="3" t="s">
        <v>189</v>
      </c>
      <c r="H41" s="1" t="s">
        <v>190</v>
      </c>
      <c r="I41" s="7" t="b">
        <f t="shared" si="3"/>
        <v>1</v>
      </c>
    </row>
    <row r="42">
      <c r="A42" s="3" t="s">
        <v>191</v>
      </c>
      <c r="B42" s="3" t="s">
        <v>192</v>
      </c>
      <c r="C42" s="7" t="str">
        <f t="shared" si="1"/>
        <v>AtomicUnitOfTime</v>
      </c>
      <c r="D42" s="1" t="s">
        <v>192</v>
      </c>
      <c r="E42" s="11" t="str">
        <f t="shared" si="2"/>
        <v>https://w3id.org/uom/s</v>
      </c>
      <c r="G42" s="3" t="s">
        <v>193</v>
      </c>
      <c r="H42" s="1" t="s">
        <v>194</v>
      </c>
      <c r="I42" s="7" t="b">
        <f t="shared" si="3"/>
        <v>1</v>
      </c>
    </row>
    <row r="43">
      <c r="A43" s="3" t="s">
        <v>195</v>
      </c>
      <c r="B43" s="3" t="s">
        <v>196</v>
      </c>
      <c r="C43" s="7" t="str">
        <f t="shared" si="1"/>
        <v>AtomicUnitOfVelocity</v>
      </c>
      <c r="D43" s="1" t="s">
        <v>197</v>
      </c>
      <c r="E43" s="11" t="str">
        <f t="shared" si="2"/>
        <v>https://w3id.org/uom/m.s-1</v>
      </c>
      <c r="G43" s="3" t="s">
        <v>198</v>
      </c>
      <c r="H43" s="1" t="s">
        <v>199</v>
      </c>
      <c r="I43" s="7" t="b">
        <f t="shared" si="3"/>
        <v>1</v>
      </c>
    </row>
    <row r="44">
      <c r="A44" s="3" t="s">
        <v>200</v>
      </c>
      <c r="B44" s="3" t="s">
        <v>201</v>
      </c>
      <c r="C44" s="7" t="str">
        <f t="shared" si="1"/>
        <v>AvogadroConstant</v>
      </c>
      <c r="D44" s="1" t="s">
        <v>202</v>
      </c>
      <c r="E44" s="11" t="str">
        <f t="shared" si="2"/>
        <v>https://w3id.org/uom/mol-1</v>
      </c>
      <c r="G44" s="3" t="s">
        <v>203</v>
      </c>
      <c r="H44" s="1" t="s">
        <v>204</v>
      </c>
      <c r="I44" s="7" t="b">
        <f t="shared" si="3"/>
        <v>1</v>
      </c>
    </row>
    <row r="45">
      <c r="A45" s="3" t="s">
        <v>205</v>
      </c>
      <c r="B45" s="3" t="s">
        <v>165</v>
      </c>
      <c r="C45" s="7" t="str">
        <f t="shared" si="1"/>
        <v>BohrMagneton</v>
      </c>
      <c r="D45" s="1" t="s">
        <v>166</v>
      </c>
      <c r="E45" s="11" t="str">
        <f t="shared" si="2"/>
        <v>https://w3id.org/uom/J.T-1</v>
      </c>
      <c r="G45" s="3" t="s">
        <v>206</v>
      </c>
      <c r="H45" s="1" t="s">
        <v>207</v>
      </c>
      <c r="I45" s="7" t="b">
        <f t="shared" si="3"/>
        <v>1</v>
      </c>
    </row>
    <row r="46">
      <c r="A46" s="3" t="s">
        <v>208</v>
      </c>
      <c r="B46" s="3" t="s">
        <v>209</v>
      </c>
      <c r="C46" s="7" t="str">
        <f t="shared" si="1"/>
        <v>BohrMagnetonInEVPerT</v>
      </c>
      <c r="D46" s="1" t="s">
        <v>210</v>
      </c>
      <c r="E46" s="11" t="str">
        <f t="shared" si="2"/>
        <v>https://w3id.org/uom/eV.T-1</v>
      </c>
      <c r="G46" s="3" t="s">
        <v>211</v>
      </c>
      <c r="H46" s="1" t="s">
        <v>212</v>
      </c>
      <c r="I46" s="7" t="b">
        <f t="shared" si="3"/>
        <v>1</v>
      </c>
    </row>
    <row r="47">
      <c r="A47" s="3" t="s">
        <v>213</v>
      </c>
      <c r="B47" s="3" t="s">
        <v>214</v>
      </c>
      <c r="C47" s="7" t="str">
        <f t="shared" si="1"/>
        <v>BohrMagnetonInHzPerT</v>
      </c>
      <c r="D47" s="1" t="s">
        <v>215</v>
      </c>
      <c r="E47" s="11" t="str">
        <f t="shared" si="2"/>
        <v>https://w3id.org/uom/Hz.T-1</v>
      </c>
      <c r="G47" s="3" t="s">
        <v>216</v>
      </c>
      <c r="H47" s="1" t="s">
        <v>217</v>
      </c>
      <c r="I47" s="7" t="b">
        <f t="shared" si="3"/>
        <v>1</v>
      </c>
    </row>
    <row r="48">
      <c r="A48" s="3" t="s">
        <v>218</v>
      </c>
      <c r="B48" s="3" t="s">
        <v>219</v>
      </c>
      <c r="C48" s="7" t="str">
        <f t="shared" si="1"/>
        <v>BohrMagnetonInInverseMetersPerTesla</v>
      </c>
      <c r="D48" s="1" t="s">
        <v>220</v>
      </c>
      <c r="E48" s="11" t="str">
        <f t="shared" si="2"/>
        <v>https://w3id.org/uom/m-1.T-1</v>
      </c>
      <c r="G48" s="3" t="s">
        <v>221</v>
      </c>
      <c r="H48" s="1" t="s">
        <v>222</v>
      </c>
      <c r="I48" s="7" t="b">
        <f t="shared" si="3"/>
        <v>1</v>
      </c>
    </row>
    <row r="49">
      <c r="A49" s="3" t="s">
        <v>223</v>
      </c>
      <c r="B49" s="3" t="s">
        <v>224</v>
      </c>
      <c r="C49" s="7" t="str">
        <f t="shared" si="1"/>
        <v>BohrMagnetonInKPerT</v>
      </c>
      <c r="D49" s="1" t="s">
        <v>225</v>
      </c>
      <c r="E49" s="11" t="str">
        <f t="shared" si="2"/>
        <v>https://w3id.org/uom/K.T-1</v>
      </c>
      <c r="G49" s="3" t="s">
        <v>226</v>
      </c>
      <c r="H49" s="1" t="s">
        <v>227</v>
      </c>
      <c r="I49" s="7" t="b">
        <f t="shared" si="3"/>
        <v>1</v>
      </c>
    </row>
    <row r="50">
      <c r="A50" s="3" t="s">
        <v>228</v>
      </c>
      <c r="B50" s="3" t="s">
        <v>59</v>
      </c>
      <c r="C50" s="7" t="str">
        <f t="shared" si="1"/>
        <v>BohrRadius</v>
      </c>
      <c r="D50" s="1" t="s">
        <v>59</v>
      </c>
      <c r="E50" s="11" t="str">
        <f t="shared" si="2"/>
        <v>https://w3id.org/uom/m</v>
      </c>
      <c r="G50" s="3" t="s">
        <v>229</v>
      </c>
      <c r="H50" s="1" t="s">
        <v>230</v>
      </c>
      <c r="I50" s="7" t="b">
        <f t="shared" si="3"/>
        <v>1</v>
      </c>
    </row>
    <row r="51">
      <c r="A51" s="3" t="s">
        <v>231</v>
      </c>
      <c r="B51" s="3" t="s">
        <v>232</v>
      </c>
      <c r="C51" s="7" t="str">
        <f t="shared" si="1"/>
        <v>BoltzmannConstant</v>
      </c>
      <c r="D51" s="1" t="s">
        <v>233</v>
      </c>
      <c r="E51" s="11" t="str">
        <f t="shared" si="2"/>
        <v>https://w3id.org/uom/[k]</v>
      </c>
      <c r="G51" s="3" t="s">
        <v>234</v>
      </c>
      <c r="H51" s="1" t="s">
        <v>235</v>
      </c>
      <c r="I51" s="7" t="b">
        <f t="shared" si="3"/>
        <v>1</v>
      </c>
    </row>
    <row r="52">
      <c r="A52" s="3" t="s">
        <v>236</v>
      </c>
      <c r="B52" s="3" t="s">
        <v>237</v>
      </c>
      <c r="C52" s="7" t="str">
        <f t="shared" si="1"/>
        <v>BoltzmannConstantInEVPerK</v>
      </c>
      <c r="D52" s="1" t="s">
        <v>238</v>
      </c>
      <c r="E52" s="11" t="str">
        <f t="shared" si="2"/>
        <v>https://w3id.org/uom/eV.K-1</v>
      </c>
      <c r="G52" s="3" t="s">
        <v>239</v>
      </c>
      <c r="H52" s="1" t="s">
        <v>240</v>
      </c>
      <c r="I52" s="7" t="b">
        <f t="shared" si="3"/>
        <v>1</v>
      </c>
    </row>
    <row r="53">
      <c r="A53" s="3" t="s">
        <v>241</v>
      </c>
      <c r="B53" s="3" t="s">
        <v>242</v>
      </c>
      <c r="C53" s="7" t="str">
        <f t="shared" si="1"/>
        <v>BoltzmannConstantInHzPerK</v>
      </c>
      <c r="D53" s="1" t="s">
        <v>243</v>
      </c>
      <c r="E53" s="11" t="str">
        <f t="shared" si="2"/>
        <v>https://w3id.org/uom/Hz.K-1</v>
      </c>
      <c r="G53" s="3" t="s">
        <v>244</v>
      </c>
      <c r="H53" s="1" t="s">
        <v>245</v>
      </c>
      <c r="I53" s="7" t="b">
        <f t="shared" si="3"/>
        <v>1</v>
      </c>
    </row>
    <row r="54">
      <c r="A54" s="3" t="s">
        <v>246</v>
      </c>
      <c r="B54" s="3" t="s">
        <v>247</v>
      </c>
      <c r="C54" s="7" t="str">
        <f t="shared" si="1"/>
        <v>BoltzmannConstantInInverseMetersPerKelvin</v>
      </c>
      <c r="D54" s="1" t="s">
        <v>248</v>
      </c>
      <c r="E54" s="11" t="str">
        <f t="shared" si="2"/>
        <v>https://w3id.org/uom/m-1.K-1</v>
      </c>
      <c r="G54" s="3" t="s">
        <v>249</v>
      </c>
      <c r="H54" s="1" t="s">
        <v>250</v>
      </c>
      <c r="I54" s="7" t="b">
        <f t="shared" si="3"/>
        <v>1</v>
      </c>
    </row>
    <row r="55">
      <c r="A55" s="3" t="s">
        <v>251</v>
      </c>
      <c r="B55" s="3" t="s">
        <v>252</v>
      </c>
      <c r="C55" s="7" t="str">
        <f t="shared" si="1"/>
        <v>CharacteristicImpedanceOfVacuum</v>
      </c>
      <c r="D55" s="1" t="s">
        <v>253</v>
      </c>
      <c r="E55" s="11" t="str">
        <f t="shared" si="2"/>
        <v>https://w3id.org/uom/Ohm</v>
      </c>
      <c r="G55" s="3" t="s">
        <v>254</v>
      </c>
      <c r="H55" s="1" t="s">
        <v>255</v>
      </c>
      <c r="I55" s="7" t="b">
        <f t="shared" si="3"/>
        <v>1</v>
      </c>
    </row>
    <row r="56">
      <c r="A56" s="3" t="s">
        <v>256</v>
      </c>
      <c r="B56" s="3" t="s">
        <v>59</v>
      </c>
      <c r="C56" s="7" t="str">
        <f t="shared" si="1"/>
        <v>ClassicalElectronRadius</v>
      </c>
      <c r="D56" s="1" t="s">
        <v>59</v>
      </c>
      <c r="E56" s="11" t="str">
        <f t="shared" si="2"/>
        <v>https://w3id.org/uom/m</v>
      </c>
      <c r="G56" s="3" t="s">
        <v>257</v>
      </c>
      <c r="H56" s="1" t="s">
        <v>258</v>
      </c>
      <c r="I56" s="7" t="b">
        <f t="shared" si="3"/>
        <v>1</v>
      </c>
    </row>
    <row r="57">
      <c r="A57" s="3" t="s">
        <v>259</v>
      </c>
      <c r="B57" s="3" t="s">
        <v>59</v>
      </c>
      <c r="C57" s="7" t="str">
        <f t="shared" si="1"/>
        <v>ComptonWavelength</v>
      </c>
      <c r="D57" s="1" t="s">
        <v>59</v>
      </c>
      <c r="E57" s="11" t="str">
        <f t="shared" si="2"/>
        <v>https://w3id.org/uom/m</v>
      </c>
      <c r="G57" s="3" t="s">
        <v>260</v>
      </c>
      <c r="H57" s="1" t="s">
        <v>261</v>
      </c>
      <c r="I57" s="7" t="b">
        <f t="shared" si="3"/>
        <v>1</v>
      </c>
    </row>
    <row r="58">
      <c r="A58" s="3" t="s">
        <v>262</v>
      </c>
      <c r="B58" s="3" t="s">
        <v>263</v>
      </c>
      <c r="C58" s="7" t="str">
        <f t="shared" si="1"/>
        <v>ConductanceQuantum</v>
      </c>
      <c r="D58" s="1" t="s">
        <v>263</v>
      </c>
      <c r="E58" s="11" t="str">
        <f t="shared" si="2"/>
        <v>https://w3id.org/uom/S</v>
      </c>
      <c r="G58" s="3" t="s">
        <v>264</v>
      </c>
      <c r="H58" s="1" t="s">
        <v>265</v>
      </c>
      <c r="I58" s="7" t="b">
        <f t="shared" si="3"/>
        <v>1</v>
      </c>
    </row>
    <row r="59">
      <c r="B59" s="3" t="s">
        <v>266</v>
      </c>
      <c r="C59" s="7" t="str">
        <f t="shared" si="1"/>
        <v>ComptonWavelengthOver2Pi</v>
      </c>
      <c r="D59" s="1"/>
      <c r="E59" s="3" t="str">
        <f t="shared" si="2"/>
        <v/>
      </c>
      <c r="G59" s="3" t="s">
        <v>267</v>
      </c>
      <c r="H59" s="1" t="s">
        <v>268</v>
      </c>
      <c r="I59" s="7" t="b">
        <f t="shared" si="3"/>
        <v>1</v>
      </c>
    </row>
    <row r="60">
      <c r="A60" s="3" t="s">
        <v>269</v>
      </c>
      <c r="B60" s="3" t="s">
        <v>123</v>
      </c>
      <c r="C60" s="7" t="str">
        <f t="shared" si="1"/>
        <v>ConventionalValueOfAmpere-90</v>
      </c>
      <c r="D60" s="1" t="s">
        <v>123</v>
      </c>
      <c r="E60" s="11" t="str">
        <f t="shared" si="2"/>
        <v>https://w3id.org/uom/A</v>
      </c>
      <c r="G60" s="3" t="s">
        <v>270</v>
      </c>
      <c r="I60" s="7" t="b">
        <f t="shared" si="3"/>
        <v>0</v>
      </c>
    </row>
    <row r="61">
      <c r="A61" s="3" t="s">
        <v>271</v>
      </c>
      <c r="B61" s="3" t="s">
        <v>113</v>
      </c>
      <c r="C61" s="7" t="str">
        <f t="shared" si="1"/>
        <v>ConventionalValueOfCoulomb-90</v>
      </c>
      <c r="D61" s="1" t="s">
        <v>113</v>
      </c>
      <c r="E61" s="11" t="str">
        <f t="shared" si="2"/>
        <v>https://w3id.org/uom/C</v>
      </c>
      <c r="G61" s="3" t="s">
        <v>272</v>
      </c>
      <c r="I61" s="7" t="b">
        <f t="shared" si="3"/>
        <v>0</v>
      </c>
    </row>
    <row r="62">
      <c r="A62" s="3" t="s">
        <v>273</v>
      </c>
      <c r="B62" s="3" t="s">
        <v>274</v>
      </c>
      <c r="C62" s="7" t="str">
        <f t="shared" si="1"/>
        <v>ConventionalValueOfFarad-90</v>
      </c>
      <c r="D62" s="1" t="s">
        <v>274</v>
      </c>
      <c r="E62" s="11" t="str">
        <f t="shared" si="2"/>
        <v>https://w3id.org/uom/F</v>
      </c>
      <c r="G62" s="3" t="s">
        <v>275</v>
      </c>
      <c r="I62" s="7" t="b">
        <f t="shared" si="3"/>
        <v>0</v>
      </c>
    </row>
    <row r="63">
      <c r="A63" s="3" t="s">
        <v>276</v>
      </c>
      <c r="B63" s="3" t="s">
        <v>277</v>
      </c>
      <c r="C63" s="7" t="str">
        <f t="shared" si="1"/>
        <v>ConventionalValueOfHenry-90</v>
      </c>
      <c r="D63" s="1" t="s">
        <v>277</v>
      </c>
      <c r="E63" s="11" t="str">
        <f t="shared" si="2"/>
        <v>https://w3id.org/uom/H</v>
      </c>
      <c r="G63" s="3" t="s">
        <v>278</v>
      </c>
      <c r="I63" s="7" t="b">
        <f t="shared" si="3"/>
        <v>0</v>
      </c>
    </row>
    <row r="64">
      <c r="A64" s="3" t="s">
        <v>279</v>
      </c>
      <c r="B64" s="3" t="s">
        <v>280</v>
      </c>
      <c r="C64" s="7" t="str">
        <f t="shared" si="1"/>
        <v>ConventionalValueOfJosephsonConstant</v>
      </c>
      <c r="D64" s="1" t="s">
        <v>281</v>
      </c>
      <c r="E64" s="11" t="str">
        <f t="shared" si="2"/>
        <v>https://w3id.org/uom/Hz.V-1</v>
      </c>
      <c r="G64" s="3" t="s">
        <v>282</v>
      </c>
      <c r="H64" s="1" t="s">
        <v>283</v>
      </c>
      <c r="I64" s="7" t="b">
        <f t="shared" si="3"/>
        <v>1</v>
      </c>
    </row>
    <row r="65">
      <c r="A65" s="3" t="s">
        <v>284</v>
      </c>
      <c r="B65" s="3" t="s">
        <v>252</v>
      </c>
      <c r="C65" s="7" t="str">
        <f t="shared" si="1"/>
        <v>ConventionalValueOfOhm-90</v>
      </c>
      <c r="D65" s="1" t="s">
        <v>253</v>
      </c>
      <c r="E65" s="11" t="str">
        <f t="shared" si="2"/>
        <v>https://w3id.org/uom/Ohm</v>
      </c>
      <c r="G65" s="3" t="s">
        <v>285</v>
      </c>
      <c r="I65" s="7" t="b">
        <f t="shared" si="3"/>
        <v>0</v>
      </c>
    </row>
    <row r="66">
      <c r="A66" s="3" t="s">
        <v>286</v>
      </c>
      <c r="B66" s="3" t="s">
        <v>146</v>
      </c>
      <c r="C66" s="7" t="str">
        <f t="shared" si="1"/>
        <v>ConventionalValueOfVolt-90</v>
      </c>
      <c r="D66" s="1" t="s">
        <v>146</v>
      </c>
      <c r="E66" s="11" t="str">
        <f t="shared" si="2"/>
        <v>https://w3id.org/uom/V</v>
      </c>
      <c r="G66" s="3" t="s">
        <v>287</v>
      </c>
      <c r="I66" s="7" t="b">
        <f t="shared" si="3"/>
        <v>0</v>
      </c>
    </row>
    <row r="67">
      <c r="A67" s="3" t="s">
        <v>288</v>
      </c>
      <c r="B67" s="3" t="s">
        <v>252</v>
      </c>
      <c r="C67" s="7" t="str">
        <f t="shared" si="1"/>
        <v>ConventionalValueOfVonKlitzingConstant</v>
      </c>
      <c r="D67" s="1" t="s">
        <v>253</v>
      </c>
      <c r="E67" s="11" t="str">
        <f t="shared" si="2"/>
        <v>https://w3id.org/uom/Ohm</v>
      </c>
      <c r="G67" s="3" t="s">
        <v>289</v>
      </c>
      <c r="H67" s="1" t="s">
        <v>290</v>
      </c>
      <c r="I67" s="7" t="b">
        <f t="shared" si="3"/>
        <v>1</v>
      </c>
    </row>
    <row r="68">
      <c r="A68" s="3" t="s">
        <v>291</v>
      </c>
      <c r="B68" s="3" t="s">
        <v>292</v>
      </c>
      <c r="C68" s="7" t="str">
        <f t="shared" si="1"/>
        <v>ConventionalValueOfWatt-90</v>
      </c>
      <c r="D68" s="1" t="s">
        <v>292</v>
      </c>
      <c r="E68" s="11" t="str">
        <f t="shared" si="2"/>
        <v>https://w3id.org/uom/W</v>
      </c>
      <c r="G68" s="3" t="s">
        <v>293</v>
      </c>
      <c r="I68" s="7" t="b">
        <f t="shared" si="3"/>
        <v>0</v>
      </c>
    </row>
    <row r="69">
      <c r="A69" s="3" t="s">
        <v>294</v>
      </c>
      <c r="B69" s="3" t="s">
        <v>59</v>
      </c>
      <c r="C69" s="7" t="str">
        <f t="shared" si="1"/>
        <v>CuXUnit</v>
      </c>
      <c r="D69" s="1" t="s">
        <v>59</v>
      </c>
      <c r="E69" s="11" t="str">
        <f t="shared" si="2"/>
        <v>https://w3id.org/uom/m</v>
      </c>
      <c r="G69" s="3" t="s">
        <v>295</v>
      </c>
      <c r="H69" s="1" t="s">
        <v>296</v>
      </c>
      <c r="I69" s="7" t="b">
        <f t="shared" si="3"/>
        <v>1</v>
      </c>
    </row>
    <row r="70">
      <c r="A70" s="3" t="s">
        <v>297</v>
      </c>
      <c r="C70" s="7" t="str">
        <f t="shared" si="1"/>
        <v>DeuteronElectronMagneticMomentRatio</v>
      </c>
      <c r="D70" s="1"/>
      <c r="E70" s="3" t="str">
        <f t="shared" si="2"/>
        <v/>
      </c>
      <c r="G70" s="3" t="s">
        <v>298</v>
      </c>
      <c r="H70" s="1" t="s">
        <v>299</v>
      </c>
      <c r="I70" s="7" t="b">
        <f t="shared" si="3"/>
        <v>1</v>
      </c>
    </row>
    <row r="71">
      <c r="A71" s="3" t="s">
        <v>300</v>
      </c>
      <c r="C71" s="7" t="str">
        <f t="shared" si="1"/>
        <v>DeuteronElectronMassRatio</v>
      </c>
      <c r="D71" s="1"/>
      <c r="E71" s="3" t="str">
        <f t="shared" si="2"/>
        <v/>
      </c>
      <c r="G71" s="3" t="s">
        <v>301</v>
      </c>
      <c r="H71" s="1" t="s">
        <v>302</v>
      </c>
      <c r="I71" s="7" t="b">
        <f t="shared" si="3"/>
        <v>1</v>
      </c>
    </row>
    <row r="72">
      <c r="A72" s="3" t="s">
        <v>303</v>
      </c>
      <c r="C72" s="7" t="str">
        <f t="shared" si="1"/>
        <v>DeuteronGFactor</v>
      </c>
      <c r="D72" s="1"/>
      <c r="E72" s="3" t="str">
        <f t="shared" si="2"/>
        <v/>
      </c>
      <c r="G72" s="3" t="s">
        <v>304</v>
      </c>
      <c r="H72" s="1" t="s">
        <v>305</v>
      </c>
      <c r="I72" s="7" t="b">
        <f t="shared" si="3"/>
        <v>1</v>
      </c>
    </row>
    <row r="73">
      <c r="A73" s="3" t="s">
        <v>306</v>
      </c>
      <c r="B73" s="3" t="s">
        <v>165</v>
      </c>
      <c r="C73" s="7" t="str">
        <f t="shared" si="1"/>
        <v>DeuteronMagneticMoment</v>
      </c>
      <c r="D73" s="1" t="s">
        <v>166</v>
      </c>
      <c r="E73" s="11" t="str">
        <f t="shared" si="2"/>
        <v>https://w3id.org/uom/J.T-1</v>
      </c>
      <c r="G73" s="3" t="s">
        <v>307</v>
      </c>
      <c r="H73" s="1" t="s">
        <v>308</v>
      </c>
      <c r="I73" s="7" t="b">
        <f t="shared" si="3"/>
        <v>1</v>
      </c>
    </row>
    <row r="74">
      <c r="A74" s="3" t="s">
        <v>309</v>
      </c>
      <c r="C74" s="7" t="str">
        <f t="shared" si="1"/>
        <v>DeuteronMagneticMomentToBohrMagnetonRatio</v>
      </c>
      <c r="D74" s="1"/>
      <c r="E74" s="3" t="str">
        <f t="shared" si="2"/>
        <v/>
      </c>
      <c r="G74" s="3" t="s">
        <v>310</v>
      </c>
      <c r="H74" s="1" t="s">
        <v>311</v>
      </c>
      <c r="I74" s="7" t="b">
        <f t="shared" si="3"/>
        <v>1</v>
      </c>
    </row>
    <row r="75">
      <c r="A75" s="3" t="s">
        <v>312</v>
      </c>
      <c r="C75" s="7" t="str">
        <f t="shared" si="1"/>
        <v>DeuteronMagneticMomentToNuclearMagnetonRatio</v>
      </c>
      <c r="D75" s="1"/>
      <c r="E75" s="3" t="str">
        <f t="shared" si="2"/>
        <v/>
      </c>
      <c r="G75" s="3" t="s">
        <v>313</v>
      </c>
      <c r="H75" s="1" t="s">
        <v>314</v>
      </c>
      <c r="I75" s="7" t="b">
        <f t="shared" si="3"/>
        <v>1</v>
      </c>
    </row>
    <row r="76">
      <c r="A76" s="3" t="s">
        <v>315</v>
      </c>
      <c r="B76" s="3" t="s">
        <v>38</v>
      </c>
      <c r="C76" s="7" t="str">
        <f t="shared" si="1"/>
        <v>DeuteronMass</v>
      </c>
      <c r="D76" s="1" t="s">
        <v>38</v>
      </c>
      <c r="E76" s="11" t="str">
        <f t="shared" si="2"/>
        <v>https://w3id.org/uom/kg</v>
      </c>
      <c r="G76" s="3" t="s">
        <v>316</v>
      </c>
      <c r="H76" s="1" t="s">
        <v>317</v>
      </c>
      <c r="I76" s="7" t="b">
        <f t="shared" si="3"/>
        <v>1</v>
      </c>
    </row>
    <row r="77">
      <c r="A77" s="3" t="s">
        <v>318</v>
      </c>
      <c r="B77" s="3" t="s">
        <v>41</v>
      </c>
      <c r="C77" s="7" t="str">
        <f t="shared" si="1"/>
        <v>DeuteronMassEnergyEquivalent</v>
      </c>
      <c r="D77" s="1" t="s">
        <v>41</v>
      </c>
      <c r="E77" s="11" t="str">
        <f t="shared" si="2"/>
        <v>https://w3id.org/uom/J</v>
      </c>
      <c r="G77" s="3" t="s">
        <v>319</v>
      </c>
      <c r="H77" s="1" t="s">
        <v>320</v>
      </c>
      <c r="I77" s="7" t="b">
        <f t="shared" si="3"/>
        <v>1</v>
      </c>
    </row>
    <row r="78">
      <c r="A78" s="3" t="s">
        <v>321</v>
      </c>
      <c r="B78" s="3" t="s">
        <v>45</v>
      </c>
      <c r="C78" s="7" t="str">
        <f t="shared" si="1"/>
        <v>DeuteronMassEnergyEquivalentInMeV</v>
      </c>
      <c r="D78" s="3" t="s">
        <v>45</v>
      </c>
      <c r="E78" s="11" t="str">
        <f t="shared" si="2"/>
        <v>https://w3id.org/uom/MeV</v>
      </c>
      <c r="F78" s="1"/>
      <c r="G78" s="1" t="s">
        <v>319</v>
      </c>
      <c r="H78" s="1" t="s">
        <v>322</v>
      </c>
      <c r="I78" s="7" t="b">
        <f t="shared" si="3"/>
        <v>1</v>
      </c>
    </row>
    <row r="79">
      <c r="A79" s="3" t="s">
        <v>323</v>
      </c>
      <c r="B79" s="3" t="s">
        <v>48</v>
      </c>
      <c r="C79" s="7" t="str">
        <f t="shared" si="1"/>
        <v>DeuteronMassInAtomicMassUnit</v>
      </c>
      <c r="D79" s="1" t="s">
        <v>48</v>
      </c>
      <c r="E79" s="11" t="str">
        <f t="shared" si="2"/>
        <v>https://w3id.org/uom/u</v>
      </c>
      <c r="G79" s="3" t="s">
        <v>324</v>
      </c>
      <c r="H79" s="1" t="s">
        <v>325</v>
      </c>
      <c r="I79" s="7" t="b">
        <f t="shared" si="3"/>
        <v>1</v>
      </c>
    </row>
    <row r="80">
      <c r="A80" s="3" t="s">
        <v>326</v>
      </c>
      <c r="B80" s="3" t="s">
        <v>51</v>
      </c>
      <c r="C80" s="7" t="str">
        <f t="shared" si="1"/>
        <v>DeuteronMolarMass</v>
      </c>
      <c r="D80" s="1" t="s">
        <v>327</v>
      </c>
      <c r="E80" s="11" t="str">
        <f t="shared" si="2"/>
        <v>https://w3id.org/uom/kg.mol-1</v>
      </c>
      <c r="G80" s="3" t="s">
        <v>328</v>
      </c>
      <c r="H80" s="1" t="s">
        <v>329</v>
      </c>
      <c r="I80" s="7" t="b">
        <f t="shared" si="3"/>
        <v>1</v>
      </c>
    </row>
    <row r="81">
      <c r="A81" s="3" t="s">
        <v>330</v>
      </c>
      <c r="C81" s="7" t="str">
        <f t="shared" si="1"/>
        <v>DeuteronNeutronMagneticMomentRatio</v>
      </c>
      <c r="D81" s="1"/>
      <c r="E81" s="3" t="str">
        <f t="shared" si="2"/>
        <v/>
      </c>
      <c r="G81" s="3" t="s">
        <v>331</v>
      </c>
      <c r="H81" s="1" t="s">
        <v>332</v>
      </c>
      <c r="I81" s="7" t="b">
        <f t="shared" si="3"/>
        <v>1</v>
      </c>
    </row>
    <row r="82">
      <c r="A82" s="3" t="s">
        <v>333</v>
      </c>
      <c r="C82" s="7" t="str">
        <f t="shared" si="1"/>
        <v>DeuteronProtonMagneticMomentRatio</v>
      </c>
      <c r="D82" s="1"/>
      <c r="E82" s="3" t="str">
        <f t="shared" si="2"/>
        <v/>
      </c>
      <c r="G82" s="3" t="s">
        <v>334</v>
      </c>
      <c r="H82" s="1" t="s">
        <v>335</v>
      </c>
      <c r="I82" s="7" t="b">
        <f t="shared" si="3"/>
        <v>1</v>
      </c>
    </row>
    <row r="83">
      <c r="A83" s="3" t="s">
        <v>336</v>
      </c>
      <c r="C83" s="7" t="str">
        <f t="shared" si="1"/>
        <v>DeuteronProtonMassRatio</v>
      </c>
      <c r="D83" s="1"/>
      <c r="E83" s="3" t="str">
        <f t="shared" si="2"/>
        <v/>
      </c>
      <c r="G83" s="3" t="s">
        <v>337</v>
      </c>
      <c r="H83" s="1" t="s">
        <v>338</v>
      </c>
      <c r="I83" s="7" t="b">
        <f t="shared" si="3"/>
        <v>1</v>
      </c>
    </row>
    <row r="84">
      <c r="A84" s="3" t="s">
        <v>339</v>
      </c>
      <c r="C84" s="7" t="str">
        <f t="shared" si="1"/>
        <v>DeuteronRelativeAtomicMass</v>
      </c>
      <c r="E84" s="3" t="str">
        <f t="shared" si="2"/>
        <v/>
      </c>
      <c r="G84" s="3" t="s">
        <v>340</v>
      </c>
      <c r="I84" s="7" t="b">
        <f t="shared" si="3"/>
        <v>0</v>
      </c>
    </row>
    <row r="85">
      <c r="A85" s="3" t="s">
        <v>341</v>
      </c>
      <c r="B85" s="3" t="s">
        <v>59</v>
      </c>
      <c r="C85" s="7" t="str">
        <f t="shared" si="1"/>
        <v>DeuteronRmsChargeRadius</v>
      </c>
      <c r="D85" s="1" t="s">
        <v>59</v>
      </c>
      <c r="E85" s="11" t="str">
        <f t="shared" si="2"/>
        <v>https://w3id.org/uom/m</v>
      </c>
      <c r="G85" s="3" t="s">
        <v>342</v>
      </c>
      <c r="H85" s="1" t="s">
        <v>343</v>
      </c>
      <c r="I85" s="7" t="b">
        <f t="shared" si="3"/>
        <v>1</v>
      </c>
    </row>
    <row r="86">
      <c r="B86" s="3" t="s">
        <v>266</v>
      </c>
      <c r="C86" s="7" t="str">
        <f t="shared" si="1"/>
        <v>ElectricConstant</v>
      </c>
      <c r="D86" s="1"/>
      <c r="E86" s="3" t="str">
        <f t="shared" si="2"/>
        <v/>
      </c>
      <c r="G86" s="3" t="s">
        <v>344</v>
      </c>
      <c r="H86" s="1" t="s">
        <v>345</v>
      </c>
      <c r="I86" s="7" t="b">
        <f t="shared" si="3"/>
        <v>1</v>
      </c>
    </row>
    <row r="87">
      <c r="A87" s="3" t="s">
        <v>346</v>
      </c>
      <c r="B87" s="3" t="s">
        <v>347</v>
      </c>
      <c r="C87" s="7" t="str">
        <f t="shared" si="1"/>
        <v>ElectronChargeToMassQuotient</v>
      </c>
      <c r="D87" s="1" t="s">
        <v>348</v>
      </c>
      <c r="E87" s="11" t="str">
        <f t="shared" si="2"/>
        <v>https://w3id.org/uom/C.kg-1</v>
      </c>
      <c r="G87" s="3" t="s">
        <v>349</v>
      </c>
      <c r="H87" s="1" t="s">
        <v>350</v>
      </c>
      <c r="I87" s="7" t="b">
        <f t="shared" si="3"/>
        <v>1</v>
      </c>
    </row>
    <row r="88">
      <c r="A88" s="3" t="s">
        <v>351</v>
      </c>
      <c r="C88" s="7" t="str">
        <f t="shared" si="1"/>
        <v>ElectronDeuteronMagneticMomentRatio</v>
      </c>
      <c r="D88" s="1"/>
      <c r="E88" s="3" t="str">
        <f t="shared" si="2"/>
        <v/>
      </c>
      <c r="G88" s="3" t="s">
        <v>352</v>
      </c>
      <c r="H88" s="1" t="s">
        <v>353</v>
      </c>
      <c r="I88" s="7" t="b">
        <f t="shared" si="3"/>
        <v>1</v>
      </c>
    </row>
    <row r="89">
      <c r="A89" s="3" t="s">
        <v>354</v>
      </c>
      <c r="C89" s="7" t="str">
        <f t="shared" si="1"/>
        <v>ElectronDeuteronMassRatio</v>
      </c>
      <c r="D89" s="1"/>
      <c r="E89" s="3" t="str">
        <f t="shared" si="2"/>
        <v/>
      </c>
      <c r="G89" s="3" t="s">
        <v>355</v>
      </c>
      <c r="H89" s="1" t="s">
        <v>356</v>
      </c>
      <c r="I89" s="7" t="b">
        <f t="shared" si="3"/>
        <v>1</v>
      </c>
    </row>
    <row r="90">
      <c r="A90" s="3" t="s">
        <v>357</v>
      </c>
      <c r="C90" s="7" t="str">
        <f t="shared" si="1"/>
        <v>ElectronGFactor</v>
      </c>
      <c r="D90" s="1"/>
      <c r="E90" s="3" t="str">
        <f t="shared" si="2"/>
        <v/>
      </c>
      <c r="G90" s="3" t="s">
        <v>358</v>
      </c>
      <c r="H90" s="1" t="s">
        <v>359</v>
      </c>
      <c r="I90" s="7" t="b">
        <f t="shared" si="3"/>
        <v>1</v>
      </c>
    </row>
    <row r="91">
      <c r="A91" s="3" t="s">
        <v>360</v>
      </c>
      <c r="B91" s="3" t="s">
        <v>361</v>
      </c>
      <c r="C91" s="7" t="str">
        <f t="shared" si="1"/>
        <v>ElectronGyromagneticRatio</v>
      </c>
      <c r="D91" s="1" t="s">
        <v>362</v>
      </c>
      <c r="E91" s="11" t="str">
        <f t="shared" si="2"/>
        <v>https://w3id.org/uom/s-1.T-1</v>
      </c>
      <c r="G91" s="3" t="s">
        <v>363</v>
      </c>
      <c r="H91" s="1" t="s">
        <v>364</v>
      </c>
      <c r="I91" s="7" t="b">
        <f t="shared" si="3"/>
        <v>1</v>
      </c>
    </row>
    <row r="92">
      <c r="B92" s="3" t="s">
        <v>266</v>
      </c>
      <c r="C92" s="7" t="str">
        <f t="shared" si="1"/>
        <v>ElectronGyromagneticRatioOver2Pi</v>
      </c>
      <c r="D92" s="1"/>
      <c r="E92" s="3" t="str">
        <f t="shared" si="2"/>
        <v/>
      </c>
      <c r="F92" s="1"/>
      <c r="G92" s="1" t="s">
        <v>363</v>
      </c>
      <c r="H92" s="1" t="s">
        <v>365</v>
      </c>
      <c r="I92" s="7" t="b">
        <f t="shared" si="3"/>
        <v>1</v>
      </c>
    </row>
    <row r="93">
      <c r="A93" s="3" t="s">
        <v>366</v>
      </c>
      <c r="B93" s="3" t="s">
        <v>367</v>
      </c>
      <c r="C93" s="1" t="s">
        <v>368</v>
      </c>
      <c r="D93" s="1" t="s">
        <v>369</v>
      </c>
      <c r="E93" s="11" t="str">
        <f t="shared" si="2"/>
        <v>https://w3id.org/uom/MHz.T-1</v>
      </c>
      <c r="F93" s="1"/>
      <c r="G93" s="1" t="s">
        <v>363</v>
      </c>
      <c r="I93" s="7" t="b">
        <f t="shared" si="3"/>
        <v>0</v>
      </c>
    </row>
    <row r="94">
      <c r="A94" s="3" t="s">
        <v>370</v>
      </c>
      <c r="C94" s="7" t="str">
        <f t="shared" ref="C94:C126" si="4">if(isblank(H94),concatenate(substitute(proper(A94)," ","")),SUBSTITUTE(H94,"constant:",""))</f>
        <v>Electron-HelionMassRatio</v>
      </c>
      <c r="E94" s="3" t="str">
        <f t="shared" si="2"/>
        <v/>
      </c>
      <c r="G94" s="3" t="s">
        <v>371</v>
      </c>
      <c r="I94" s="7" t="b">
        <f t="shared" si="3"/>
        <v>0</v>
      </c>
    </row>
    <row r="95">
      <c r="A95" s="3" t="s">
        <v>372</v>
      </c>
      <c r="B95" s="3" t="s">
        <v>165</v>
      </c>
      <c r="C95" s="7" t="str">
        <f t="shared" si="4"/>
        <v>ElectronMagneticMoment</v>
      </c>
      <c r="D95" s="1" t="s">
        <v>166</v>
      </c>
      <c r="E95" s="11" t="str">
        <f t="shared" si="2"/>
        <v>https://w3id.org/uom/J.T-1</v>
      </c>
      <c r="G95" s="3" t="s">
        <v>373</v>
      </c>
      <c r="H95" s="1" t="s">
        <v>374</v>
      </c>
      <c r="I95" s="7" t="b">
        <f t="shared" si="3"/>
        <v>1</v>
      </c>
    </row>
    <row r="96">
      <c r="A96" s="3" t="s">
        <v>375</v>
      </c>
      <c r="C96" s="7" t="str">
        <f t="shared" si="4"/>
        <v>ElectronMagneticMomentAnomaly</v>
      </c>
      <c r="D96" s="1"/>
      <c r="E96" s="3" t="str">
        <f t="shared" si="2"/>
        <v/>
      </c>
      <c r="G96" s="3" t="s">
        <v>376</v>
      </c>
      <c r="H96" s="1" t="s">
        <v>377</v>
      </c>
      <c r="I96" s="7" t="b">
        <f t="shared" si="3"/>
        <v>1</v>
      </c>
    </row>
    <row r="97">
      <c r="A97" s="3" t="s">
        <v>378</v>
      </c>
      <c r="C97" s="7" t="str">
        <f t="shared" si="4"/>
        <v>ElectronMagneticMomentToBohrMagnetonRatio</v>
      </c>
      <c r="D97" s="1"/>
      <c r="E97" s="3" t="str">
        <f t="shared" si="2"/>
        <v/>
      </c>
      <c r="G97" s="3" t="s">
        <v>379</v>
      </c>
      <c r="H97" s="1" t="s">
        <v>380</v>
      </c>
      <c r="I97" s="7" t="b">
        <f t="shared" si="3"/>
        <v>1</v>
      </c>
    </row>
    <row r="98">
      <c r="A98" s="3" t="s">
        <v>381</v>
      </c>
      <c r="C98" s="7" t="str">
        <f t="shared" si="4"/>
        <v>ElectronMagneticMomentToNuclearMagnetonRatio</v>
      </c>
      <c r="D98" s="1"/>
      <c r="E98" s="3" t="str">
        <f t="shared" si="2"/>
        <v/>
      </c>
      <c r="G98" s="3" t="s">
        <v>382</v>
      </c>
      <c r="H98" s="1" t="s">
        <v>383</v>
      </c>
      <c r="I98" s="7" t="b">
        <f t="shared" si="3"/>
        <v>1</v>
      </c>
    </row>
    <row r="99">
      <c r="A99" s="3" t="s">
        <v>384</v>
      </c>
      <c r="B99" s="3" t="s">
        <v>38</v>
      </c>
      <c r="C99" s="7" t="str">
        <f t="shared" si="4"/>
        <v>ElectronMass</v>
      </c>
      <c r="D99" s="1" t="s">
        <v>385</v>
      </c>
      <c r="E99" s="11" t="str">
        <f t="shared" si="2"/>
        <v>https://w3id.org/uom/[m_e]</v>
      </c>
      <c r="G99" s="3" t="s">
        <v>18</v>
      </c>
      <c r="H99" s="1" t="s">
        <v>386</v>
      </c>
      <c r="I99" s="7" t="b">
        <f t="shared" si="3"/>
        <v>1</v>
      </c>
    </row>
    <row r="100">
      <c r="A100" s="3" t="s">
        <v>387</v>
      </c>
      <c r="B100" s="3" t="s">
        <v>41</v>
      </c>
      <c r="C100" s="7" t="str">
        <f t="shared" si="4"/>
        <v>ElectronMassEnergyEquivalent</v>
      </c>
      <c r="D100" s="1" t="s">
        <v>41</v>
      </c>
      <c r="E100" s="11" t="str">
        <f t="shared" si="2"/>
        <v>https://w3id.org/uom/J</v>
      </c>
      <c r="G100" s="3" t="s">
        <v>388</v>
      </c>
      <c r="H100" s="1" t="s">
        <v>389</v>
      </c>
      <c r="I100" s="7" t="b">
        <f t="shared" si="3"/>
        <v>1</v>
      </c>
    </row>
    <row r="101">
      <c r="A101" s="3" t="s">
        <v>390</v>
      </c>
      <c r="B101" s="3" t="s">
        <v>45</v>
      </c>
      <c r="C101" s="7" t="str">
        <f t="shared" si="4"/>
        <v>ElectronMassEnergyEquivalentInMeV</v>
      </c>
      <c r="D101" s="1" t="s">
        <v>45</v>
      </c>
      <c r="E101" s="11" t="str">
        <f t="shared" si="2"/>
        <v>https://w3id.org/uom/MeV</v>
      </c>
      <c r="G101" s="3" t="s">
        <v>391</v>
      </c>
      <c r="H101" s="1" t="s">
        <v>392</v>
      </c>
      <c r="I101" s="7" t="b">
        <f t="shared" si="3"/>
        <v>1</v>
      </c>
    </row>
    <row r="102">
      <c r="A102" s="3" t="s">
        <v>393</v>
      </c>
      <c r="B102" s="3" t="s">
        <v>48</v>
      </c>
      <c r="C102" s="7" t="str">
        <f t="shared" si="4"/>
        <v>ElectronMassInAtomicMassUnit</v>
      </c>
      <c r="D102" s="1" t="s">
        <v>48</v>
      </c>
      <c r="E102" s="11" t="str">
        <f t="shared" si="2"/>
        <v>https://w3id.org/uom/u</v>
      </c>
      <c r="G102" s="3" t="s">
        <v>394</v>
      </c>
      <c r="H102" s="1" t="s">
        <v>395</v>
      </c>
      <c r="I102" s="7" t="b">
        <f t="shared" si="3"/>
        <v>1</v>
      </c>
    </row>
    <row r="103">
      <c r="A103" s="3" t="s">
        <v>396</v>
      </c>
      <c r="B103" s="3" t="s">
        <v>51</v>
      </c>
      <c r="C103" s="7" t="str">
        <f t="shared" si="4"/>
        <v>ElectronMolarMass</v>
      </c>
      <c r="D103" s="1" t="s">
        <v>327</v>
      </c>
      <c r="E103" s="11" t="str">
        <f t="shared" si="2"/>
        <v>https://w3id.org/uom/kg.mol-1</v>
      </c>
      <c r="G103" s="3" t="s">
        <v>397</v>
      </c>
      <c r="H103" s="1" t="s">
        <v>398</v>
      </c>
      <c r="I103" s="7" t="b">
        <f t="shared" si="3"/>
        <v>1</v>
      </c>
    </row>
    <row r="104">
      <c r="A104" s="3" t="s">
        <v>399</v>
      </c>
      <c r="C104" s="7" t="str">
        <f t="shared" si="4"/>
        <v>ElectronMuonMagneticMomentRatio</v>
      </c>
      <c r="D104" s="1"/>
      <c r="E104" s="3" t="str">
        <f t="shared" si="2"/>
        <v/>
      </c>
      <c r="G104" s="3" t="s">
        <v>400</v>
      </c>
      <c r="H104" s="1" t="s">
        <v>401</v>
      </c>
      <c r="I104" s="7" t="b">
        <f t="shared" si="3"/>
        <v>1</v>
      </c>
    </row>
    <row r="105">
      <c r="A105" s="3" t="s">
        <v>402</v>
      </c>
      <c r="C105" s="7" t="str">
        <f t="shared" si="4"/>
        <v>ElectronMuonMassRatio</v>
      </c>
      <c r="D105" s="1"/>
      <c r="E105" s="3" t="str">
        <f t="shared" si="2"/>
        <v/>
      </c>
      <c r="G105" s="3" t="s">
        <v>403</v>
      </c>
      <c r="H105" s="1" t="s">
        <v>404</v>
      </c>
      <c r="I105" s="7" t="b">
        <f t="shared" si="3"/>
        <v>1</v>
      </c>
    </row>
    <row r="106">
      <c r="A106" s="3" t="s">
        <v>405</v>
      </c>
      <c r="C106" s="7" t="str">
        <f t="shared" si="4"/>
        <v>ElectronNeutronMagneticMomentRatio</v>
      </c>
      <c r="D106" s="1"/>
      <c r="E106" s="3" t="str">
        <f t="shared" si="2"/>
        <v/>
      </c>
      <c r="G106" s="3" t="s">
        <v>406</v>
      </c>
      <c r="H106" s="1" t="s">
        <v>407</v>
      </c>
      <c r="I106" s="7" t="b">
        <f t="shared" si="3"/>
        <v>1</v>
      </c>
    </row>
    <row r="107">
      <c r="A107" s="3" t="s">
        <v>408</v>
      </c>
      <c r="C107" s="7" t="str">
        <f t="shared" si="4"/>
        <v>ElectronNeutronMassRatio</v>
      </c>
      <c r="D107" s="1"/>
      <c r="E107" s="3" t="str">
        <f t="shared" si="2"/>
        <v/>
      </c>
      <c r="G107" s="3" t="s">
        <v>409</v>
      </c>
      <c r="H107" s="1" t="s">
        <v>410</v>
      </c>
      <c r="I107" s="7" t="b">
        <f t="shared" si="3"/>
        <v>1</v>
      </c>
    </row>
    <row r="108">
      <c r="A108" s="3" t="s">
        <v>411</v>
      </c>
      <c r="C108" s="7" t="str">
        <f t="shared" si="4"/>
        <v>ElectronProtonMagneticMomentRatio</v>
      </c>
      <c r="D108" s="1"/>
      <c r="E108" s="3" t="str">
        <f t="shared" si="2"/>
        <v/>
      </c>
      <c r="G108" s="3" t="s">
        <v>412</v>
      </c>
      <c r="H108" s="1" t="s">
        <v>413</v>
      </c>
      <c r="I108" s="7" t="b">
        <f t="shared" si="3"/>
        <v>1</v>
      </c>
    </row>
    <row r="109">
      <c r="A109" s="3" t="s">
        <v>414</v>
      </c>
      <c r="C109" s="7" t="str">
        <f t="shared" si="4"/>
        <v>ElectronProtonMassRatio</v>
      </c>
      <c r="D109" s="1"/>
      <c r="E109" s="3" t="str">
        <f t="shared" si="2"/>
        <v/>
      </c>
      <c r="G109" s="3" t="s">
        <v>415</v>
      </c>
      <c r="H109" s="1" t="s">
        <v>416</v>
      </c>
      <c r="I109" s="7" t="b">
        <f t="shared" si="3"/>
        <v>1</v>
      </c>
    </row>
    <row r="110">
      <c r="A110" s="3" t="s">
        <v>417</v>
      </c>
      <c r="C110" s="7" t="str">
        <f t="shared" si="4"/>
        <v>ElectronRelativeAtomicMass</v>
      </c>
      <c r="E110" s="3" t="str">
        <f t="shared" si="2"/>
        <v/>
      </c>
      <c r="G110" s="3" t="s">
        <v>418</v>
      </c>
      <c r="I110" s="7" t="b">
        <f t="shared" si="3"/>
        <v>0</v>
      </c>
    </row>
    <row r="111">
      <c r="A111" s="3" t="s">
        <v>419</v>
      </c>
      <c r="C111" s="7" t="str">
        <f t="shared" si="4"/>
        <v>ElectronTauMassRatio</v>
      </c>
      <c r="D111" s="1"/>
      <c r="E111" s="3" t="str">
        <f t="shared" si="2"/>
        <v/>
      </c>
      <c r="G111" s="3" t="s">
        <v>420</v>
      </c>
      <c r="H111" s="1" t="s">
        <v>421</v>
      </c>
      <c r="I111" s="7" t="b">
        <f t="shared" si="3"/>
        <v>1</v>
      </c>
    </row>
    <row r="112">
      <c r="A112" s="3" t="s">
        <v>422</v>
      </c>
      <c r="C112" s="7" t="str">
        <f t="shared" si="4"/>
        <v>ElectronToAlphaParticleMassRatio</v>
      </c>
      <c r="D112" s="1"/>
      <c r="E112" s="3" t="str">
        <f t="shared" si="2"/>
        <v/>
      </c>
      <c r="G112" s="3" t="s">
        <v>423</v>
      </c>
      <c r="H112" s="1" t="s">
        <v>424</v>
      </c>
      <c r="I112" s="7" t="b">
        <f t="shared" si="3"/>
        <v>1</v>
      </c>
    </row>
    <row r="113">
      <c r="A113" s="3" t="s">
        <v>425</v>
      </c>
      <c r="C113" s="7" t="str">
        <f t="shared" si="4"/>
        <v>ElectronToShieldedHelionMagneticMomentRatio</v>
      </c>
      <c r="D113" s="1"/>
      <c r="E113" s="3" t="str">
        <f t="shared" si="2"/>
        <v/>
      </c>
      <c r="G113" s="3" t="s">
        <v>426</v>
      </c>
      <c r="H113" s="1" t="s">
        <v>427</v>
      </c>
      <c r="I113" s="7" t="b">
        <f t="shared" si="3"/>
        <v>1</v>
      </c>
    </row>
    <row r="114">
      <c r="A114" s="3" t="s">
        <v>428</v>
      </c>
      <c r="C114" s="7" t="str">
        <f t="shared" si="4"/>
        <v>ElectronToShieldedProtonMagneticMomentRatio</v>
      </c>
      <c r="D114" s="1"/>
      <c r="E114" s="3" t="str">
        <f t="shared" si="2"/>
        <v/>
      </c>
      <c r="G114" s="3" t="s">
        <v>429</v>
      </c>
      <c r="H114" s="1" t="s">
        <v>430</v>
      </c>
      <c r="I114" s="7" t="b">
        <f t="shared" si="3"/>
        <v>1</v>
      </c>
    </row>
    <row r="115">
      <c r="A115" s="3" t="s">
        <v>431</v>
      </c>
      <c r="C115" s="7" t="str">
        <f t="shared" si="4"/>
        <v>Electron-TritonMassRatio</v>
      </c>
      <c r="E115" s="3" t="str">
        <f t="shared" si="2"/>
        <v/>
      </c>
      <c r="G115" s="3" t="s">
        <v>432</v>
      </c>
      <c r="I115" s="7" t="b">
        <f t="shared" si="3"/>
        <v>0</v>
      </c>
    </row>
    <row r="116">
      <c r="A116" s="3" t="s">
        <v>433</v>
      </c>
      <c r="B116" s="3" t="s">
        <v>41</v>
      </c>
      <c r="C116" s="7" t="str">
        <f t="shared" si="4"/>
        <v>ElectronVolt</v>
      </c>
      <c r="D116" s="1" t="s">
        <v>41</v>
      </c>
      <c r="E116" s="11" t="str">
        <f t="shared" si="2"/>
        <v>https://w3id.org/uom/J</v>
      </c>
      <c r="G116" s="3" t="s">
        <v>434</v>
      </c>
      <c r="I116" s="7" t="b">
        <f t="shared" si="3"/>
        <v>0</v>
      </c>
    </row>
    <row r="117">
      <c r="A117" s="3" t="s">
        <v>435</v>
      </c>
      <c r="B117" s="3" t="s">
        <v>48</v>
      </c>
      <c r="C117" s="7" t="str">
        <f t="shared" si="4"/>
        <v>ElectronVoltAtomicMassUnitRelationship</v>
      </c>
      <c r="D117" s="1" t="s">
        <v>48</v>
      </c>
      <c r="E117" s="11" t="str">
        <f t="shared" si="2"/>
        <v>https://w3id.org/uom/u</v>
      </c>
      <c r="G117" s="3" t="s">
        <v>436</v>
      </c>
      <c r="H117" s="1" t="s">
        <v>437</v>
      </c>
      <c r="I117" s="7" t="b">
        <f t="shared" si="3"/>
        <v>1</v>
      </c>
    </row>
    <row r="118">
      <c r="A118" s="3" t="s">
        <v>438</v>
      </c>
      <c r="B118" s="3" t="s">
        <v>74</v>
      </c>
      <c r="C118" s="7" t="str">
        <f t="shared" si="4"/>
        <v>ElectronVoltHartreeRelationship</v>
      </c>
      <c r="D118" s="1" t="s">
        <v>75</v>
      </c>
      <c r="E118" s="3" t="str">
        <f t="shared" si="2"/>
        <v/>
      </c>
      <c r="G118" s="3" t="s">
        <v>439</v>
      </c>
      <c r="H118" s="1" t="s">
        <v>440</v>
      </c>
      <c r="I118" s="7" t="b">
        <f t="shared" si="3"/>
        <v>1</v>
      </c>
    </row>
    <row r="119">
      <c r="A119" s="3" t="s">
        <v>441</v>
      </c>
      <c r="B119" s="3" t="s">
        <v>79</v>
      </c>
      <c r="C119" s="7" t="str">
        <f t="shared" si="4"/>
        <v>ElectronVoltHertzRelationship</v>
      </c>
      <c r="D119" s="1" t="s">
        <v>79</v>
      </c>
      <c r="E119" s="11" t="str">
        <f t="shared" si="2"/>
        <v>https://w3id.org/uom/Hz</v>
      </c>
      <c r="G119" s="3" t="s">
        <v>442</v>
      </c>
      <c r="H119" s="1" t="s">
        <v>443</v>
      </c>
      <c r="I119" s="7" t="b">
        <f t="shared" si="3"/>
        <v>1</v>
      </c>
    </row>
    <row r="120">
      <c r="A120" s="3" t="s">
        <v>444</v>
      </c>
      <c r="B120" s="3" t="s">
        <v>83</v>
      </c>
      <c r="C120" s="7" t="str">
        <f t="shared" si="4"/>
        <v>ElectronVoltInverseMeterRelationship</v>
      </c>
      <c r="D120" s="1" t="s">
        <v>84</v>
      </c>
      <c r="E120" s="11" t="str">
        <f t="shared" si="2"/>
        <v>https://w3id.org/uom/m-1</v>
      </c>
      <c r="G120" s="3" t="s">
        <v>445</v>
      </c>
      <c r="H120" s="1" t="s">
        <v>446</v>
      </c>
      <c r="I120" s="7" t="b">
        <f t="shared" si="3"/>
        <v>1</v>
      </c>
    </row>
    <row r="121">
      <c r="A121" s="3" t="s">
        <v>447</v>
      </c>
      <c r="B121" s="3" t="s">
        <v>41</v>
      </c>
      <c r="C121" s="7" t="str">
        <f t="shared" si="4"/>
        <v>ElectronVoltJouleRelationship</v>
      </c>
      <c r="D121" s="1" t="s">
        <v>41</v>
      </c>
      <c r="E121" s="11" t="str">
        <f t="shared" si="2"/>
        <v>https://w3id.org/uom/J</v>
      </c>
      <c r="G121" s="3" t="s">
        <v>448</v>
      </c>
      <c r="H121" s="1" t="s">
        <v>449</v>
      </c>
      <c r="I121" s="7" t="b">
        <f t="shared" si="3"/>
        <v>1</v>
      </c>
    </row>
    <row r="122">
      <c r="A122" s="3" t="s">
        <v>450</v>
      </c>
      <c r="B122" s="3" t="s">
        <v>91</v>
      </c>
      <c r="C122" s="7" t="str">
        <f t="shared" si="4"/>
        <v>ElectronVoltKelvinRelationship</v>
      </c>
      <c r="D122" s="1" t="s">
        <v>91</v>
      </c>
      <c r="E122" s="11" t="str">
        <f t="shared" si="2"/>
        <v>https://w3id.org/uom/K</v>
      </c>
      <c r="G122" s="3" t="s">
        <v>451</v>
      </c>
      <c r="H122" s="1" t="s">
        <v>452</v>
      </c>
      <c r="I122" s="7" t="b">
        <f t="shared" si="3"/>
        <v>1</v>
      </c>
    </row>
    <row r="123">
      <c r="A123" s="3" t="s">
        <v>453</v>
      </c>
      <c r="B123" s="3" t="s">
        <v>38</v>
      </c>
      <c r="C123" s="7" t="str">
        <f t="shared" si="4"/>
        <v>ElectronVoltKilogramRelationship</v>
      </c>
      <c r="D123" s="1" t="s">
        <v>38</v>
      </c>
      <c r="E123" s="11" t="str">
        <f t="shared" si="2"/>
        <v>https://w3id.org/uom/kg</v>
      </c>
      <c r="G123" s="3" t="s">
        <v>454</v>
      </c>
      <c r="H123" s="1" t="s">
        <v>455</v>
      </c>
      <c r="I123" s="7" t="b">
        <f t="shared" si="3"/>
        <v>1</v>
      </c>
    </row>
    <row r="124">
      <c r="A124" s="3" t="s">
        <v>456</v>
      </c>
      <c r="B124" s="3" t="s">
        <v>113</v>
      </c>
      <c r="C124" s="7" t="str">
        <f t="shared" si="4"/>
        <v>ElementaryCharge</v>
      </c>
      <c r="D124" s="1" t="s">
        <v>113</v>
      </c>
      <c r="E124" s="11" t="str">
        <f t="shared" si="2"/>
        <v>https://w3id.org/uom/C</v>
      </c>
      <c r="G124" s="3" t="s">
        <v>457</v>
      </c>
      <c r="H124" s="1" t="s">
        <v>458</v>
      </c>
      <c r="I124" s="7" t="b">
        <f t="shared" si="3"/>
        <v>1</v>
      </c>
    </row>
    <row r="125">
      <c r="A125" s="3" t="s">
        <v>459</v>
      </c>
      <c r="B125" s="3" t="s">
        <v>460</v>
      </c>
      <c r="C125" s="7" t="str">
        <f t="shared" si="4"/>
        <v>ElementaryChargeOverH</v>
      </c>
      <c r="D125" s="1" t="s">
        <v>461</v>
      </c>
      <c r="E125" s="11" t="str">
        <f t="shared" si="2"/>
        <v>https://w3id.org/uom/A.J-1</v>
      </c>
      <c r="G125" s="3" t="s">
        <v>462</v>
      </c>
      <c r="H125" s="1" t="s">
        <v>463</v>
      </c>
      <c r="I125" s="7" t="b">
        <f t="shared" si="3"/>
        <v>1</v>
      </c>
    </row>
    <row r="126">
      <c r="A126" s="3" t="s">
        <v>464</v>
      </c>
      <c r="B126" s="3" t="s">
        <v>465</v>
      </c>
      <c r="C126" s="7" t="str">
        <f t="shared" si="4"/>
        <v>FaradayConstant</v>
      </c>
      <c r="D126" s="1" t="s">
        <v>466</v>
      </c>
      <c r="E126" s="11" t="str">
        <f t="shared" si="2"/>
        <v>https://w3id.org/uom/C.mol-1</v>
      </c>
      <c r="G126" s="3" t="s">
        <v>467</v>
      </c>
      <c r="H126" s="1" t="s">
        <v>468</v>
      </c>
      <c r="I126" s="7" t="b">
        <f t="shared" si="3"/>
        <v>1</v>
      </c>
    </row>
    <row r="127">
      <c r="A127" s="1" t="s">
        <v>469</v>
      </c>
      <c r="B127" s="1" t="s">
        <v>470</v>
      </c>
      <c r="C127" s="1" t="s">
        <v>471</v>
      </c>
      <c r="D127" s="1" t="s">
        <v>75</v>
      </c>
      <c r="E127" s="3" t="str">
        <f t="shared" si="2"/>
        <v/>
      </c>
      <c r="G127" s="3" t="s">
        <v>467</v>
      </c>
      <c r="H127" s="1"/>
      <c r="I127" s="7" t="b">
        <f t="shared" si="3"/>
        <v>0</v>
      </c>
    </row>
    <row r="128">
      <c r="A128" s="3" t="s">
        <v>472</v>
      </c>
      <c r="B128" s="3" t="s">
        <v>473</v>
      </c>
      <c r="C128" s="7" t="str">
        <f t="shared" ref="C128:C195" si="5">if(isblank(H128),concatenate(substitute(proper(A128)," ","")),SUBSTITUTE(H128,"constant:",""))</f>
        <v>FermiCouplingConstant</v>
      </c>
      <c r="D128" s="1" t="s">
        <v>474</v>
      </c>
      <c r="E128" s="11" t="str">
        <f t="shared" si="2"/>
        <v>https://w3id.org/uom/GeV-12</v>
      </c>
      <c r="G128" s="3" t="s">
        <v>475</v>
      </c>
      <c r="H128" s="1" t="s">
        <v>476</v>
      </c>
      <c r="I128" s="7" t="b">
        <f t="shared" si="3"/>
        <v>1</v>
      </c>
    </row>
    <row r="129">
      <c r="A129" s="3" t="s">
        <v>477</v>
      </c>
      <c r="C129" s="7" t="str">
        <f t="shared" si="5"/>
        <v>FineStructureConstant</v>
      </c>
      <c r="D129" s="1"/>
      <c r="E129" s="3" t="str">
        <f t="shared" si="2"/>
        <v/>
      </c>
      <c r="G129" s="3" t="s">
        <v>478</v>
      </c>
      <c r="H129" s="1" t="s">
        <v>479</v>
      </c>
      <c r="I129" s="7" t="b">
        <f t="shared" si="3"/>
        <v>1</v>
      </c>
    </row>
    <row r="130">
      <c r="A130" s="3" t="s">
        <v>480</v>
      </c>
      <c r="B130" s="3" t="s">
        <v>481</v>
      </c>
      <c r="C130" s="7" t="str">
        <f t="shared" si="5"/>
        <v>FirstRadiationConstant</v>
      </c>
      <c r="D130" s="1" t="s">
        <v>482</v>
      </c>
      <c r="E130" s="11" t="str">
        <f t="shared" si="2"/>
        <v>https://w3id.org/uom/W.m2</v>
      </c>
      <c r="G130" s="3" t="s">
        <v>483</v>
      </c>
      <c r="H130" s="1" t="s">
        <v>484</v>
      </c>
      <c r="I130" s="7" t="b">
        <f t="shared" si="3"/>
        <v>1</v>
      </c>
    </row>
    <row r="131">
      <c r="A131" s="3" t="s">
        <v>485</v>
      </c>
      <c r="B131" s="3" t="s">
        <v>486</v>
      </c>
      <c r="C131" s="7" t="str">
        <f t="shared" si="5"/>
        <v>FirstRadiationConstantForSpectralRadiance</v>
      </c>
      <c r="D131" s="1" t="s">
        <v>487</v>
      </c>
      <c r="E131" s="11" t="str">
        <f t="shared" si="2"/>
        <v>https://w3id.org/uom/W.m2.sr-1</v>
      </c>
      <c r="G131" s="3" t="s">
        <v>488</v>
      </c>
      <c r="H131" s="1" t="s">
        <v>489</v>
      </c>
      <c r="I131" s="7" t="b">
        <f t="shared" si="3"/>
        <v>1</v>
      </c>
    </row>
    <row r="132">
      <c r="B132" s="3" t="s">
        <v>266</v>
      </c>
      <c r="C132" s="7" t="str">
        <f t="shared" si="5"/>
        <v>GravitationalConstant</v>
      </c>
      <c r="D132" s="1"/>
      <c r="E132" s="3" t="str">
        <f t="shared" si="2"/>
        <v/>
      </c>
      <c r="G132" s="3" t="s">
        <v>490</v>
      </c>
      <c r="H132" s="1" t="s">
        <v>491</v>
      </c>
      <c r="I132" s="7" t="b">
        <f t="shared" si="3"/>
        <v>1</v>
      </c>
    </row>
    <row r="133">
      <c r="A133" s="3" t="s">
        <v>492</v>
      </c>
      <c r="B133" s="3" t="s">
        <v>48</v>
      </c>
      <c r="C133" s="7" t="str">
        <f t="shared" si="5"/>
        <v>HartreeAtomicMassUnitRelationship</v>
      </c>
      <c r="D133" s="1" t="s">
        <v>48</v>
      </c>
      <c r="E133" s="11" t="str">
        <f t="shared" si="2"/>
        <v>https://w3id.org/uom/u</v>
      </c>
      <c r="G133" s="3" t="s">
        <v>493</v>
      </c>
      <c r="H133" s="1" t="s">
        <v>494</v>
      </c>
      <c r="I133" s="7" t="b">
        <f t="shared" si="3"/>
        <v>1</v>
      </c>
    </row>
    <row r="134">
      <c r="A134" s="3" t="s">
        <v>495</v>
      </c>
      <c r="B134" s="3" t="s">
        <v>70</v>
      </c>
      <c r="C134" s="7" t="str">
        <f t="shared" si="5"/>
        <v>HartreeElectronVoltRelationship</v>
      </c>
      <c r="D134" s="1" t="s">
        <v>70</v>
      </c>
      <c r="E134" s="11" t="str">
        <f t="shared" si="2"/>
        <v>https://w3id.org/uom/eV</v>
      </c>
      <c r="G134" s="3" t="s">
        <v>496</v>
      </c>
      <c r="H134" s="1" t="s">
        <v>497</v>
      </c>
      <c r="I134" s="7" t="b">
        <f t="shared" si="3"/>
        <v>1</v>
      </c>
    </row>
    <row r="135">
      <c r="A135" s="3" t="s">
        <v>498</v>
      </c>
      <c r="B135" s="3" t="s">
        <v>41</v>
      </c>
      <c r="C135" s="7" t="str">
        <f t="shared" si="5"/>
        <v>HartreeEnergy</v>
      </c>
      <c r="D135" s="1" t="s">
        <v>41</v>
      </c>
      <c r="E135" s="11" t="str">
        <f t="shared" si="2"/>
        <v>https://w3id.org/uom/J</v>
      </c>
      <c r="G135" s="3" t="s">
        <v>499</v>
      </c>
      <c r="H135" s="1" t="s">
        <v>500</v>
      </c>
      <c r="I135" s="7" t="b">
        <f t="shared" si="3"/>
        <v>1</v>
      </c>
    </row>
    <row r="136">
      <c r="A136" s="3" t="s">
        <v>501</v>
      </c>
      <c r="B136" s="3" t="s">
        <v>70</v>
      </c>
      <c r="C136" s="7" t="str">
        <f t="shared" si="5"/>
        <v>HartreeEnergyInEV</v>
      </c>
      <c r="D136" s="1" t="s">
        <v>70</v>
      </c>
      <c r="E136" s="11" t="str">
        <f t="shared" si="2"/>
        <v>https://w3id.org/uom/eV</v>
      </c>
      <c r="G136" s="3" t="s">
        <v>502</v>
      </c>
      <c r="H136" s="1" t="s">
        <v>503</v>
      </c>
      <c r="I136" s="7" t="b">
        <f t="shared" si="3"/>
        <v>1</v>
      </c>
    </row>
    <row r="137">
      <c r="A137" s="3" t="s">
        <v>504</v>
      </c>
      <c r="B137" s="3" t="s">
        <v>79</v>
      </c>
      <c r="C137" s="7" t="str">
        <f t="shared" si="5"/>
        <v>HartreeHertzRelationship</v>
      </c>
      <c r="D137" s="1" t="s">
        <v>79</v>
      </c>
      <c r="E137" s="11" t="str">
        <f t="shared" si="2"/>
        <v>https://w3id.org/uom/Hz</v>
      </c>
      <c r="G137" s="3" t="s">
        <v>505</v>
      </c>
      <c r="H137" s="1" t="s">
        <v>506</v>
      </c>
      <c r="I137" s="7" t="b">
        <f t="shared" si="3"/>
        <v>1</v>
      </c>
    </row>
    <row r="138">
      <c r="A138" s="3" t="s">
        <v>507</v>
      </c>
      <c r="B138" s="3" t="s">
        <v>83</v>
      </c>
      <c r="C138" s="7" t="str">
        <f t="shared" si="5"/>
        <v>HartreeInverseMeterRelationship</v>
      </c>
      <c r="D138" s="1" t="s">
        <v>84</v>
      </c>
      <c r="E138" s="11" t="str">
        <f t="shared" si="2"/>
        <v>https://w3id.org/uom/m-1</v>
      </c>
      <c r="G138" s="3" t="s">
        <v>508</v>
      </c>
      <c r="H138" s="1" t="s">
        <v>509</v>
      </c>
      <c r="I138" s="7" t="b">
        <f t="shared" si="3"/>
        <v>1</v>
      </c>
    </row>
    <row r="139">
      <c r="A139" s="3" t="s">
        <v>510</v>
      </c>
      <c r="B139" s="3" t="s">
        <v>41</v>
      </c>
      <c r="C139" s="7" t="str">
        <f t="shared" si="5"/>
        <v>HartreeJouleRelationship</v>
      </c>
      <c r="D139" s="1" t="s">
        <v>41</v>
      </c>
      <c r="E139" s="11" t="str">
        <f t="shared" si="2"/>
        <v>https://w3id.org/uom/J</v>
      </c>
      <c r="G139" s="3" t="s">
        <v>511</v>
      </c>
      <c r="H139" s="1" t="s">
        <v>512</v>
      </c>
      <c r="I139" s="7" t="b">
        <f t="shared" si="3"/>
        <v>1</v>
      </c>
    </row>
    <row r="140">
      <c r="A140" s="3" t="s">
        <v>513</v>
      </c>
      <c r="B140" s="3" t="s">
        <v>91</v>
      </c>
      <c r="C140" s="7" t="str">
        <f t="shared" si="5"/>
        <v>HartreeKelvinRelationship</v>
      </c>
      <c r="D140" s="1" t="s">
        <v>91</v>
      </c>
      <c r="E140" s="11" t="str">
        <f t="shared" si="2"/>
        <v>https://w3id.org/uom/K</v>
      </c>
      <c r="G140" s="3" t="s">
        <v>514</v>
      </c>
      <c r="H140" s="1" t="s">
        <v>515</v>
      </c>
      <c r="I140" s="7" t="b">
        <f t="shared" si="3"/>
        <v>1</v>
      </c>
    </row>
    <row r="141">
      <c r="A141" s="3" t="s">
        <v>516</v>
      </c>
      <c r="B141" s="3" t="s">
        <v>38</v>
      </c>
      <c r="C141" s="7" t="str">
        <f t="shared" si="5"/>
        <v>HartreeKilogramRelationship</v>
      </c>
      <c r="D141" s="1" t="s">
        <v>38</v>
      </c>
      <c r="E141" s="11" t="str">
        <f t="shared" si="2"/>
        <v>https://w3id.org/uom/kg</v>
      </c>
      <c r="G141" s="3" t="s">
        <v>517</v>
      </c>
      <c r="H141" s="1" t="s">
        <v>518</v>
      </c>
      <c r="I141" s="7" t="b">
        <f t="shared" si="3"/>
        <v>1</v>
      </c>
    </row>
    <row r="142">
      <c r="A142" s="3" t="s">
        <v>519</v>
      </c>
      <c r="C142" s="7" t="str">
        <f t="shared" si="5"/>
        <v>HelionElectronMassRatio</v>
      </c>
      <c r="D142" s="1"/>
      <c r="E142" s="3" t="str">
        <f t="shared" si="2"/>
        <v/>
      </c>
      <c r="G142" s="3" t="s">
        <v>520</v>
      </c>
      <c r="H142" s="1" t="s">
        <v>521</v>
      </c>
      <c r="I142" s="7" t="b">
        <f t="shared" si="3"/>
        <v>1</v>
      </c>
    </row>
    <row r="143">
      <c r="A143" s="3" t="s">
        <v>522</v>
      </c>
      <c r="C143" s="7" t="str">
        <f t="shared" si="5"/>
        <v>HelionGFactor</v>
      </c>
      <c r="E143" s="3" t="str">
        <f t="shared" si="2"/>
        <v/>
      </c>
      <c r="G143" s="3" t="s">
        <v>523</v>
      </c>
      <c r="I143" s="7" t="b">
        <f t="shared" si="3"/>
        <v>0</v>
      </c>
    </row>
    <row r="144">
      <c r="A144" s="3" t="s">
        <v>524</v>
      </c>
      <c r="B144" s="3" t="s">
        <v>165</v>
      </c>
      <c r="C144" s="7" t="str">
        <f t="shared" si="5"/>
        <v>HelionMag.Mom.</v>
      </c>
      <c r="D144" s="1" t="s">
        <v>166</v>
      </c>
      <c r="E144" s="11" t="str">
        <f t="shared" si="2"/>
        <v>https://w3id.org/uom/J.T-1</v>
      </c>
      <c r="G144" s="3" t="s">
        <v>525</v>
      </c>
      <c r="I144" s="7" t="b">
        <f t="shared" si="3"/>
        <v>0</v>
      </c>
    </row>
    <row r="145">
      <c r="A145" s="3" t="s">
        <v>526</v>
      </c>
      <c r="C145" s="7" t="str">
        <f t="shared" si="5"/>
        <v>HelionMag.Mom.ToBohrMagnetonRatio</v>
      </c>
      <c r="E145" s="3" t="str">
        <f t="shared" si="2"/>
        <v/>
      </c>
      <c r="G145" s="3" t="s">
        <v>527</v>
      </c>
      <c r="I145" s="7" t="b">
        <f t="shared" si="3"/>
        <v>0</v>
      </c>
    </row>
    <row r="146">
      <c r="A146" s="3" t="s">
        <v>528</v>
      </c>
      <c r="C146" s="7" t="str">
        <f t="shared" si="5"/>
        <v>HelionMag.Mom.ToNuclearMagnetonRatio</v>
      </c>
      <c r="E146" s="3" t="str">
        <f t="shared" si="2"/>
        <v/>
      </c>
      <c r="G146" s="3" t="s">
        <v>529</v>
      </c>
      <c r="I146" s="7" t="b">
        <f t="shared" si="3"/>
        <v>0</v>
      </c>
    </row>
    <row r="147">
      <c r="A147" s="3" t="s">
        <v>530</v>
      </c>
      <c r="B147" s="3" t="s">
        <v>38</v>
      </c>
      <c r="C147" s="7" t="str">
        <f t="shared" si="5"/>
        <v>HelionMass</v>
      </c>
      <c r="D147" s="1" t="s">
        <v>38</v>
      </c>
      <c r="E147" s="11" t="str">
        <f t="shared" si="2"/>
        <v>https://w3id.org/uom/kg</v>
      </c>
      <c r="G147" s="3" t="s">
        <v>531</v>
      </c>
      <c r="H147" s="1" t="s">
        <v>532</v>
      </c>
      <c r="I147" s="7" t="b">
        <f t="shared" si="3"/>
        <v>1</v>
      </c>
    </row>
    <row r="148">
      <c r="A148" s="3" t="s">
        <v>533</v>
      </c>
      <c r="B148" s="3" t="s">
        <v>41</v>
      </c>
      <c r="C148" s="7" t="str">
        <f t="shared" si="5"/>
        <v>HelionMassEnergyEquivalent</v>
      </c>
      <c r="D148" s="1" t="s">
        <v>41</v>
      </c>
      <c r="E148" s="11" t="str">
        <f t="shared" si="2"/>
        <v>https://w3id.org/uom/J</v>
      </c>
      <c r="G148" s="3" t="s">
        <v>534</v>
      </c>
      <c r="H148" s="1" t="s">
        <v>535</v>
      </c>
      <c r="I148" s="7" t="b">
        <f t="shared" si="3"/>
        <v>1</v>
      </c>
    </row>
    <row r="149">
      <c r="A149" s="3" t="s">
        <v>536</v>
      </c>
      <c r="B149" s="3" t="s">
        <v>45</v>
      </c>
      <c r="C149" s="7" t="str">
        <f t="shared" si="5"/>
        <v>HelionMassEnergyEquivalentInMeV</v>
      </c>
      <c r="D149" s="1" t="s">
        <v>45</v>
      </c>
      <c r="E149" s="11" t="str">
        <f t="shared" si="2"/>
        <v>https://w3id.org/uom/MeV</v>
      </c>
      <c r="F149" s="1"/>
      <c r="G149" s="1" t="s">
        <v>534</v>
      </c>
      <c r="H149" s="1" t="s">
        <v>537</v>
      </c>
      <c r="I149" s="7" t="b">
        <f t="shared" si="3"/>
        <v>1</v>
      </c>
    </row>
    <row r="150">
      <c r="A150" s="3" t="s">
        <v>538</v>
      </c>
      <c r="B150" s="3" t="s">
        <v>48</v>
      </c>
      <c r="C150" s="7" t="str">
        <f t="shared" si="5"/>
        <v>HelionMassInAtomicMassUnit</v>
      </c>
      <c r="D150" s="1" t="s">
        <v>48</v>
      </c>
      <c r="E150" s="11" t="str">
        <f t="shared" si="2"/>
        <v>https://w3id.org/uom/u</v>
      </c>
      <c r="G150" s="3" t="s">
        <v>539</v>
      </c>
      <c r="H150" s="1" t="s">
        <v>540</v>
      </c>
      <c r="I150" s="7" t="b">
        <f t="shared" si="3"/>
        <v>1</v>
      </c>
    </row>
    <row r="151">
      <c r="A151" s="3" t="s">
        <v>541</v>
      </c>
      <c r="B151" s="3" t="s">
        <v>51</v>
      </c>
      <c r="C151" s="7" t="str">
        <f t="shared" si="5"/>
        <v>HelionMolarMass</v>
      </c>
      <c r="D151" s="1" t="s">
        <v>327</v>
      </c>
      <c r="E151" s="11" t="str">
        <f t="shared" si="2"/>
        <v>https://w3id.org/uom/kg.mol-1</v>
      </c>
      <c r="G151" s="3" t="s">
        <v>542</v>
      </c>
      <c r="H151" s="1" t="s">
        <v>543</v>
      </c>
      <c r="I151" s="7" t="b">
        <f t="shared" si="3"/>
        <v>1</v>
      </c>
    </row>
    <row r="152">
      <c r="A152" s="3" t="s">
        <v>544</v>
      </c>
      <c r="C152" s="7" t="str">
        <f t="shared" si="5"/>
        <v>HelionProtonMassRatio</v>
      </c>
      <c r="D152" s="1"/>
      <c r="E152" s="3" t="str">
        <f t="shared" si="2"/>
        <v/>
      </c>
      <c r="G152" s="3" t="s">
        <v>545</v>
      </c>
      <c r="H152" s="1" t="s">
        <v>546</v>
      </c>
      <c r="I152" s="7" t="b">
        <f t="shared" si="3"/>
        <v>1</v>
      </c>
    </row>
    <row r="153">
      <c r="A153" s="3" t="s">
        <v>547</v>
      </c>
      <c r="C153" s="7" t="str">
        <f t="shared" si="5"/>
        <v>HelionRelativeAtomicMass</v>
      </c>
      <c r="E153" s="3" t="str">
        <f t="shared" si="2"/>
        <v/>
      </c>
      <c r="G153" s="3" t="s">
        <v>548</v>
      </c>
      <c r="I153" s="7" t="b">
        <f t="shared" si="3"/>
        <v>0</v>
      </c>
    </row>
    <row r="154">
      <c r="A154" s="3" t="s">
        <v>549</v>
      </c>
      <c r="C154" s="7" t="str">
        <f t="shared" si="5"/>
        <v>HelionShieldingShift</v>
      </c>
      <c r="E154" s="3" t="str">
        <f t="shared" si="2"/>
        <v/>
      </c>
      <c r="G154" s="3" t="s">
        <v>550</v>
      </c>
      <c r="I154" s="7" t="b">
        <f t="shared" si="3"/>
        <v>0</v>
      </c>
    </row>
    <row r="155">
      <c r="A155" s="3" t="s">
        <v>551</v>
      </c>
      <c r="B155" s="3" t="s">
        <v>48</v>
      </c>
      <c r="C155" s="7" t="str">
        <f t="shared" si="5"/>
        <v>HertzAtomicMassUnitRelationship</v>
      </c>
      <c r="D155" s="1" t="s">
        <v>48</v>
      </c>
      <c r="E155" s="11" t="str">
        <f t="shared" si="2"/>
        <v>https://w3id.org/uom/u</v>
      </c>
      <c r="G155" s="3" t="s">
        <v>552</v>
      </c>
      <c r="H155" s="1" t="s">
        <v>553</v>
      </c>
      <c r="I155" s="7" t="b">
        <f t="shared" si="3"/>
        <v>1</v>
      </c>
    </row>
    <row r="156">
      <c r="A156" s="3" t="s">
        <v>554</v>
      </c>
      <c r="B156" s="3" t="s">
        <v>70</v>
      </c>
      <c r="C156" s="7" t="str">
        <f t="shared" si="5"/>
        <v>HertzElectronVoltRelationship</v>
      </c>
      <c r="D156" s="1" t="s">
        <v>70</v>
      </c>
      <c r="E156" s="11" t="str">
        <f t="shared" si="2"/>
        <v>https://w3id.org/uom/eV</v>
      </c>
      <c r="G156" s="3" t="s">
        <v>555</v>
      </c>
      <c r="H156" s="1" t="s">
        <v>556</v>
      </c>
      <c r="I156" s="7" t="b">
        <f t="shared" si="3"/>
        <v>1</v>
      </c>
    </row>
    <row r="157">
      <c r="A157" s="3" t="s">
        <v>557</v>
      </c>
      <c r="B157" s="3" t="s">
        <v>74</v>
      </c>
      <c r="C157" s="7" t="str">
        <f t="shared" si="5"/>
        <v>HertzHartreeRelationship</v>
      </c>
      <c r="D157" s="1" t="s">
        <v>75</v>
      </c>
      <c r="E157" s="3" t="str">
        <f t="shared" si="2"/>
        <v/>
      </c>
      <c r="G157" s="3" t="s">
        <v>558</v>
      </c>
      <c r="H157" s="1" t="s">
        <v>559</v>
      </c>
      <c r="I157" s="7" t="b">
        <f t="shared" si="3"/>
        <v>1</v>
      </c>
    </row>
    <row r="158">
      <c r="A158" s="3" t="s">
        <v>560</v>
      </c>
      <c r="B158" s="3" t="s">
        <v>83</v>
      </c>
      <c r="C158" s="7" t="str">
        <f t="shared" si="5"/>
        <v>HertzInverseMeterRelationship</v>
      </c>
      <c r="D158" s="1" t="s">
        <v>84</v>
      </c>
      <c r="E158" s="11" t="str">
        <f t="shared" si="2"/>
        <v>https://w3id.org/uom/m-1</v>
      </c>
      <c r="G158" s="3" t="s">
        <v>561</v>
      </c>
      <c r="H158" s="1" t="s">
        <v>562</v>
      </c>
      <c r="I158" s="7" t="b">
        <f t="shared" si="3"/>
        <v>1</v>
      </c>
    </row>
    <row r="159">
      <c r="A159" s="3" t="s">
        <v>563</v>
      </c>
      <c r="B159" s="3" t="s">
        <v>41</v>
      </c>
      <c r="C159" s="7" t="str">
        <f t="shared" si="5"/>
        <v>HertzJouleRelationship</v>
      </c>
      <c r="D159" s="1" t="s">
        <v>41</v>
      </c>
      <c r="E159" s="11" t="str">
        <f t="shared" si="2"/>
        <v>https://w3id.org/uom/J</v>
      </c>
      <c r="G159" s="3" t="s">
        <v>564</v>
      </c>
      <c r="H159" s="1" t="s">
        <v>565</v>
      </c>
      <c r="I159" s="7" t="b">
        <f t="shared" si="3"/>
        <v>1</v>
      </c>
    </row>
    <row r="160">
      <c r="A160" s="3" t="s">
        <v>566</v>
      </c>
      <c r="B160" s="3" t="s">
        <v>91</v>
      </c>
      <c r="C160" s="7" t="str">
        <f t="shared" si="5"/>
        <v>HertzKelvinRelationship</v>
      </c>
      <c r="D160" s="1" t="s">
        <v>91</v>
      </c>
      <c r="E160" s="11" t="str">
        <f t="shared" si="2"/>
        <v>https://w3id.org/uom/K</v>
      </c>
      <c r="G160" s="3" t="s">
        <v>567</v>
      </c>
      <c r="H160" s="1" t="s">
        <v>568</v>
      </c>
      <c r="I160" s="7" t="b">
        <f t="shared" si="3"/>
        <v>1</v>
      </c>
    </row>
    <row r="161">
      <c r="A161" s="3" t="s">
        <v>569</v>
      </c>
      <c r="B161" s="3" t="s">
        <v>38</v>
      </c>
      <c r="C161" s="7" t="str">
        <f t="shared" si="5"/>
        <v>HertzKilogramRelationship</v>
      </c>
      <c r="D161" s="1" t="s">
        <v>38</v>
      </c>
      <c r="E161" s="11" t="str">
        <f t="shared" si="2"/>
        <v>https://w3id.org/uom/kg</v>
      </c>
      <c r="G161" s="3" t="s">
        <v>570</v>
      </c>
      <c r="H161" s="1" t="s">
        <v>571</v>
      </c>
      <c r="I161" s="7" t="b">
        <f t="shared" si="3"/>
        <v>1</v>
      </c>
    </row>
    <row r="162">
      <c r="A162" s="3" t="s">
        <v>572</v>
      </c>
      <c r="B162" s="3" t="s">
        <v>79</v>
      </c>
      <c r="C162" s="7" t="str">
        <f t="shared" si="5"/>
        <v>HyperfineTransitionFrequencyOfCs-133</v>
      </c>
      <c r="D162" s="1" t="s">
        <v>79</v>
      </c>
      <c r="E162" s="11" t="str">
        <f t="shared" si="2"/>
        <v>https://w3id.org/uom/Hz</v>
      </c>
      <c r="G162" s="3" t="s">
        <v>573</v>
      </c>
      <c r="I162" s="7" t="b">
        <f t="shared" si="3"/>
        <v>0</v>
      </c>
    </row>
    <row r="163">
      <c r="A163" s="3" t="s">
        <v>574</v>
      </c>
      <c r="C163" s="7" t="str">
        <f t="shared" si="5"/>
        <v>InverseFineStructureConstant</v>
      </c>
      <c r="D163" s="1"/>
      <c r="E163" s="3" t="str">
        <f t="shared" si="2"/>
        <v/>
      </c>
      <c r="G163" s="3" t="s">
        <v>575</v>
      </c>
      <c r="H163" s="1" t="s">
        <v>576</v>
      </c>
      <c r="I163" s="7" t="b">
        <f t="shared" si="3"/>
        <v>1</v>
      </c>
    </row>
    <row r="164">
      <c r="A164" s="3" t="s">
        <v>577</v>
      </c>
      <c r="B164" s="3" t="s">
        <v>48</v>
      </c>
      <c r="C164" s="7" t="str">
        <f t="shared" si="5"/>
        <v>InverseMeterAtomicMassUnitRelationship</v>
      </c>
      <c r="D164" s="1" t="s">
        <v>48</v>
      </c>
      <c r="E164" s="11" t="str">
        <f t="shared" si="2"/>
        <v>https://w3id.org/uom/u</v>
      </c>
      <c r="G164" s="3" t="s">
        <v>578</v>
      </c>
      <c r="H164" s="1" t="s">
        <v>579</v>
      </c>
      <c r="I164" s="7" t="b">
        <f t="shared" si="3"/>
        <v>1</v>
      </c>
    </row>
    <row r="165">
      <c r="A165" s="3" t="s">
        <v>580</v>
      </c>
      <c r="B165" s="3" t="s">
        <v>70</v>
      </c>
      <c r="C165" s="7" t="str">
        <f t="shared" si="5"/>
        <v>InverseMeterElectronVoltRelationship</v>
      </c>
      <c r="D165" s="1" t="s">
        <v>70</v>
      </c>
      <c r="E165" s="11" t="str">
        <f t="shared" si="2"/>
        <v>https://w3id.org/uom/eV</v>
      </c>
      <c r="G165" s="3" t="s">
        <v>581</v>
      </c>
      <c r="H165" s="1" t="s">
        <v>582</v>
      </c>
      <c r="I165" s="7" t="b">
        <f t="shared" si="3"/>
        <v>1</v>
      </c>
    </row>
    <row r="166">
      <c r="A166" s="3" t="s">
        <v>583</v>
      </c>
      <c r="B166" s="3" t="s">
        <v>74</v>
      </c>
      <c r="C166" s="7" t="str">
        <f t="shared" si="5"/>
        <v>InverseMeterHartreeRelationship</v>
      </c>
      <c r="D166" s="1" t="s">
        <v>75</v>
      </c>
      <c r="E166" s="3" t="str">
        <f t="shared" si="2"/>
        <v/>
      </c>
      <c r="G166" s="3" t="s">
        <v>584</v>
      </c>
      <c r="H166" s="1" t="s">
        <v>585</v>
      </c>
      <c r="I166" s="7" t="b">
        <f t="shared" si="3"/>
        <v>1</v>
      </c>
    </row>
    <row r="167">
      <c r="A167" s="3" t="s">
        <v>586</v>
      </c>
      <c r="B167" s="3" t="s">
        <v>79</v>
      </c>
      <c r="C167" s="7" t="str">
        <f t="shared" si="5"/>
        <v>InverseMeterHertzRelationship</v>
      </c>
      <c r="D167" s="1" t="s">
        <v>79</v>
      </c>
      <c r="E167" s="11" t="str">
        <f t="shared" si="2"/>
        <v>https://w3id.org/uom/Hz</v>
      </c>
      <c r="G167" s="3" t="s">
        <v>587</v>
      </c>
      <c r="H167" s="1" t="s">
        <v>588</v>
      </c>
      <c r="I167" s="7" t="b">
        <f t="shared" si="3"/>
        <v>1</v>
      </c>
    </row>
    <row r="168">
      <c r="A168" s="3" t="s">
        <v>589</v>
      </c>
      <c r="B168" s="3" t="s">
        <v>41</v>
      </c>
      <c r="C168" s="7" t="str">
        <f t="shared" si="5"/>
        <v>InverseMeterJouleRelationship</v>
      </c>
      <c r="D168" s="1" t="s">
        <v>41</v>
      </c>
      <c r="E168" s="11" t="str">
        <f t="shared" si="2"/>
        <v>https://w3id.org/uom/J</v>
      </c>
      <c r="G168" s="3" t="s">
        <v>590</v>
      </c>
      <c r="H168" s="1" t="s">
        <v>591</v>
      </c>
      <c r="I168" s="7" t="b">
        <f t="shared" si="3"/>
        <v>1</v>
      </c>
    </row>
    <row r="169">
      <c r="A169" s="3" t="s">
        <v>592</v>
      </c>
      <c r="B169" s="3" t="s">
        <v>91</v>
      </c>
      <c r="C169" s="7" t="str">
        <f t="shared" si="5"/>
        <v>InverseMeterKelvinRelationship</v>
      </c>
      <c r="D169" s="1" t="s">
        <v>91</v>
      </c>
      <c r="E169" s="11" t="str">
        <f t="shared" si="2"/>
        <v>https://w3id.org/uom/K</v>
      </c>
      <c r="G169" s="3" t="s">
        <v>593</v>
      </c>
      <c r="H169" s="1" t="s">
        <v>594</v>
      </c>
      <c r="I169" s="7" t="b">
        <f t="shared" si="3"/>
        <v>1</v>
      </c>
    </row>
    <row r="170">
      <c r="A170" s="3" t="s">
        <v>595</v>
      </c>
      <c r="B170" s="3" t="s">
        <v>38</v>
      </c>
      <c r="C170" s="7" t="str">
        <f t="shared" si="5"/>
        <v>InverseMeterKilogramRelationship</v>
      </c>
      <c r="D170" s="1" t="s">
        <v>38</v>
      </c>
      <c r="E170" s="11" t="str">
        <f t="shared" si="2"/>
        <v>https://w3id.org/uom/kg</v>
      </c>
      <c r="G170" s="3" t="s">
        <v>596</v>
      </c>
      <c r="H170" s="1" t="s">
        <v>597</v>
      </c>
      <c r="I170" s="7" t="b">
        <f t="shared" si="3"/>
        <v>1</v>
      </c>
    </row>
    <row r="171">
      <c r="A171" s="3" t="s">
        <v>598</v>
      </c>
      <c r="B171" s="3" t="s">
        <v>252</v>
      </c>
      <c r="C171" s="7" t="str">
        <f t="shared" si="5"/>
        <v>InverseOfConductanceQuantum</v>
      </c>
      <c r="D171" s="1" t="s">
        <v>253</v>
      </c>
      <c r="E171" s="11" t="str">
        <f t="shared" si="2"/>
        <v>https://w3id.org/uom/Ohm</v>
      </c>
      <c r="G171" s="3" t="s">
        <v>599</v>
      </c>
      <c r="H171" s="1" t="s">
        <v>600</v>
      </c>
      <c r="I171" s="7" t="b">
        <f t="shared" si="3"/>
        <v>1</v>
      </c>
    </row>
    <row r="172">
      <c r="A172" s="3" t="s">
        <v>601</v>
      </c>
      <c r="B172" s="3" t="s">
        <v>280</v>
      </c>
      <c r="C172" s="7" t="str">
        <f t="shared" si="5"/>
        <v>JosephsonConstant</v>
      </c>
      <c r="D172" s="1" t="s">
        <v>281</v>
      </c>
      <c r="E172" s="11" t="str">
        <f t="shared" si="2"/>
        <v>https://w3id.org/uom/Hz.V-1</v>
      </c>
      <c r="G172" s="3" t="s">
        <v>602</v>
      </c>
      <c r="H172" s="1" t="s">
        <v>603</v>
      </c>
      <c r="I172" s="7" t="b">
        <f t="shared" si="3"/>
        <v>1</v>
      </c>
    </row>
    <row r="173">
      <c r="A173" s="3" t="s">
        <v>604</v>
      </c>
      <c r="B173" s="3" t="s">
        <v>48</v>
      </c>
      <c r="C173" s="7" t="str">
        <f t="shared" si="5"/>
        <v>JouleAtomicMassUnitRelationship</v>
      </c>
      <c r="D173" s="1" t="s">
        <v>48</v>
      </c>
      <c r="E173" s="11" t="str">
        <f t="shared" si="2"/>
        <v>https://w3id.org/uom/u</v>
      </c>
      <c r="G173" s="3" t="s">
        <v>605</v>
      </c>
      <c r="H173" s="1" t="s">
        <v>606</v>
      </c>
      <c r="I173" s="7" t="b">
        <f t="shared" si="3"/>
        <v>1</v>
      </c>
    </row>
    <row r="174">
      <c r="A174" s="3" t="s">
        <v>607</v>
      </c>
      <c r="B174" s="3" t="s">
        <v>70</v>
      </c>
      <c r="C174" s="7" t="str">
        <f t="shared" si="5"/>
        <v>JouleElectronVoltRelationship</v>
      </c>
      <c r="D174" s="1" t="s">
        <v>70</v>
      </c>
      <c r="E174" s="11" t="str">
        <f t="shared" si="2"/>
        <v>https://w3id.org/uom/eV</v>
      </c>
      <c r="G174" s="3" t="s">
        <v>608</v>
      </c>
      <c r="H174" s="1" t="s">
        <v>609</v>
      </c>
      <c r="I174" s="7" t="b">
        <f t="shared" si="3"/>
        <v>1</v>
      </c>
    </row>
    <row r="175">
      <c r="A175" s="3" t="s">
        <v>610</v>
      </c>
      <c r="B175" s="3" t="s">
        <v>74</v>
      </c>
      <c r="C175" s="7" t="str">
        <f t="shared" si="5"/>
        <v>JouleHartreeRelationship</v>
      </c>
      <c r="D175" s="1" t="s">
        <v>75</v>
      </c>
      <c r="E175" s="3" t="str">
        <f t="shared" si="2"/>
        <v/>
      </c>
      <c r="G175" s="3" t="s">
        <v>611</v>
      </c>
      <c r="H175" s="1" t="s">
        <v>612</v>
      </c>
      <c r="I175" s="7" t="b">
        <f t="shared" si="3"/>
        <v>1</v>
      </c>
    </row>
    <row r="176">
      <c r="A176" s="3" t="s">
        <v>613</v>
      </c>
      <c r="B176" s="3" t="s">
        <v>79</v>
      </c>
      <c r="C176" s="7" t="str">
        <f t="shared" si="5"/>
        <v>JouleHertzRelationship</v>
      </c>
      <c r="D176" s="1" t="s">
        <v>79</v>
      </c>
      <c r="E176" s="11" t="str">
        <f t="shared" si="2"/>
        <v>https://w3id.org/uom/Hz</v>
      </c>
      <c r="G176" s="3" t="s">
        <v>614</v>
      </c>
      <c r="H176" s="1" t="s">
        <v>615</v>
      </c>
      <c r="I176" s="7" t="b">
        <f t="shared" si="3"/>
        <v>1</v>
      </c>
    </row>
    <row r="177">
      <c r="A177" s="3" t="s">
        <v>616</v>
      </c>
      <c r="B177" s="3" t="s">
        <v>83</v>
      </c>
      <c r="C177" s="7" t="str">
        <f t="shared" si="5"/>
        <v>JouleInverseMeterRelationship</v>
      </c>
      <c r="D177" s="1" t="s">
        <v>84</v>
      </c>
      <c r="E177" s="11" t="str">
        <f t="shared" si="2"/>
        <v>https://w3id.org/uom/m-1</v>
      </c>
      <c r="G177" s="3" t="s">
        <v>617</v>
      </c>
      <c r="H177" s="1" t="s">
        <v>618</v>
      </c>
      <c r="I177" s="7" t="b">
        <f t="shared" si="3"/>
        <v>1</v>
      </c>
    </row>
    <row r="178">
      <c r="A178" s="3" t="s">
        <v>619</v>
      </c>
      <c r="B178" s="3" t="s">
        <v>91</v>
      </c>
      <c r="C178" s="7" t="str">
        <f t="shared" si="5"/>
        <v>JouleKelvinRelationship</v>
      </c>
      <c r="D178" s="1" t="s">
        <v>91</v>
      </c>
      <c r="E178" s="11" t="str">
        <f t="shared" si="2"/>
        <v>https://w3id.org/uom/K</v>
      </c>
      <c r="G178" s="3" t="s">
        <v>620</v>
      </c>
      <c r="H178" s="1" t="s">
        <v>621</v>
      </c>
      <c r="I178" s="7" t="b">
        <f t="shared" si="3"/>
        <v>1</v>
      </c>
    </row>
    <row r="179">
      <c r="A179" s="3" t="s">
        <v>622</v>
      </c>
      <c r="B179" s="3" t="s">
        <v>38</v>
      </c>
      <c r="C179" s="7" t="str">
        <f t="shared" si="5"/>
        <v>JouleKilogramRelationship</v>
      </c>
      <c r="D179" s="1" t="s">
        <v>38</v>
      </c>
      <c r="E179" s="11" t="str">
        <f t="shared" si="2"/>
        <v>https://w3id.org/uom/kg</v>
      </c>
      <c r="G179" s="3" t="s">
        <v>623</v>
      </c>
      <c r="H179" s="1" t="s">
        <v>624</v>
      </c>
      <c r="I179" s="7" t="b">
        <f t="shared" si="3"/>
        <v>1</v>
      </c>
    </row>
    <row r="180">
      <c r="A180" s="3" t="s">
        <v>625</v>
      </c>
      <c r="B180" s="3" t="s">
        <v>48</v>
      </c>
      <c r="C180" s="7" t="str">
        <f t="shared" si="5"/>
        <v>KelvinAtomicMassUnitRelationship</v>
      </c>
      <c r="D180" s="1" t="s">
        <v>48</v>
      </c>
      <c r="E180" s="11" t="str">
        <f t="shared" si="2"/>
        <v>https://w3id.org/uom/u</v>
      </c>
      <c r="G180" s="3" t="s">
        <v>626</v>
      </c>
      <c r="H180" s="1" t="s">
        <v>627</v>
      </c>
      <c r="I180" s="7" t="b">
        <f t="shared" si="3"/>
        <v>1</v>
      </c>
    </row>
    <row r="181">
      <c r="A181" s="3" t="s">
        <v>628</v>
      </c>
      <c r="B181" s="3" t="s">
        <v>70</v>
      </c>
      <c r="C181" s="7" t="str">
        <f t="shared" si="5"/>
        <v>KelvinElectronVoltRelationship</v>
      </c>
      <c r="D181" s="1" t="s">
        <v>70</v>
      </c>
      <c r="E181" s="11" t="str">
        <f t="shared" si="2"/>
        <v>https://w3id.org/uom/eV</v>
      </c>
      <c r="G181" s="3" t="s">
        <v>629</v>
      </c>
      <c r="H181" s="1" t="s">
        <v>630</v>
      </c>
      <c r="I181" s="7" t="b">
        <f t="shared" si="3"/>
        <v>1</v>
      </c>
    </row>
    <row r="182">
      <c r="A182" s="3" t="s">
        <v>631</v>
      </c>
      <c r="B182" s="3" t="s">
        <v>74</v>
      </c>
      <c r="C182" s="7" t="str">
        <f t="shared" si="5"/>
        <v>KelvinHartreeRelationship</v>
      </c>
      <c r="D182" s="1" t="s">
        <v>75</v>
      </c>
      <c r="E182" s="3" t="str">
        <f t="shared" si="2"/>
        <v/>
      </c>
      <c r="G182" s="3" t="s">
        <v>632</v>
      </c>
      <c r="H182" s="1" t="s">
        <v>633</v>
      </c>
      <c r="I182" s="7" t="b">
        <f t="shared" si="3"/>
        <v>1</v>
      </c>
    </row>
    <row r="183">
      <c r="A183" s="3" t="s">
        <v>634</v>
      </c>
      <c r="B183" s="3" t="s">
        <v>79</v>
      </c>
      <c r="C183" s="7" t="str">
        <f t="shared" si="5"/>
        <v>KelvinHertzRelationship</v>
      </c>
      <c r="D183" s="1" t="s">
        <v>79</v>
      </c>
      <c r="E183" s="11" t="str">
        <f t="shared" si="2"/>
        <v>https://w3id.org/uom/Hz</v>
      </c>
      <c r="G183" s="3" t="s">
        <v>635</v>
      </c>
      <c r="H183" s="1" t="s">
        <v>636</v>
      </c>
      <c r="I183" s="7" t="b">
        <f t="shared" si="3"/>
        <v>1</v>
      </c>
    </row>
    <row r="184">
      <c r="A184" s="3" t="s">
        <v>637</v>
      </c>
      <c r="B184" s="3" t="s">
        <v>83</v>
      </c>
      <c r="C184" s="7" t="str">
        <f t="shared" si="5"/>
        <v>KelvinInverseMeterRelationship</v>
      </c>
      <c r="D184" s="1" t="s">
        <v>84</v>
      </c>
      <c r="E184" s="11" t="str">
        <f t="shared" si="2"/>
        <v>https://w3id.org/uom/m-1</v>
      </c>
      <c r="G184" s="3" t="s">
        <v>638</v>
      </c>
      <c r="H184" s="1" t="s">
        <v>639</v>
      </c>
      <c r="I184" s="7" t="b">
        <f t="shared" si="3"/>
        <v>1</v>
      </c>
    </row>
    <row r="185">
      <c r="A185" s="3" t="s">
        <v>640</v>
      </c>
      <c r="B185" s="3" t="s">
        <v>41</v>
      </c>
      <c r="C185" s="7" t="str">
        <f t="shared" si="5"/>
        <v>KelvinJouleRelationship</v>
      </c>
      <c r="D185" s="1" t="s">
        <v>41</v>
      </c>
      <c r="E185" s="11" t="str">
        <f t="shared" si="2"/>
        <v>https://w3id.org/uom/J</v>
      </c>
      <c r="G185" s="3" t="s">
        <v>641</v>
      </c>
      <c r="H185" s="1" t="s">
        <v>642</v>
      </c>
      <c r="I185" s="7" t="b">
        <f t="shared" si="3"/>
        <v>1</v>
      </c>
    </row>
    <row r="186">
      <c r="A186" s="3" t="s">
        <v>643</v>
      </c>
      <c r="B186" s="3" t="s">
        <v>38</v>
      </c>
      <c r="C186" s="7" t="str">
        <f t="shared" si="5"/>
        <v>KelvinKilogramRelationship</v>
      </c>
      <c r="D186" s="1" t="s">
        <v>38</v>
      </c>
      <c r="E186" s="11" t="str">
        <f t="shared" si="2"/>
        <v>https://w3id.org/uom/kg</v>
      </c>
      <c r="G186" s="3" t="s">
        <v>644</v>
      </c>
      <c r="H186" s="1" t="s">
        <v>645</v>
      </c>
      <c r="I186" s="7" t="b">
        <f t="shared" si="3"/>
        <v>1</v>
      </c>
    </row>
    <row r="187">
      <c r="A187" s="3" t="s">
        <v>646</v>
      </c>
      <c r="B187" s="3" t="s">
        <v>48</v>
      </c>
      <c r="C187" s="7" t="str">
        <f t="shared" si="5"/>
        <v>KilogramAtomicMassUnitRelationship</v>
      </c>
      <c r="D187" s="1" t="s">
        <v>48</v>
      </c>
      <c r="E187" s="11" t="str">
        <f t="shared" si="2"/>
        <v>https://w3id.org/uom/u</v>
      </c>
      <c r="G187" s="3" t="s">
        <v>647</v>
      </c>
      <c r="H187" s="1" t="s">
        <v>648</v>
      </c>
      <c r="I187" s="7" t="b">
        <f t="shared" si="3"/>
        <v>1</v>
      </c>
    </row>
    <row r="188">
      <c r="A188" s="3" t="s">
        <v>649</v>
      </c>
      <c r="B188" s="3" t="s">
        <v>70</v>
      </c>
      <c r="C188" s="7" t="str">
        <f t="shared" si="5"/>
        <v>KilogramElectronVoltRelationship</v>
      </c>
      <c r="D188" s="1" t="s">
        <v>70</v>
      </c>
      <c r="E188" s="11" t="str">
        <f t="shared" si="2"/>
        <v>https://w3id.org/uom/eV</v>
      </c>
      <c r="G188" s="3" t="s">
        <v>650</v>
      </c>
      <c r="H188" s="1" t="s">
        <v>651</v>
      </c>
      <c r="I188" s="7" t="b">
        <f t="shared" si="3"/>
        <v>1</v>
      </c>
    </row>
    <row r="189">
      <c r="A189" s="3" t="s">
        <v>652</v>
      </c>
      <c r="B189" s="3" t="s">
        <v>74</v>
      </c>
      <c r="C189" s="7" t="str">
        <f t="shared" si="5"/>
        <v>KilogramHartreeRelationship</v>
      </c>
      <c r="D189" s="1" t="s">
        <v>75</v>
      </c>
      <c r="E189" s="3" t="str">
        <f t="shared" si="2"/>
        <v/>
      </c>
      <c r="G189" s="3" t="s">
        <v>653</v>
      </c>
      <c r="H189" s="1" t="s">
        <v>654</v>
      </c>
      <c r="I189" s="7" t="b">
        <f t="shared" si="3"/>
        <v>1</v>
      </c>
    </row>
    <row r="190">
      <c r="A190" s="3" t="s">
        <v>655</v>
      </c>
      <c r="B190" s="3" t="s">
        <v>79</v>
      </c>
      <c r="C190" s="7" t="str">
        <f t="shared" si="5"/>
        <v>KilogramHertzRelationship</v>
      </c>
      <c r="D190" s="1" t="s">
        <v>79</v>
      </c>
      <c r="E190" s="11" t="str">
        <f t="shared" si="2"/>
        <v>https://w3id.org/uom/Hz</v>
      </c>
      <c r="G190" s="3" t="s">
        <v>656</v>
      </c>
      <c r="H190" s="1" t="s">
        <v>657</v>
      </c>
      <c r="I190" s="7" t="b">
        <f t="shared" si="3"/>
        <v>1</v>
      </c>
    </row>
    <row r="191">
      <c r="A191" s="3" t="s">
        <v>658</v>
      </c>
      <c r="B191" s="3" t="s">
        <v>83</v>
      </c>
      <c r="C191" s="7" t="str">
        <f t="shared" si="5"/>
        <v>KilogramInverseMeterRelationship</v>
      </c>
      <c r="D191" s="1" t="s">
        <v>84</v>
      </c>
      <c r="E191" s="11" t="str">
        <f t="shared" si="2"/>
        <v>https://w3id.org/uom/m-1</v>
      </c>
      <c r="G191" s="3" t="s">
        <v>659</v>
      </c>
      <c r="H191" s="1" t="s">
        <v>660</v>
      </c>
      <c r="I191" s="7" t="b">
        <f t="shared" si="3"/>
        <v>1</v>
      </c>
    </row>
    <row r="192">
      <c r="A192" s="3" t="s">
        <v>661</v>
      </c>
      <c r="B192" s="3" t="s">
        <v>41</v>
      </c>
      <c r="C192" s="7" t="str">
        <f t="shared" si="5"/>
        <v>KilogramJouleRelationship</v>
      </c>
      <c r="D192" s="1" t="s">
        <v>41</v>
      </c>
      <c r="E192" s="11" t="str">
        <f t="shared" si="2"/>
        <v>https://w3id.org/uom/J</v>
      </c>
      <c r="G192" s="3" t="s">
        <v>662</v>
      </c>
      <c r="H192" s="1" t="s">
        <v>663</v>
      </c>
      <c r="I192" s="7" t="b">
        <f t="shared" si="3"/>
        <v>1</v>
      </c>
    </row>
    <row r="193">
      <c r="A193" s="3" t="s">
        <v>664</v>
      </c>
      <c r="B193" s="3" t="s">
        <v>91</v>
      </c>
      <c r="C193" s="7" t="str">
        <f t="shared" si="5"/>
        <v>KilogramKelvinRelationship</v>
      </c>
      <c r="D193" s="1" t="s">
        <v>91</v>
      </c>
      <c r="E193" s="11" t="str">
        <f t="shared" si="2"/>
        <v>https://w3id.org/uom/K</v>
      </c>
      <c r="G193" s="3" t="s">
        <v>665</v>
      </c>
      <c r="H193" s="1" t="s">
        <v>666</v>
      </c>
      <c r="I193" s="7" t="b">
        <f t="shared" si="3"/>
        <v>1</v>
      </c>
    </row>
    <row r="194">
      <c r="A194" s="3" t="s">
        <v>667</v>
      </c>
      <c r="B194" s="3" t="s">
        <v>59</v>
      </c>
      <c r="C194" s="7" t="str">
        <f t="shared" si="5"/>
        <v>LatticeParameterOfSilicon</v>
      </c>
      <c r="D194" s="1" t="s">
        <v>59</v>
      </c>
      <c r="E194" s="11" t="str">
        <f t="shared" si="2"/>
        <v>https://w3id.org/uom/m</v>
      </c>
      <c r="G194" s="3" t="s">
        <v>668</v>
      </c>
      <c r="H194" s="1" t="s">
        <v>669</v>
      </c>
      <c r="I194" s="7" t="b">
        <f t="shared" si="3"/>
        <v>1</v>
      </c>
    </row>
    <row r="195">
      <c r="A195" s="3" t="s">
        <v>670</v>
      </c>
      <c r="B195" s="3" t="s">
        <v>59</v>
      </c>
      <c r="C195" s="7" t="str">
        <f t="shared" si="5"/>
        <v>LatticeSpacingOfSilicon</v>
      </c>
      <c r="D195" s="1" t="s">
        <v>59</v>
      </c>
      <c r="E195" s="11" t="str">
        <f t="shared" si="2"/>
        <v>https://w3id.org/uom/m</v>
      </c>
      <c r="G195" s="3" t="s">
        <v>671</v>
      </c>
      <c r="H195" s="1" t="s">
        <v>672</v>
      </c>
      <c r="I195" s="7" t="b">
        <f t="shared" si="3"/>
        <v>1</v>
      </c>
    </row>
    <row r="196">
      <c r="A196" s="3" t="s">
        <v>673</v>
      </c>
      <c r="B196" s="3" t="s">
        <v>674</v>
      </c>
      <c r="C196" s="1" t="s">
        <v>675</v>
      </c>
      <c r="D196" s="1" t="s">
        <v>676</v>
      </c>
      <c r="E196" s="11" t="str">
        <f t="shared" si="2"/>
        <v>https://w3id.org/uom/m-3</v>
      </c>
      <c r="F196" s="1"/>
      <c r="G196" s="1" t="s">
        <v>677</v>
      </c>
      <c r="I196" s="7" t="b">
        <f t="shared" si="3"/>
        <v>0</v>
      </c>
    </row>
    <row r="197">
      <c r="A197" s="3" t="s">
        <v>678</v>
      </c>
      <c r="B197" s="3" t="s">
        <v>674</v>
      </c>
      <c r="C197" s="1" t="s">
        <v>679</v>
      </c>
      <c r="D197" s="1" t="s">
        <v>676</v>
      </c>
      <c r="E197" s="11" t="str">
        <f t="shared" si="2"/>
        <v>https://w3id.org/uom/m-3</v>
      </c>
      <c r="F197" s="1"/>
      <c r="G197" s="1" t="s">
        <v>677</v>
      </c>
      <c r="I197" s="7" t="b">
        <f t="shared" si="3"/>
        <v>0</v>
      </c>
    </row>
    <row r="198">
      <c r="A198" s="3" t="s">
        <v>680</v>
      </c>
      <c r="B198" s="3" t="s">
        <v>681</v>
      </c>
      <c r="C198" s="7" t="str">
        <f t="shared" ref="C198:C205" si="6">if(isblank(H198),concatenate(substitute(proper(A198)," ","")),SUBSTITUTE(H198,"constant:",""))</f>
        <v>LuminousEfficacy</v>
      </c>
      <c r="D198" s="1" t="s">
        <v>682</v>
      </c>
      <c r="E198" s="11" t="str">
        <f t="shared" si="2"/>
        <v>https://w3id.org/uom/lm.W-1</v>
      </c>
      <c r="G198" s="3" t="s">
        <v>683</v>
      </c>
      <c r="I198" s="7" t="b">
        <f t="shared" si="3"/>
        <v>0</v>
      </c>
    </row>
    <row r="199">
      <c r="B199" s="3" t="s">
        <v>266</v>
      </c>
      <c r="C199" s="7" t="str">
        <f t="shared" si="6"/>
        <v>MagneticConstant</v>
      </c>
      <c r="D199" s="1"/>
      <c r="E199" s="3" t="str">
        <f t="shared" si="2"/>
        <v/>
      </c>
      <c r="G199" s="3" t="s">
        <v>684</v>
      </c>
      <c r="H199" s="1" t="s">
        <v>685</v>
      </c>
      <c r="I199" s="7" t="b">
        <f t="shared" si="3"/>
        <v>1</v>
      </c>
    </row>
    <row r="200">
      <c r="A200" s="3" t="s">
        <v>686</v>
      </c>
      <c r="B200" s="3" t="s">
        <v>687</v>
      </c>
      <c r="C200" s="7" t="str">
        <f t="shared" si="6"/>
        <v>MagneticFluxQuantum</v>
      </c>
      <c r="D200" s="1" t="s">
        <v>687</v>
      </c>
      <c r="E200" s="11" t="str">
        <f t="shared" si="2"/>
        <v>https://w3id.org/uom/Wb</v>
      </c>
      <c r="G200" s="3" t="s">
        <v>688</v>
      </c>
      <c r="H200" s="1" t="s">
        <v>689</v>
      </c>
      <c r="I200" s="7" t="b">
        <f t="shared" si="3"/>
        <v>1</v>
      </c>
    </row>
    <row r="201">
      <c r="A201" s="3" t="s">
        <v>690</v>
      </c>
      <c r="B201" s="3" t="s">
        <v>691</v>
      </c>
      <c r="C201" s="7" t="str">
        <f t="shared" si="6"/>
        <v>MolarGasConstant</v>
      </c>
      <c r="D201" s="1" t="s">
        <v>692</v>
      </c>
      <c r="E201" s="11" t="str">
        <f t="shared" si="2"/>
        <v>https://w3id.org/uom/J.mol-1.K-1</v>
      </c>
      <c r="G201" s="3" t="s">
        <v>693</v>
      </c>
      <c r="H201" s="1" t="s">
        <v>694</v>
      </c>
      <c r="I201" s="7" t="b">
        <f t="shared" si="3"/>
        <v>1</v>
      </c>
    </row>
    <row r="202">
      <c r="A202" s="3" t="s">
        <v>695</v>
      </c>
      <c r="B202" s="3" t="s">
        <v>51</v>
      </c>
      <c r="C202" s="7" t="str">
        <f t="shared" si="6"/>
        <v>MolarMassConstant</v>
      </c>
      <c r="D202" s="1" t="s">
        <v>327</v>
      </c>
      <c r="E202" s="11" t="str">
        <f t="shared" si="2"/>
        <v>https://w3id.org/uom/kg.mol-1</v>
      </c>
      <c r="G202" s="3" t="s">
        <v>696</v>
      </c>
      <c r="H202" s="1" t="s">
        <v>697</v>
      </c>
      <c r="I202" s="7" t="b">
        <f t="shared" si="3"/>
        <v>1</v>
      </c>
    </row>
    <row r="203">
      <c r="A203" s="3" t="s">
        <v>698</v>
      </c>
      <c r="B203" s="3" t="s">
        <v>51</v>
      </c>
      <c r="C203" s="7" t="str">
        <f t="shared" si="6"/>
        <v>MolarMassOfCarbon12</v>
      </c>
      <c r="D203" s="1" t="s">
        <v>327</v>
      </c>
      <c r="E203" s="11" t="str">
        <f t="shared" si="2"/>
        <v>https://w3id.org/uom/kg.mol-1</v>
      </c>
      <c r="G203" s="3" t="s">
        <v>699</v>
      </c>
      <c r="H203" s="1" t="s">
        <v>700</v>
      </c>
      <c r="I203" s="7" t="b">
        <f t="shared" si="3"/>
        <v>1</v>
      </c>
    </row>
    <row r="204">
      <c r="A204" s="3" t="s">
        <v>701</v>
      </c>
      <c r="B204" s="3" t="s">
        <v>702</v>
      </c>
      <c r="C204" s="7" t="str">
        <f t="shared" si="6"/>
        <v>MolarPlanckConstant</v>
      </c>
      <c r="D204" s="1" t="s">
        <v>703</v>
      </c>
      <c r="E204" s="11" t="str">
        <f t="shared" si="2"/>
        <v>https://w3id.org/uom/J.Hz-1.mol-1</v>
      </c>
      <c r="G204" s="3" t="s">
        <v>704</v>
      </c>
      <c r="H204" s="1" t="s">
        <v>705</v>
      </c>
      <c r="I204" s="7" t="b">
        <f t="shared" si="3"/>
        <v>1</v>
      </c>
    </row>
    <row r="205">
      <c r="B205" s="3" t="s">
        <v>266</v>
      </c>
      <c r="C205" s="7" t="str">
        <f t="shared" si="6"/>
        <v>MolarPlanckConstantTimesC</v>
      </c>
      <c r="D205" s="1"/>
      <c r="E205" s="3" t="str">
        <f t="shared" si="2"/>
        <v/>
      </c>
      <c r="G205" s="3" t="s">
        <v>706</v>
      </c>
      <c r="H205" s="1" t="s">
        <v>707</v>
      </c>
      <c r="I205" s="7" t="b">
        <f t="shared" si="3"/>
        <v>1</v>
      </c>
    </row>
    <row r="206">
      <c r="A206" s="3" t="s">
        <v>708</v>
      </c>
      <c r="B206" s="3" t="s">
        <v>709</v>
      </c>
      <c r="C206" s="1" t="s">
        <v>710</v>
      </c>
      <c r="D206" s="1" t="s">
        <v>711</v>
      </c>
      <c r="E206" s="11" t="str">
        <f t="shared" si="2"/>
        <v>https://w3id.org/uom/m^3.mol-1</v>
      </c>
      <c r="F206" s="1"/>
      <c r="G206" s="1" t="s">
        <v>712</v>
      </c>
      <c r="I206" s="7" t="b">
        <f t="shared" si="3"/>
        <v>0</v>
      </c>
    </row>
    <row r="207">
      <c r="A207" s="3" t="s">
        <v>713</v>
      </c>
      <c r="B207" s="3" t="s">
        <v>709</v>
      </c>
      <c r="C207" s="1" t="s">
        <v>714</v>
      </c>
      <c r="D207" s="1" t="s">
        <v>711</v>
      </c>
      <c r="E207" s="11" t="str">
        <f t="shared" si="2"/>
        <v>https://w3id.org/uom/m^3.mol-1</v>
      </c>
      <c r="F207" s="1"/>
      <c r="G207" s="1" t="s">
        <v>712</v>
      </c>
      <c r="I207" s="7" t="b">
        <f t="shared" si="3"/>
        <v>0</v>
      </c>
    </row>
    <row r="208">
      <c r="A208" s="3" t="s">
        <v>715</v>
      </c>
      <c r="B208" s="3" t="s">
        <v>709</v>
      </c>
      <c r="C208" s="7" t="str">
        <f t="shared" ref="C208:C244" si="7">if(isblank(H208),concatenate(substitute(proper(A208)," ","")),SUBSTITUTE(H208,"constant:",""))</f>
        <v>MolarVolumeOfSilicon</v>
      </c>
      <c r="D208" s="1" t="s">
        <v>711</v>
      </c>
      <c r="E208" s="11" t="str">
        <f t="shared" si="2"/>
        <v>https://w3id.org/uom/m^3.mol-1</v>
      </c>
      <c r="G208" s="3" t="s">
        <v>716</v>
      </c>
      <c r="H208" s="1" t="s">
        <v>717</v>
      </c>
      <c r="I208" s="7" t="b">
        <f t="shared" si="3"/>
        <v>1</v>
      </c>
    </row>
    <row r="209">
      <c r="A209" s="3" t="s">
        <v>718</v>
      </c>
      <c r="B209" s="3" t="s">
        <v>59</v>
      </c>
      <c r="C209" s="7" t="str">
        <f t="shared" si="7"/>
        <v>MolybdenumXUnit</v>
      </c>
      <c r="D209" s="1" t="s">
        <v>59</v>
      </c>
      <c r="E209" s="11" t="str">
        <f t="shared" si="2"/>
        <v>https://w3id.org/uom/m</v>
      </c>
      <c r="G209" s="3" t="s">
        <v>719</v>
      </c>
      <c r="I209" s="7" t="b">
        <f t="shared" si="3"/>
        <v>0</v>
      </c>
    </row>
    <row r="210">
      <c r="B210" s="3" t="s">
        <v>266</v>
      </c>
      <c r="C210" s="7" t="str">
        <f t="shared" si="7"/>
        <v>MoXUnit</v>
      </c>
      <c r="D210" s="1"/>
      <c r="E210" s="3" t="str">
        <f t="shared" si="2"/>
        <v/>
      </c>
      <c r="G210" s="3" t="s">
        <v>720</v>
      </c>
      <c r="H210" s="1" t="s">
        <v>721</v>
      </c>
      <c r="I210" s="7" t="b">
        <f t="shared" si="3"/>
        <v>1</v>
      </c>
    </row>
    <row r="211">
      <c r="A211" s="3" t="s">
        <v>722</v>
      </c>
      <c r="B211" s="3" t="s">
        <v>59</v>
      </c>
      <c r="C211" s="7" t="str">
        <f t="shared" si="7"/>
        <v>MuonComptonWavelength</v>
      </c>
      <c r="D211" s="1" t="s">
        <v>59</v>
      </c>
      <c r="E211" s="11" t="str">
        <f t="shared" si="2"/>
        <v>https://w3id.org/uom/m</v>
      </c>
      <c r="G211" s="3" t="s">
        <v>723</v>
      </c>
      <c r="H211" s="1" t="s">
        <v>724</v>
      </c>
      <c r="I211" s="7" t="b">
        <f t="shared" si="3"/>
        <v>1</v>
      </c>
    </row>
    <row r="212">
      <c r="B212" s="3" t="s">
        <v>266</v>
      </c>
      <c r="C212" s="7" t="str">
        <f t="shared" si="7"/>
        <v>MuonComptonWavelengthOver2Pi</v>
      </c>
      <c r="D212" s="1"/>
      <c r="E212" s="3" t="str">
        <f t="shared" si="2"/>
        <v/>
      </c>
      <c r="F212" s="1"/>
      <c r="G212" s="1" t="s">
        <v>723</v>
      </c>
      <c r="H212" s="1" t="s">
        <v>725</v>
      </c>
      <c r="I212" s="7" t="b">
        <f t="shared" si="3"/>
        <v>1</v>
      </c>
    </row>
    <row r="213">
      <c r="A213" s="3" t="s">
        <v>726</v>
      </c>
      <c r="C213" s="7" t="str">
        <f t="shared" si="7"/>
        <v>MuonElectronMassRatio</v>
      </c>
      <c r="D213" s="1"/>
      <c r="E213" s="3" t="str">
        <f t="shared" si="2"/>
        <v/>
      </c>
      <c r="G213" s="3" t="s">
        <v>727</v>
      </c>
      <c r="H213" s="1" t="s">
        <v>728</v>
      </c>
      <c r="I213" s="7" t="b">
        <f t="shared" si="3"/>
        <v>1</v>
      </c>
    </row>
    <row r="214">
      <c r="A214" s="3" t="s">
        <v>729</v>
      </c>
      <c r="C214" s="7" t="str">
        <f t="shared" si="7"/>
        <v>MuonGFactor</v>
      </c>
      <c r="D214" s="1"/>
      <c r="E214" s="3" t="str">
        <f t="shared" si="2"/>
        <v/>
      </c>
      <c r="G214" s="3" t="s">
        <v>730</v>
      </c>
      <c r="H214" s="1" t="s">
        <v>731</v>
      </c>
      <c r="I214" s="7" t="b">
        <f t="shared" si="3"/>
        <v>1</v>
      </c>
    </row>
    <row r="215">
      <c r="A215" s="3" t="s">
        <v>732</v>
      </c>
      <c r="B215" s="3" t="s">
        <v>165</v>
      </c>
      <c r="C215" s="7" t="str">
        <f t="shared" si="7"/>
        <v>MuonMagneticMoment</v>
      </c>
      <c r="D215" s="1" t="s">
        <v>166</v>
      </c>
      <c r="E215" s="11" t="str">
        <f t="shared" si="2"/>
        <v>https://w3id.org/uom/J.T-1</v>
      </c>
      <c r="G215" s="3" t="s">
        <v>733</v>
      </c>
      <c r="H215" s="1" t="s">
        <v>734</v>
      </c>
      <c r="I215" s="7" t="b">
        <f t="shared" si="3"/>
        <v>1</v>
      </c>
    </row>
    <row r="216">
      <c r="A216" s="3" t="s">
        <v>735</v>
      </c>
      <c r="C216" s="7" t="str">
        <f t="shared" si="7"/>
        <v>MuonMagneticMomentAnomaly</v>
      </c>
      <c r="D216" s="1"/>
      <c r="E216" s="3" t="str">
        <f t="shared" si="2"/>
        <v/>
      </c>
      <c r="G216" s="3" t="s">
        <v>736</v>
      </c>
      <c r="H216" s="1" t="s">
        <v>737</v>
      </c>
      <c r="I216" s="7" t="b">
        <f t="shared" si="3"/>
        <v>1</v>
      </c>
    </row>
    <row r="217">
      <c r="A217" s="3" t="s">
        <v>738</v>
      </c>
      <c r="C217" s="7" t="str">
        <f t="shared" si="7"/>
        <v>MuonMagneticMomentToBohrMagnetonRatio</v>
      </c>
      <c r="D217" s="1"/>
      <c r="E217" s="3" t="str">
        <f t="shared" si="2"/>
        <v/>
      </c>
      <c r="G217" s="3" t="s">
        <v>739</v>
      </c>
      <c r="H217" s="1" t="s">
        <v>740</v>
      </c>
      <c r="I217" s="7" t="b">
        <f t="shared" si="3"/>
        <v>1</v>
      </c>
    </row>
    <row r="218">
      <c r="A218" s="3" t="s">
        <v>741</v>
      </c>
      <c r="C218" s="7" t="str">
        <f t="shared" si="7"/>
        <v>MuonMagneticMomentToNuclearMagnetonRatio</v>
      </c>
      <c r="D218" s="1"/>
      <c r="E218" s="3" t="str">
        <f t="shared" si="2"/>
        <v/>
      </c>
      <c r="G218" s="3" t="s">
        <v>742</v>
      </c>
      <c r="H218" s="1" t="s">
        <v>743</v>
      </c>
      <c r="I218" s="7" t="b">
        <f t="shared" si="3"/>
        <v>1</v>
      </c>
    </row>
    <row r="219">
      <c r="A219" s="3" t="s">
        <v>744</v>
      </c>
      <c r="B219" s="3" t="s">
        <v>38</v>
      </c>
      <c r="C219" s="7" t="str">
        <f t="shared" si="7"/>
        <v>MuonMass</v>
      </c>
      <c r="D219" s="1" t="s">
        <v>38</v>
      </c>
      <c r="E219" s="11" t="str">
        <f t="shared" si="2"/>
        <v>https://w3id.org/uom/kg</v>
      </c>
      <c r="G219" s="3" t="s">
        <v>745</v>
      </c>
      <c r="H219" s="1" t="s">
        <v>746</v>
      </c>
      <c r="I219" s="7" t="b">
        <f t="shared" si="3"/>
        <v>1</v>
      </c>
    </row>
    <row r="220">
      <c r="A220" s="3" t="s">
        <v>747</v>
      </c>
      <c r="B220" s="3" t="s">
        <v>41</v>
      </c>
      <c r="C220" s="7" t="str">
        <f t="shared" si="7"/>
        <v>MuonMassEnergyEquivalent</v>
      </c>
      <c r="D220" s="1" t="s">
        <v>41</v>
      </c>
      <c r="E220" s="11" t="str">
        <f t="shared" si="2"/>
        <v>https://w3id.org/uom/J</v>
      </c>
      <c r="G220" s="3" t="s">
        <v>748</v>
      </c>
      <c r="H220" s="1" t="s">
        <v>749</v>
      </c>
      <c r="I220" s="7" t="b">
        <f t="shared" si="3"/>
        <v>1</v>
      </c>
    </row>
    <row r="221">
      <c r="A221" s="3" t="s">
        <v>750</v>
      </c>
      <c r="B221" s="3" t="s">
        <v>45</v>
      </c>
      <c r="C221" s="7" t="str">
        <f t="shared" si="7"/>
        <v>MuonMassEnergyEquivalentInMeV</v>
      </c>
      <c r="D221" s="1" t="s">
        <v>45</v>
      </c>
      <c r="E221" s="11" t="str">
        <f t="shared" si="2"/>
        <v>https://w3id.org/uom/MeV</v>
      </c>
      <c r="F221" s="1"/>
      <c r="G221" s="1" t="s">
        <v>748</v>
      </c>
      <c r="H221" s="1" t="s">
        <v>751</v>
      </c>
      <c r="I221" s="7" t="b">
        <f t="shared" si="3"/>
        <v>1</v>
      </c>
    </row>
    <row r="222">
      <c r="A222" s="3" t="s">
        <v>752</v>
      </c>
      <c r="B222" s="3" t="s">
        <v>48</v>
      </c>
      <c r="C222" s="7" t="str">
        <f t="shared" si="7"/>
        <v>MuonMassInAtomicMassUnit</v>
      </c>
      <c r="D222" s="1" t="s">
        <v>48</v>
      </c>
      <c r="E222" s="11" t="str">
        <f t="shared" si="2"/>
        <v>https://w3id.org/uom/u</v>
      </c>
      <c r="G222" s="3" t="s">
        <v>753</v>
      </c>
      <c r="H222" s="1" t="s">
        <v>754</v>
      </c>
      <c r="I222" s="7" t="b">
        <f t="shared" si="3"/>
        <v>1</v>
      </c>
    </row>
    <row r="223">
      <c r="A223" s="3" t="s">
        <v>755</v>
      </c>
      <c r="B223" s="3" t="s">
        <v>51</v>
      </c>
      <c r="C223" s="7" t="str">
        <f t="shared" si="7"/>
        <v>MuonMolarMass</v>
      </c>
      <c r="D223" s="1" t="s">
        <v>327</v>
      </c>
      <c r="E223" s="11" t="str">
        <f t="shared" si="2"/>
        <v>https://w3id.org/uom/kg.mol-1</v>
      </c>
      <c r="G223" s="3" t="s">
        <v>756</v>
      </c>
      <c r="H223" s="1" t="s">
        <v>757</v>
      </c>
      <c r="I223" s="7" t="b">
        <f t="shared" si="3"/>
        <v>1</v>
      </c>
    </row>
    <row r="224">
      <c r="A224" s="3" t="s">
        <v>758</v>
      </c>
      <c r="C224" s="7" t="str">
        <f t="shared" si="7"/>
        <v>MuonNeutronMassRatio</v>
      </c>
      <c r="D224" s="1"/>
      <c r="E224" s="3" t="str">
        <f t="shared" si="2"/>
        <v/>
      </c>
      <c r="G224" s="3" t="s">
        <v>759</v>
      </c>
      <c r="H224" s="1" t="s">
        <v>760</v>
      </c>
      <c r="I224" s="7" t="b">
        <f t="shared" si="3"/>
        <v>1</v>
      </c>
    </row>
    <row r="225">
      <c r="A225" s="3" t="s">
        <v>761</v>
      </c>
      <c r="C225" s="7" t="str">
        <f t="shared" si="7"/>
        <v>MuonProtonMagneticMomentRatio</v>
      </c>
      <c r="D225" s="1"/>
      <c r="E225" s="3" t="str">
        <f t="shared" si="2"/>
        <v/>
      </c>
      <c r="G225" s="3" t="s">
        <v>762</v>
      </c>
      <c r="H225" s="1" t="s">
        <v>763</v>
      </c>
      <c r="I225" s="7" t="b">
        <f t="shared" si="3"/>
        <v>1</v>
      </c>
    </row>
    <row r="226">
      <c r="A226" s="3" t="s">
        <v>764</v>
      </c>
      <c r="C226" s="7" t="str">
        <f t="shared" si="7"/>
        <v>MuonProtonMassRatio</v>
      </c>
      <c r="D226" s="1"/>
      <c r="E226" s="3" t="str">
        <f t="shared" si="2"/>
        <v/>
      </c>
      <c r="G226" s="3" t="s">
        <v>765</v>
      </c>
      <c r="H226" s="1" t="s">
        <v>766</v>
      </c>
      <c r="I226" s="7" t="b">
        <f t="shared" si="3"/>
        <v>1</v>
      </c>
    </row>
    <row r="227">
      <c r="A227" s="3" t="s">
        <v>767</v>
      </c>
      <c r="C227" s="7" t="str">
        <f t="shared" si="7"/>
        <v>MuonTauMassRatio</v>
      </c>
      <c r="D227" s="1"/>
      <c r="E227" s="3" t="str">
        <f t="shared" si="2"/>
        <v/>
      </c>
      <c r="G227" s="3" t="s">
        <v>768</v>
      </c>
      <c r="H227" s="1" t="s">
        <v>769</v>
      </c>
      <c r="I227" s="7" t="b">
        <f t="shared" si="3"/>
        <v>1</v>
      </c>
    </row>
    <row r="228">
      <c r="A228" s="3" t="s">
        <v>770</v>
      </c>
      <c r="B228" s="3" t="s">
        <v>108</v>
      </c>
      <c r="C228" s="7" t="str">
        <f t="shared" si="7"/>
        <v>NaturalUnitOfAction</v>
      </c>
      <c r="D228" s="1" t="s">
        <v>109</v>
      </c>
      <c r="E228" s="11" t="str">
        <f t="shared" si="2"/>
        <v>https://w3id.org/uom/J.s</v>
      </c>
      <c r="G228" s="3" t="s">
        <v>771</v>
      </c>
      <c r="H228" s="1" t="s">
        <v>772</v>
      </c>
      <c r="I228" s="7" t="b">
        <f t="shared" si="3"/>
        <v>1</v>
      </c>
    </row>
    <row r="229">
      <c r="A229" s="3" t="s">
        <v>773</v>
      </c>
      <c r="B229" s="3" t="s">
        <v>774</v>
      </c>
      <c r="C229" s="7" t="str">
        <f t="shared" si="7"/>
        <v>NaturalUnitOfActionInEVS</v>
      </c>
      <c r="D229" s="1" t="s">
        <v>775</v>
      </c>
      <c r="E229" s="11" t="str">
        <f t="shared" si="2"/>
        <v>https://w3id.org/uom/eV.s</v>
      </c>
      <c r="F229" s="1"/>
      <c r="G229" s="1" t="s">
        <v>771</v>
      </c>
      <c r="H229" s="1" t="s">
        <v>776</v>
      </c>
      <c r="I229" s="7" t="b">
        <f t="shared" si="3"/>
        <v>1</v>
      </c>
    </row>
    <row r="230">
      <c r="A230" s="3" t="s">
        <v>777</v>
      </c>
      <c r="B230" s="3" t="s">
        <v>41</v>
      </c>
      <c r="C230" s="7" t="str">
        <f t="shared" si="7"/>
        <v>NaturalUnitOfEnergy</v>
      </c>
      <c r="D230" s="1" t="s">
        <v>109</v>
      </c>
      <c r="E230" s="11" t="str">
        <f t="shared" si="2"/>
        <v>https://w3id.org/uom/J.s</v>
      </c>
      <c r="G230" s="3" t="s">
        <v>778</v>
      </c>
      <c r="H230" s="1" t="s">
        <v>779</v>
      </c>
      <c r="I230" s="7" t="b">
        <f t="shared" si="3"/>
        <v>1</v>
      </c>
    </row>
    <row r="231">
      <c r="A231" s="3" t="s">
        <v>780</v>
      </c>
      <c r="B231" s="3" t="s">
        <v>45</v>
      </c>
      <c r="C231" s="7" t="str">
        <f t="shared" si="7"/>
        <v>NaturalUnitOfEnergyInMeV</v>
      </c>
      <c r="D231" s="1" t="s">
        <v>45</v>
      </c>
      <c r="E231" s="11" t="str">
        <f t="shared" si="2"/>
        <v>https://w3id.org/uom/MeV</v>
      </c>
      <c r="F231" s="1"/>
      <c r="G231" s="1" t="s">
        <v>778</v>
      </c>
      <c r="H231" s="1" t="s">
        <v>781</v>
      </c>
      <c r="I231" s="7" t="b">
        <f t="shared" si="3"/>
        <v>1</v>
      </c>
    </row>
    <row r="232">
      <c r="A232" s="3" t="s">
        <v>782</v>
      </c>
      <c r="B232" s="3" t="s">
        <v>59</v>
      </c>
      <c r="C232" s="7" t="str">
        <f t="shared" si="7"/>
        <v>NaturalUnitOfLength</v>
      </c>
      <c r="D232" s="1" t="s">
        <v>45</v>
      </c>
      <c r="E232" s="11" t="str">
        <f t="shared" si="2"/>
        <v>https://w3id.org/uom/MeV</v>
      </c>
      <c r="G232" s="3" t="s">
        <v>783</v>
      </c>
      <c r="H232" s="1" t="s">
        <v>784</v>
      </c>
      <c r="I232" s="7" t="b">
        <f t="shared" si="3"/>
        <v>1</v>
      </c>
    </row>
    <row r="233">
      <c r="A233" s="3" t="s">
        <v>785</v>
      </c>
      <c r="B233" s="3" t="s">
        <v>38</v>
      </c>
      <c r="C233" s="7" t="str">
        <f t="shared" si="7"/>
        <v>NaturalUnitOfMass</v>
      </c>
      <c r="D233" s="1" t="s">
        <v>38</v>
      </c>
      <c r="E233" s="11" t="str">
        <f t="shared" si="2"/>
        <v>https://w3id.org/uom/kg</v>
      </c>
      <c r="G233" s="3" t="s">
        <v>786</v>
      </c>
      <c r="H233" s="1" t="s">
        <v>787</v>
      </c>
      <c r="I233" s="7" t="b">
        <f t="shared" si="3"/>
        <v>1</v>
      </c>
    </row>
    <row r="234">
      <c r="A234" s="3" t="s">
        <v>788</v>
      </c>
      <c r="B234" s="3" t="s">
        <v>182</v>
      </c>
      <c r="C234" s="7" t="str">
        <f t="shared" si="7"/>
        <v>NaturalUnitOfMomentum</v>
      </c>
      <c r="D234" s="1" t="s">
        <v>183</v>
      </c>
      <c r="E234" s="11" t="str">
        <f t="shared" si="2"/>
        <v>https://w3id.org/uom/kg.m.s-1</v>
      </c>
      <c r="G234" s="3" t="s">
        <v>789</v>
      </c>
      <c r="H234" s="1" t="s">
        <v>790</v>
      </c>
      <c r="I234" s="7" t="b">
        <f t="shared" si="3"/>
        <v>1</v>
      </c>
    </row>
    <row r="235">
      <c r="A235" s="3" t="s">
        <v>791</v>
      </c>
      <c r="B235" s="3" t="s">
        <v>792</v>
      </c>
      <c r="C235" s="7" t="str">
        <f t="shared" si="7"/>
        <v>NaturalUnitOfMomentumInMeV-PER-c</v>
      </c>
      <c r="D235" s="1" t="s">
        <v>793</v>
      </c>
      <c r="E235" s="11" t="str">
        <f t="shared" si="2"/>
        <v>https://w3id.org/uom/MeV.[c]-1</v>
      </c>
      <c r="F235" s="1"/>
      <c r="G235" s="1" t="s">
        <v>789</v>
      </c>
      <c r="H235" s="1" t="s">
        <v>794</v>
      </c>
      <c r="I235" s="7" t="b">
        <f t="shared" si="3"/>
        <v>1</v>
      </c>
    </row>
    <row r="236">
      <c r="A236" s="3" t="s">
        <v>795</v>
      </c>
      <c r="B236" s="3" t="s">
        <v>192</v>
      </c>
      <c r="C236" s="7" t="str">
        <f t="shared" si="7"/>
        <v>NaturalUnitOfTime</v>
      </c>
      <c r="D236" s="1" t="s">
        <v>192</v>
      </c>
      <c r="E236" s="11" t="str">
        <f t="shared" si="2"/>
        <v>https://w3id.org/uom/s</v>
      </c>
      <c r="G236" s="3" t="s">
        <v>796</v>
      </c>
      <c r="H236" s="1" t="s">
        <v>797</v>
      </c>
      <c r="I236" s="7" t="b">
        <f t="shared" si="3"/>
        <v>1</v>
      </c>
    </row>
    <row r="237">
      <c r="A237" s="3" t="s">
        <v>798</v>
      </c>
      <c r="B237" s="3" t="s">
        <v>196</v>
      </c>
      <c r="C237" s="7" t="str">
        <f t="shared" si="7"/>
        <v>NaturalUnitOfVelocity</v>
      </c>
      <c r="D237" s="1" t="s">
        <v>197</v>
      </c>
      <c r="E237" s="11" t="str">
        <f t="shared" si="2"/>
        <v>https://w3id.org/uom/m.s-1</v>
      </c>
      <c r="G237" s="3" t="s">
        <v>799</v>
      </c>
      <c r="H237" s="1" t="s">
        <v>800</v>
      </c>
      <c r="I237" s="7" t="b">
        <f t="shared" si="3"/>
        <v>1</v>
      </c>
    </row>
    <row r="238">
      <c r="A238" s="3" t="s">
        <v>801</v>
      </c>
      <c r="B238" s="3" t="s">
        <v>59</v>
      </c>
      <c r="C238" s="7" t="str">
        <f t="shared" si="7"/>
        <v>NeutronComptonWavelength</v>
      </c>
      <c r="D238" s="1" t="s">
        <v>59</v>
      </c>
      <c r="E238" s="11" t="str">
        <f t="shared" si="2"/>
        <v>https://w3id.org/uom/m</v>
      </c>
      <c r="G238" s="3" t="s">
        <v>802</v>
      </c>
      <c r="H238" s="1" t="s">
        <v>803</v>
      </c>
      <c r="I238" s="7" t="b">
        <f t="shared" si="3"/>
        <v>1</v>
      </c>
    </row>
    <row r="239">
      <c r="B239" s="3" t="s">
        <v>266</v>
      </c>
      <c r="C239" s="7" t="str">
        <f t="shared" si="7"/>
        <v>NeutronComptonWavelengthOver2Pi</v>
      </c>
      <c r="D239" s="1"/>
      <c r="E239" s="3" t="str">
        <f t="shared" si="2"/>
        <v/>
      </c>
      <c r="F239" s="1"/>
      <c r="G239" s="1" t="s">
        <v>802</v>
      </c>
      <c r="H239" s="1" t="s">
        <v>804</v>
      </c>
      <c r="I239" s="7" t="b">
        <f t="shared" si="3"/>
        <v>1</v>
      </c>
    </row>
    <row r="240">
      <c r="A240" s="3" t="s">
        <v>805</v>
      </c>
      <c r="C240" s="7" t="str">
        <f t="shared" si="7"/>
        <v>NeutronElectronMagneticMomentRatio</v>
      </c>
      <c r="D240" s="1"/>
      <c r="E240" s="3" t="str">
        <f t="shared" si="2"/>
        <v/>
      </c>
      <c r="G240" s="3" t="s">
        <v>806</v>
      </c>
      <c r="H240" s="1" t="s">
        <v>807</v>
      </c>
      <c r="I240" s="7" t="b">
        <f t="shared" si="3"/>
        <v>1</v>
      </c>
    </row>
    <row r="241">
      <c r="A241" s="3" t="s">
        <v>808</v>
      </c>
      <c r="C241" s="7" t="str">
        <f t="shared" si="7"/>
        <v>NeutronElectronMassRatio</v>
      </c>
      <c r="D241" s="1"/>
      <c r="E241" s="3" t="str">
        <f t="shared" si="2"/>
        <v/>
      </c>
      <c r="G241" s="3" t="s">
        <v>809</v>
      </c>
      <c r="H241" s="1" t="s">
        <v>810</v>
      </c>
      <c r="I241" s="7" t="b">
        <f t="shared" si="3"/>
        <v>1</v>
      </c>
    </row>
    <row r="242">
      <c r="A242" s="3" t="s">
        <v>811</v>
      </c>
      <c r="C242" s="7" t="str">
        <f t="shared" si="7"/>
        <v>NeutronGFactor</v>
      </c>
      <c r="D242" s="1"/>
      <c r="E242" s="3" t="str">
        <f t="shared" si="2"/>
        <v/>
      </c>
      <c r="G242" s="3" t="s">
        <v>812</v>
      </c>
      <c r="H242" s="1" t="s">
        <v>813</v>
      </c>
      <c r="I242" s="7" t="b">
        <f t="shared" si="3"/>
        <v>1</v>
      </c>
    </row>
    <row r="243">
      <c r="A243" s="3" t="s">
        <v>814</v>
      </c>
      <c r="B243" s="3" t="s">
        <v>361</v>
      </c>
      <c r="C243" s="7" t="str">
        <f t="shared" si="7"/>
        <v>NeutronGyromagneticRatio</v>
      </c>
      <c r="D243" s="1" t="s">
        <v>362</v>
      </c>
      <c r="E243" s="11" t="str">
        <f t="shared" si="2"/>
        <v>https://w3id.org/uom/s-1.T-1</v>
      </c>
      <c r="G243" s="3" t="s">
        <v>815</v>
      </c>
      <c r="H243" s="1" t="s">
        <v>816</v>
      </c>
      <c r="I243" s="7" t="b">
        <f t="shared" si="3"/>
        <v>1</v>
      </c>
    </row>
    <row r="244">
      <c r="B244" s="3" t="s">
        <v>266</v>
      </c>
      <c r="C244" s="7" t="str">
        <f t="shared" si="7"/>
        <v>NeutronGyromagneticRatioOver2Pi</v>
      </c>
      <c r="D244" s="1"/>
      <c r="E244" s="3" t="str">
        <f t="shared" si="2"/>
        <v/>
      </c>
      <c r="F244" s="1"/>
      <c r="G244" s="1" t="s">
        <v>815</v>
      </c>
      <c r="H244" s="1" t="s">
        <v>817</v>
      </c>
      <c r="I244" s="7" t="b">
        <f t="shared" si="3"/>
        <v>1</v>
      </c>
    </row>
    <row r="245">
      <c r="A245" s="3" t="s">
        <v>818</v>
      </c>
      <c r="B245" s="3" t="s">
        <v>367</v>
      </c>
      <c r="C245" s="1" t="s">
        <v>819</v>
      </c>
      <c r="D245" s="1" t="s">
        <v>820</v>
      </c>
      <c r="E245" s="11" t="str">
        <f t="shared" si="2"/>
        <v>https://w3id.org/uom/Mhz.T-1</v>
      </c>
      <c r="F245" s="1"/>
      <c r="G245" s="1" t="s">
        <v>815</v>
      </c>
      <c r="I245" s="7" t="b">
        <f t="shared" si="3"/>
        <v>0</v>
      </c>
    </row>
    <row r="246">
      <c r="A246" s="3" t="s">
        <v>821</v>
      </c>
      <c r="B246" s="3" t="s">
        <v>165</v>
      </c>
      <c r="C246" s="7" t="str">
        <f t="shared" ref="C246:C264" si="8">if(isblank(H246),concatenate(substitute(proper(A246)," ","")),SUBSTITUTE(H246,"constant:",""))</f>
        <v>NeutronMagneticMoment</v>
      </c>
      <c r="D246" s="1" t="s">
        <v>166</v>
      </c>
      <c r="E246" s="11" t="str">
        <f t="shared" si="2"/>
        <v>https://w3id.org/uom/J.T-1</v>
      </c>
      <c r="G246" s="3" t="s">
        <v>822</v>
      </c>
      <c r="H246" s="1" t="s">
        <v>823</v>
      </c>
      <c r="I246" s="7" t="b">
        <f t="shared" si="3"/>
        <v>1</v>
      </c>
    </row>
    <row r="247">
      <c r="A247" s="3" t="s">
        <v>824</v>
      </c>
      <c r="C247" s="7" t="str">
        <f t="shared" si="8"/>
        <v>NeutronMagneticMomentToBohrMagnetonRatio</v>
      </c>
      <c r="D247" s="1"/>
      <c r="E247" s="3" t="str">
        <f t="shared" si="2"/>
        <v/>
      </c>
      <c r="G247" s="3" t="s">
        <v>825</v>
      </c>
      <c r="H247" s="1" t="s">
        <v>826</v>
      </c>
      <c r="I247" s="7" t="b">
        <f t="shared" si="3"/>
        <v>1</v>
      </c>
    </row>
    <row r="248">
      <c r="A248" s="3" t="s">
        <v>827</v>
      </c>
      <c r="C248" s="7" t="str">
        <f t="shared" si="8"/>
        <v>NeutronMagneticMomentToNuclearMagnetonRatio</v>
      </c>
      <c r="D248" s="1"/>
      <c r="E248" s="3" t="str">
        <f t="shared" si="2"/>
        <v/>
      </c>
      <c r="G248" s="3" t="s">
        <v>828</v>
      </c>
      <c r="H248" s="1" t="s">
        <v>829</v>
      </c>
      <c r="I248" s="7" t="b">
        <f t="shared" si="3"/>
        <v>1</v>
      </c>
    </row>
    <row r="249">
      <c r="A249" s="3" t="s">
        <v>830</v>
      </c>
      <c r="B249" s="3" t="s">
        <v>38</v>
      </c>
      <c r="C249" s="7" t="str">
        <f t="shared" si="8"/>
        <v>NeutronMass</v>
      </c>
      <c r="D249" s="1" t="s">
        <v>38</v>
      </c>
      <c r="E249" s="11" t="str">
        <f t="shared" si="2"/>
        <v>https://w3id.org/uom/kg</v>
      </c>
      <c r="G249" s="3" t="s">
        <v>831</v>
      </c>
      <c r="H249" s="1" t="s">
        <v>832</v>
      </c>
      <c r="I249" s="7" t="b">
        <f t="shared" si="3"/>
        <v>1</v>
      </c>
    </row>
    <row r="250">
      <c r="A250" s="3" t="s">
        <v>833</v>
      </c>
      <c r="B250" s="3" t="s">
        <v>41</v>
      </c>
      <c r="C250" s="7" t="str">
        <f t="shared" si="8"/>
        <v>NeutronMassEnergyEquivalent</v>
      </c>
      <c r="D250" s="1" t="s">
        <v>41</v>
      </c>
      <c r="E250" s="11" t="str">
        <f t="shared" si="2"/>
        <v>https://w3id.org/uom/J</v>
      </c>
      <c r="G250" s="3" t="s">
        <v>834</v>
      </c>
      <c r="H250" s="1" t="s">
        <v>835</v>
      </c>
      <c r="I250" s="7" t="b">
        <f t="shared" si="3"/>
        <v>1</v>
      </c>
    </row>
    <row r="251">
      <c r="A251" s="3" t="s">
        <v>836</v>
      </c>
      <c r="B251" s="3" t="s">
        <v>45</v>
      </c>
      <c r="C251" s="7" t="str">
        <f t="shared" si="8"/>
        <v>NeutronMassEnergyEquivalentInMeV</v>
      </c>
      <c r="D251" s="1" t="s">
        <v>45</v>
      </c>
      <c r="E251" s="11" t="str">
        <f t="shared" si="2"/>
        <v>https://w3id.org/uom/MeV</v>
      </c>
      <c r="F251" s="1"/>
      <c r="G251" s="1" t="s">
        <v>834</v>
      </c>
      <c r="H251" s="1" t="s">
        <v>837</v>
      </c>
      <c r="I251" s="7" t="b">
        <f t="shared" si="3"/>
        <v>1</v>
      </c>
    </row>
    <row r="252">
      <c r="A252" s="3" t="s">
        <v>838</v>
      </c>
      <c r="B252" s="3" t="s">
        <v>48</v>
      </c>
      <c r="C252" s="7" t="str">
        <f t="shared" si="8"/>
        <v>NeutronMassInAtomicMassUnit</v>
      </c>
      <c r="D252" s="1" t="s">
        <v>48</v>
      </c>
      <c r="E252" s="11" t="str">
        <f t="shared" si="2"/>
        <v>https://w3id.org/uom/u</v>
      </c>
      <c r="G252" s="3" t="s">
        <v>839</v>
      </c>
      <c r="H252" s="1" t="s">
        <v>840</v>
      </c>
      <c r="I252" s="7" t="b">
        <f t="shared" si="3"/>
        <v>1</v>
      </c>
    </row>
    <row r="253">
      <c r="A253" s="3" t="s">
        <v>841</v>
      </c>
      <c r="B253" s="3" t="s">
        <v>51</v>
      </c>
      <c r="C253" s="7" t="str">
        <f t="shared" si="8"/>
        <v>NeutronMolarMass</v>
      </c>
      <c r="D253" s="1" t="s">
        <v>327</v>
      </c>
      <c r="E253" s="11" t="str">
        <f t="shared" si="2"/>
        <v>https://w3id.org/uom/kg.mol-1</v>
      </c>
      <c r="G253" s="3" t="s">
        <v>842</v>
      </c>
      <c r="H253" s="1" t="s">
        <v>843</v>
      </c>
      <c r="I253" s="7" t="b">
        <f t="shared" si="3"/>
        <v>1</v>
      </c>
    </row>
    <row r="254">
      <c r="A254" s="3" t="s">
        <v>844</v>
      </c>
      <c r="C254" s="7" t="str">
        <f t="shared" si="8"/>
        <v>NeutronMuonMassRatio</v>
      </c>
      <c r="D254" s="1"/>
      <c r="E254" s="3" t="str">
        <f t="shared" si="2"/>
        <v/>
      </c>
      <c r="G254" s="3" t="s">
        <v>845</v>
      </c>
      <c r="H254" s="1" t="s">
        <v>846</v>
      </c>
      <c r="I254" s="7" t="b">
        <f t="shared" si="3"/>
        <v>1</v>
      </c>
    </row>
    <row r="255">
      <c r="A255" s="3" t="s">
        <v>847</v>
      </c>
      <c r="C255" s="7" t="str">
        <f t="shared" si="8"/>
        <v>NeutronProtonMagneticMomentRatio</v>
      </c>
      <c r="D255" s="1"/>
      <c r="E255" s="3" t="str">
        <f t="shared" si="2"/>
        <v/>
      </c>
      <c r="G255" s="3" t="s">
        <v>848</v>
      </c>
      <c r="H255" s="1" t="s">
        <v>849</v>
      </c>
      <c r="I255" s="7" t="b">
        <f t="shared" si="3"/>
        <v>1</v>
      </c>
    </row>
    <row r="256">
      <c r="A256" s="3" t="s">
        <v>850</v>
      </c>
      <c r="B256" s="3" t="s">
        <v>38</v>
      </c>
      <c r="C256" s="7" t="str">
        <f t="shared" si="8"/>
        <v>Neutron-ProtonMassDifference</v>
      </c>
      <c r="D256" s="1" t="s">
        <v>38</v>
      </c>
      <c r="E256" s="11" t="str">
        <f t="shared" si="2"/>
        <v>https://w3id.org/uom/kg</v>
      </c>
      <c r="G256" s="3" t="s">
        <v>851</v>
      </c>
      <c r="I256" s="7" t="b">
        <f t="shared" si="3"/>
        <v>0</v>
      </c>
    </row>
    <row r="257">
      <c r="A257" s="3" t="s">
        <v>852</v>
      </c>
      <c r="B257" s="3" t="s">
        <v>41</v>
      </c>
      <c r="C257" s="7" t="str">
        <f t="shared" si="8"/>
        <v>Neutron-ProtonMassDifferenceEnergyEquivalent</v>
      </c>
      <c r="D257" s="1" t="s">
        <v>41</v>
      </c>
      <c r="E257" s="11" t="str">
        <f t="shared" si="2"/>
        <v>https://w3id.org/uom/J</v>
      </c>
      <c r="G257" s="3" t="s">
        <v>853</v>
      </c>
      <c r="I257" s="7" t="b">
        <f t="shared" si="3"/>
        <v>0</v>
      </c>
    </row>
    <row r="258">
      <c r="A258" s="3" t="s">
        <v>854</v>
      </c>
      <c r="B258" s="3" t="s">
        <v>45</v>
      </c>
      <c r="C258" s="7" t="str">
        <f t="shared" si="8"/>
        <v>Neutron-ProtonMassDifferenceEnergyEquivalentInMev</v>
      </c>
      <c r="D258" s="1" t="s">
        <v>45</v>
      </c>
      <c r="E258" s="11" t="str">
        <f t="shared" si="2"/>
        <v>https://w3id.org/uom/MeV</v>
      </c>
      <c r="F258" s="1"/>
      <c r="G258" s="1" t="s">
        <v>853</v>
      </c>
      <c r="I258" s="7" t="b">
        <f t="shared" si="3"/>
        <v>0</v>
      </c>
    </row>
    <row r="259">
      <c r="A259" s="3" t="s">
        <v>855</v>
      </c>
      <c r="B259" s="3" t="s">
        <v>48</v>
      </c>
      <c r="C259" s="7" t="str">
        <f t="shared" si="8"/>
        <v>Neutron-ProtonMassDifferenceInU</v>
      </c>
      <c r="D259" s="1" t="s">
        <v>48</v>
      </c>
      <c r="E259" s="11" t="str">
        <f t="shared" si="2"/>
        <v>https://w3id.org/uom/u</v>
      </c>
      <c r="G259" s="3" t="s">
        <v>856</v>
      </c>
      <c r="I259" s="7" t="b">
        <f t="shared" si="3"/>
        <v>0</v>
      </c>
    </row>
    <row r="260">
      <c r="A260" s="3" t="s">
        <v>857</v>
      </c>
      <c r="C260" s="7" t="str">
        <f t="shared" si="8"/>
        <v>NeutronProtonMassRatio</v>
      </c>
      <c r="D260" s="1"/>
      <c r="E260" s="3" t="str">
        <f t="shared" si="2"/>
        <v/>
      </c>
      <c r="G260" s="3" t="s">
        <v>858</v>
      </c>
      <c r="H260" s="1" t="s">
        <v>859</v>
      </c>
      <c r="I260" s="7" t="b">
        <f t="shared" si="3"/>
        <v>1</v>
      </c>
    </row>
    <row r="261">
      <c r="A261" s="3" t="s">
        <v>860</v>
      </c>
      <c r="C261" s="7" t="str">
        <f t="shared" si="8"/>
        <v>NeutronRelativeAtomicMass</v>
      </c>
      <c r="E261" s="3" t="str">
        <f t="shared" si="2"/>
        <v/>
      </c>
      <c r="G261" s="3" t="s">
        <v>861</v>
      </c>
      <c r="I261" s="7" t="b">
        <f t="shared" si="3"/>
        <v>0</v>
      </c>
    </row>
    <row r="262">
      <c r="A262" s="3" t="s">
        <v>862</v>
      </c>
      <c r="C262" s="7" t="str">
        <f t="shared" si="8"/>
        <v>NeutronTauMassRatio</v>
      </c>
      <c r="D262" s="1"/>
      <c r="E262" s="3" t="str">
        <f t="shared" si="2"/>
        <v/>
      </c>
      <c r="G262" s="3" t="s">
        <v>863</v>
      </c>
      <c r="H262" s="1" t="s">
        <v>864</v>
      </c>
      <c r="I262" s="7" t="b">
        <f t="shared" si="3"/>
        <v>1</v>
      </c>
    </row>
    <row r="263">
      <c r="A263" s="3" t="s">
        <v>865</v>
      </c>
      <c r="C263" s="7" t="str">
        <f t="shared" si="8"/>
        <v>NeutronToShieldedProtonMagneticMomentRatio</v>
      </c>
      <c r="D263" s="1"/>
      <c r="E263" s="3" t="str">
        <f t="shared" si="2"/>
        <v/>
      </c>
      <c r="G263" s="3" t="s">
        <v>866</v>
      </c>
      <c r="H263" s="1" t="s">
        <v>867</v>
      </c>
      <c r="I263" s="7" t="b">
        <f t="shared" si="3"/>
        <v>1</v>
      </c>
    </row>
    <row r="264">
      <c r="A264" s="3" t="s">
        <v>868</v>
      </c>
      <c r="B264" s="3" t="s">
        <v>869</v>
      </c>
      <c r="C264" s="7" t="str">
        <f t="shared" si="8"/>
        <v>NewtonianConstantOfGravitation</v>
      </c>
      <c r="D264" s="1" t="s">
        <v>870</v>
      </c>
      <c r="E264" s="11" t="str">
        <f t="shared" si="2"/>
        <v>https://w3id.org/uom/[G]</v>
      </c>
      <c r="G264" s="3" t="s">
        <v>871</v>
      </c>
      <c r="H264" s="1" t="s">
        <v>872</v>
      </c>
      <c r="I264" s="7" t="b">
        <f t="shared" si="3"/>
        <v>1</v>
      </c>
    </row>
    <row r="265">
      <c r="A265" s="3" t="s">
        <v>873</v>
      </c>
      <c r="B265" s="3" t="s">
        <v>874</v>
      </c>
      <c r="C265" s="1" t="s">
        <v>875</v>
      </c>
      <c r="D265" s="1" t="s">
        <v>876</v>
      </c>
      <c r="E265" s="11" t="str">
        <f t="shared" si="2"/>
        <v>https://w3id.org/uom/GeV-2.[c]4</v>
      </c>
      <c r="F265" s="1"/>
      <c r="G265" s="1" t="s">
        <v>871</v>
      </c>
      <c r="I265" s="7" t="b">
        <f t="shared" si="3"/>
        <v>0</v>
      </c>
    </row>
    <row r="266">
      <c r="A266" s="3" t="s">
        <v>877</v>
      </c>
      <c r="B266" s="3" t="s">
        <v>165</v>
      </c>
      <c r="C266" s="7" t="str">
        <f t="shared" ref="C266:C287" si="9">if(isblank(H266),concatenate(substitute(proper(A266)," ","")),SUBSTITUTE(H266,"constant:",""))</f>
        <v>NuclearMagneton</v>
      </c>
      <c r="D266" s="1" t="s">
        <v>166</v>
      </c>
      <c r="E266" s="11" t="str">
        <f t="shared" si="2"/>
        <v>https://w3id.org/uom/J.T-1</v>
      </c>
      <c r="G266" s="3" t="s">
        <v>878</v>
      </c>
      <c r="H266" s="1" t="s">
        <v>879</v>
      </c>
      <c r="I266" s="7" t="b">
        <f t="shared" si="3"/>
        <v>1</v>
      </c>
    </row>
    <row r="267">
      <c r="A267" s="3" t="s">
        <v>880</v>
      </c>
      <c r="B267" s="3" t="s">
        <v>209</v>
      </c>
      <c r="C267" s="7" t="str">
        <f t="shared" si="9"/>
        <v>NuclearMagnetonInEVPerT</v>
      </c>
      <c r="D267" s="1" t="s">
        <v>210</v>
      </c>
      <c r="E267" s="11" t="str">
        <f t="shared" si="2"/>
        <v>https://w3id.org/uom/eV.T-1</v>
      </c>
      <c r="F267" s="1"/>
      <c r="G267" s="1" t="s">
        <v>878</v>
      </c>
      <c r="H267" s="1" t="s">
        <v>881</v>
      </c>
      <c r="I267" s="7" t="b">
        <f t="shared" si="3"/>
        <v>1</v>
      </c>
    </row>
    <row r="268">
      <c r="A268" s="3" t="s">
        <v>882</v>
      </c>
      <c r="B268" s="3" t="s">
        <v>219</v>
      </c>
      <c r="C268" s="7" t="str">
        <f t="shared" si="9"/>
        <v>NuclearMagnetonInInverseMetersPerTesla</v>
      </c>
      <c r="D268" s="1" t="s">
        <v>220</v>
      </c>
      <c r="E268" s="11" t="str">
        <f t="shared" si="2"/>
        <v>https://w3id.org/uom/m-1.T-1</v>
      </c>
      <c r="G268" s="3" t="s">
        <v>883</v>
      </c>
      <c r="H268" s="1" t="s">
        <v>884</v>
      </c>
      <c r="I268" s="7" t="b">
        <f t="shared" si="3"/>
        <v>1</v>
      </c>
    </row>
    <row r="269">
      <c r="A269" s="3" t="s">
        <v>885</v>
      </c>
      <c r="B269" s="3" t="s">
        <v>224</v>
      </c>
      <c r="C269" s="7" t="str">
        <f t="shared" si="9"/>
        <v>NuclearMagnetonInKPerT</v>
      </c>
      <c r="D269" s="1" t="s">
        <v>225</v>
      </c>
      <c r="E269" s="11" t="str">
        <f t="shared" si="2"/>
        <v>https://w3id.org/uom/K.T-1</v>
      </c>
      <c r="G269" s="3" t="s">
        <v>886</v>
      </c>
      <c r="H269" s="1" t="s">
        <v>887</v>
      </c>
      <c r="I269" s="7" t="b">
        <f t="shared" si="3"/>
        <v>1</v>
      </c>
    </row>
    <row r="270">
      <c r="A270" s="3" t="s">
        <v>888</v>
      </c>
      <c r="B270" s="3" t="s">
        <v>367</v>
      </c>
      <c r="C270" s="7" t="str">
        <f t="shared" si="9"/>
        <v>NuclearMagnetonInMHzPerT</v>
      </c>
      <c r="D270" s="1" t="s">
        <v>820</v>
      </c>
      <c r="E270" s="11" t="str">
        <f t="shared" si="2"/>
        <v>https://w3id.org/uom/Mhz.T-1</v>
      </c>
      <c r="G270" s="3" t="s">
        <v>889</v>
      </c>
      <c r="H270" s="1" t="s">
        <v>890</v>
      </c>
      <c r="I270" s="7" t="b">
        <f t="shared" si="3"/>
        <v>1</v>
      </c>
    </row>
    <row r="271">
      <c r="A271" s="3" t="s">
        <v>891</v>
      </c>
      <c r="B271" s="3" t="s">
        <v>892</v>
      </c>
      <c r="C271" s="7" t="str">
        <f t="shared" si="9"/>
        <v>PlanckConstant</v>
      </c>
      <c r="D271" s="1" t="s">
        <v>893</v>
      </c>
      <c r="E271" s="11" t="str">
        <f t="shared" si="2"/>
        <v>https://w3id.org/uom/J.Hz-1</v>
      </c>
      <c r="G271" s="3" t="s">
        <v>894</v>
      </c>
      <c r="H271" s="1" t="s">
        <v>895</v>
      </c>
      <c r="I271" s="7" t="b">
        <f t="shared" si="3"/>
        <v>1</v>
      </c>
    </row>
    <row r="272">
      <c r="A272" s="3" t="s">
        <v>896</v>
      </c>
      <c r="B272" s="3" t="s">
        <v>897</v>
      </c>
      <c r="C272" s="7" t="str">
        <f t="shared" si="9"/>
        <v>PlanckConstantInEVS</v>
      </c>
      <c r="D272" s="1" t="s">
        <v>898</v>
      </c>
      <c r="E272" s="11" t="str">
        <f t="shared" si="2"/>
        <v>https://w3id.org/uom/eV.Hz-1</v>
      </c>
      <c r="F272" s="1"/>
      <c r="G272" s="1" t="s">
        <v>894</v>
      </c>
      <c r="H272" s="1" t="s">
        <v>899</v>
      </c>
      <c r="I272" s="7" t="b">
        <f t="shared" si="3"/>
        <v>1</v>
      </c>
    </row>
    <row r="273">
      <c r="B273" s="3" t="s">
        <v>266</v>
      </c>
      <c r="C273" s="7" t="str">
        <f t="shared" si="9"/>
        <v>PlanckConstantOver2Pi</v>
      </c>
      <c r="D273" s="1"/>
      <c r="E273" s="3" t="str">
        <f t="shared" si="2"/>
        <v/>
      </c>
      <c r="F273" s="1"/>
      <c r="G273" s="1" t="s">
        <v>894</v>
      </c>
      <c r="H273" s="1" t="s">
        <v>900</v>
      </c>
      <c r="I273" s="7" t="b">
        <f t="shared" si="3"/>
        <v>1</v>
      </c>
    </row>
    <row r="274">
      <c r="B274" s="3" t="s">
        <v>266</v>
      </c>
      <c r="C274" s="7" t="str">
        <f t="shared" si="9"/>
        <v>PlanckConstantOver2PiInEVS</v>
      </c>
      <c r="D274" s="1"/>
      <c r="E274" s="3" t="str">
        <f t="shared" si="2"/>
        <v/>
      </c>
      <c r="F274" s="1"/>
      <c r="G274" s="1" t="s">
        <v>894</v>
      </c>
      <c r="H274" s="1" t="s">
        <v>901</v>
      </c>
      <c r="I274" s="7" t="b">
        <f t="shared" si="3"/>
        <v>1</v>
      </c>
    </row>
    <row r="275">
      <c r="B275" s="3" t="s">
        <v>266</v>
      </c>
      <c r="C275" s="7" t="str">
        <f t="shared" si="9"/>
        <v>PlanckConstantOver2PiTimesCInMeVFm</v>
      </c>
      <c r="D275" s="1"/>
      <c r="E275" s="3" t="str">
        <f t="shared" si="2"/>
        <v/>
      </c>
      <c r="F275" s="1"/>
      <c r="G275" s="1" t="s">
        <v>894</v>
      </c>
      <c r="H275" s="1" t="s">
        <v>902</v>
      </c>
      <c r="I275" s="7" t="b">
        <f t="shared" si="3"/>
        <v>1</v>
      </c>
    </row>
    <row r="276">
      <c r="A276" s="3" t="s">
        <v>903</v>
      </c>
      <c r="B276" s="3" t="s">
        <v>59</v>
      </c>
      <c r="C276" s="7" t="str">
        <f t="shared" si="9"/>
        <v>PlanckLength</v>
      </c>
      <c r="D276" s="1" t="s">
        <v>59</v>
      </c>
      <c r="E276" s="11" t="str">
        <f t="shared" si="2"/>
        <v>https://w3id.org/uom/m</v>
      </c>
      <c r="G276" s="3" t="s">
        <v>904</v>
      </c>
      <c r="H276" s="1" t="s">
        <v>905</v>
      </c>
      <c r="I276" s="7" t="b">
        <f t="shared" si="3"/>
        <v>1</v>
      </c>
    </row>
    <row r="277">
      <c r="A277" s="3" t="s">
        <v>906</v>
      </c>
      <c r="B277" s="3" t="s">
        <v>38</v>
      </c>
      <c r="C277" s="7" t="str">
        <f t="shared" si="9"/>
        <v>PlanckMass</v>
      </c>
      <c r="D277" s="1" t="s">
        <v>38</v>
      </c>
      <c r="E277" s="11" t="str">
        <f t="shared" si="2"/>
        <v>https://w3id.org/uom/kg</v>
      </c>
      <c r="G277" s="3" t="s">
        <v>907</v>
      </c>
      <c r="H277" s="1" t="s">
        <v>908</v>
      </c>
      <c r="I277" s="7" t="b">
        <f t="shared" si="3"/>
        <v>1</v>
      </c>
    </row>
    <row r="278">
      <c r="A278" s="3" t="s">
        <v>909</v>
      </c>
      <c r="B278" s="3" t="s">
        <v>910</v>
      </c>
      <c r="C278" s="7" t="str">
        <f t="shared" si="9"/>
        <v>PlanckMassEnergyEquivalentInGeV</v>
      </c>
      <c r="D278" s="1" t="s">
        <v>910</v>
      </c>
      <c r="E278" s="11" t="str">
        <f t="shared" si="2"/>
        <v>https://w3id.org/uom/GeV</v>
      </c>
      <c r="F278" s="1"/>
      <c r="G278" s="1" t="s">
        <v>907</v>
      </c>
      <c r="H278" s="1" t="s">
        <v>911</v>
      </c>
      <c r="I278" s="7" t="b">
        <f t="shared" si="3"/>
        <v>1</v>
      </c>
    </row>
    <row r="279">
      <c r="A279" s="3" t="s">
        <v>912</v>
      </c>
      <c r="B279" s="3" t="s">
        <v>91</v>
      </c>
      <c r="C279" s="7" t="str">
        <f t="shared" si="9"/>
        <v>PlanckTemperature</v>
      </c>
      <c r="D279" s="1" t="s">
        <v>913</v>
      </c>
      <c r="E279" s="11" t="str">
        <f t="shared" si="2"/>
        <v>https://w3id.org/uom/Kg</v>
      </c>
      <c r="G279" s="3" t="s">
        <v>914</v>
      </c>
      <c r="H279" s="1" t="s">
        <v>915</v>
      </c>
      <c r="I279" s="7" t="b">
        <f t="shared" si="3"/>
        <v>1</v>
      </c>
    </row>
    <row r="280">
      <c r="A280" s="3" t="s">
        <v>916</v>
      </c>
      <c r="B280" s="3" t="s">
        <v>192</v>
      </c>
      <c r="C280" s="7" t="str">
        <f t="shared" si="9"/>
        <v>PlanckTime</v>
      </c>
      <c r="D280" s="1" t="s">
        <v>192</v>
      </c>
      <c r="E280" s="11" t="str">
        <f t="shared" si="2"/>
        <v>https://w3id.org/uom/s</v>
      </c>
      <c r="G280" s="3" t="s">
        <v>917</v>
      </c>
      <c r="H280" s="1" t="s">
        <v>918</v>
      </c>
      <c r="I280" s="7" t="b">
        <f t="shared" si="3"/>
        <v>1</v>
      </c>
    </row>
    <row r="281">
      <c r="A281" s="3" t="s">
        <v>919</v>
      </c>
      <c r="B281" s="3" t="s">
        <v>347</v>
      </c>
      <c r="C281" s="7" t="str">
        <f t="shared" si="9"/>
        <v>ProtonChargeToMassQuotient</v>
      </c>
      <c r="D281" s="1" t="s">
        <v>348</v>
      </c>
      <c r="E281" s="11" t="str">
        <f t="shared" si="2"/>
        <v>https://w3id.org/uom/C.kg-1</v>
      </c>
      <c r="G281" s="3" t="s">
        <v>920</v>
      </c>
      <c r="H281" s="1" t="s">
        <v>921</v>
      </c>
      <c r="I281" s="7" t="b">
        <f t="shared" si="3"/>
        <v>1</v>
      </c>
    </row>
    <row r="282">
      <c r="A282" s="3" t="s">
        <v>922</v>
      </c>
      <c r="B282" s="3" t="s">
        <v>59</v>
      </c>
      <c r="C282" s="7" t="str">
        <f t="shared" si="9"/>
        <v>ProtonComptonWavelength</v>
      </c>
      <c r="D282" s="1" t="s">
        <v>59</v>
      </c>
      <c r="E282" s="11" t="str">
        <f t="shared" si="2"/>
        <v>https://w3id.org/uom/m</v>
      </c>
      <c r="G282" s="3" t="s">
        <v>923</v>
      </c>
      <c r="H282" s="1" t="s">
        <v>924</v>
      </c>
      <c r="I282" s="7" t="b">
        <f t="shared" si="3"/>
        <v>1</v>
      </c>
    </row>
    <row r="283">
      <c r="B283" s="3" t="s">
        <v>266</v>
      </c>
      <c r="C283" s="7" t="str">
        <f t="shared" si="9"/>
        <v>ProtonComptonWavelengthOver2Pi</v>
      </c>
      <c r="D283" s="1"/>
      <c r="E283" s="3" t="str">
        <f t="shared" si="2"/>
        <v/>
      </c>
      <c r="F283" s="1"/>
      <c r="G283" s="1" t="s">
        <v>923</v>
      </c>
      <c r="H283" s="1" t="s">
        <v>925</v>
      </c>
      <c r="I283" s="7" t="b">
        <f t="shared" si="3"/>
        <v>1</v>
      </c>
    </row>
    <row r="284">
      <c r="A284" s="3" t="s">
        <v>926</v>
      </c>
      <c r="C284" s="7" t="str">
        <f t="shared" si="9"/>
        <v>ProtonElectronMassRatio</v>
      </c>
      <c r="D284" s="1"/>
      <c r="E284" s="3" t="str">
        <f t="shared" si="2"/>
        <v/>
      </c>
      <c r="G284" s="3" t="s">
        <v>927</v>
      </c>
      <c r="H284" s="1" t="s">
        <v>928</v>
      </c>
      <c r="I284" s="7" t="b">
        <f t="shared" si="3"/>
        <v>1</v>
      </c>
    </row>
    <row r="285">
      <c r="A285" s="3" t="s">
        <v>929</v>
      </c>
      <c r="C285" s="7" t="str">
        <f t="shared" si="9"/>
        <v>ProtonGFactor</v>
      </c>
      <c r="D285" s="1"/>
      <c r="E285" s="3" t="str">
        <f t="shared" si="2"/>
        <v/>
      </c>
      <c r="G285" s="3" t="s">
        <v>930</v>
      </c>
      <c r="H285" s="1" t="s">
        <v>931</v>
      </c>
      <c r="I285" s="7" t="b">
        <f t="shared" si="3"/>
        <v>1</v>
      </c>
    </row>
    <row r="286">
      <c r="A286" s="3" t="s">
        <v>932</v>
      </c>
      <c r="B286" s="3" t="s">
        <v>361</v>
      </c>
      <c r="C286" s="7" t="str">
        <f t="shared" si="9"/>
        <v>ProtonGyromagneticRatio</v>
      </c>
      <c r="D286" s="1" t="s">
        <v>362</v>
      </c>
      <c r="E286" s="11" t="str">
        <f t="shared" si="2"/>
        <v>https://w3id.org/uom/s-1.T-1</v>
      </c>
      <c r="G286" s="3" t="s">
        <v>933</v>
      </c>
      <c r="H286" s="1" t="s">
        <v>934</v>
      </c>
      <c r="I286" s="7" t="b">
        <f t="shared" si="3"/>
        <v>1</v>
      </c>
    </row>
    <row r="287">
      <c r="B287" s="3" t="s">
        <v>266</v>
      </c>
      <c r="C287" s="7" t="str">
        <f t="shared" si="9"/>
        <v>ProtonGyromagneticRatioOver2Pi</v>
      </c>
      <c r="D287" s="1"/>
      <c r="E287" s="3" t="str">
        <f t="shared" si="2"/>
        <v/>
      </c>
      <c r="F287" s="1"/>
      <c r="G287" s="1" t="s">
        <v>933</v>
      </c>
      <c r="H287" s="1" t="s">
        <v>935</v>
      </c>
      <c r="I287" s="7" t="b">
        <f t="shared" si="3"/>
        <v>1</v>
      </c>
    </row>
    <row r="288">
      <c r="A288" s="3" t="s">
        <v>936</v>
      </c>
      <c r="B288" s="3" t="s">
        <v>367</v>
      </c>
      <c r="C288" s="6" t="s">
        <v>937</v>
      </c>
      <c r="D288" s="1" t="s">
        <v>369</v>
      </c>
      <c r="E288" s="11" t="str">
        <f t="shared" si="2"/>
        <v>https://w3id.org/uom/MHz.T-1</v>
      </c>
      <c r="F288" s="1"/>
      <c r="G288" s="1" t="s">
        <v>933</v>
      </c>
      <c r="I288" s="7" t="b">
        <f t="shared" si="3"/>
        <v>0</v>
      </c>
    </row>
    <row r="289">
      <c r="A289" s="3" t="s">
        <v>938</v>
      </c>
      <c r="B289" s="3" t="s">
        <v>165</v>
      </c>
      <c r="C289" s="7" t="str">
        <f t="shared" ref="C289:C291" si="10">if(isblank(H289),concatenate(substitute(proper(A289)," ","")),SUBSTITUTE(H289,"constant:",""))</f>
        <v>ProtonMagneticMoment</v>
      </c>
      <c r="D289" s="1" t="s">
        <v>166</v>
      </c>
      <c r="E289" s="11" t="str">
        <f t="shared" si="2"/>
        <v>https://w3id.org/uom/J.T-1</v>
      </c>
      <c r="G289" s="3" t="s">
        <v>939</v>
      </c>
      <c r="H289" s="1" t="s">
        <v>940</v>
      </c>
      <c r="I289" s="7" t="b">
        <f t="shared" si="3"/>
        <v>1</v>
      </c>
    </row>
    <row r="290">
      <c r="A290" s="3" t="s">
        <v>941</v>
      </c>
      <c r="C290" s="7" t="str">
        <f t="shared" si="10"/>
        <v>ProtonMagneticMomentToBohrMagnetonRatio</v>
      </c>
      <c r="D290" s="1"/>
      <c r="E290" s="3" t="str">
        <f t="shared" si="2"/>
        <v/>
      </c>
      <c r="G290" s="3" t="s">
        <v>942</v>
      </c>
      <c r="H290" s="1" t="s">
        <v>943</v>
      </c>
      <c r="I290" s="7" t="b">
        <f t="shared" si="3"/>
        <v>1</v>
      </c>
    </row>
    <row r="291">
      <c r="A291" s="3" t="s">
        <v>944</v>
      </c>
      <c r="C291" s="7" t="str">
        <f t="shared" si="10"/>
        <v>ProtonMagneticMomentToNuclearMagnetonRatio</v>
      </c>
      <c r="D291" s="1"/>
      <c r="E291" s="3" t="str">
        <f t="shared" si="2"/>
        <v/>
      </c>
      <c r="G291" s="3" t="s">
        <v>945</v>
      </c>
      <c r="H291" s="1" t="s">
        <v>946</v>
      </c>
      <c r="I291" s="7" t="b">
        <f t="shared" si="3"/>
        <v>1</v>
      </c>
    </row>
    <row r="292">
      <c r="A292" s="3" t="s">
        <v>947</v>
      </c>
      <c r="C292" s="1" t="s">
        <v>948</v>
      </c>
      <c r="E292" s="3" t="str">
        <f t="shared" si="2"/>
        <v/>
      </c>
      <c r="F292" s="1"/>
      <c r="G292" s="1" t="s">
        <v>948</v>
      </c>
      <c r="I292" s="7" t="b">
        <f t="shared" si="3"/>
        <v>0</v>
      </c>
    </row>
    <row r="293">
      <c r="A293" s="3" t="s">
        <v>949</v>
      </c>
      <c r="B293" s="3" t="s">
        <v>38</v>
      </c>
      <c r="C293" s="7" t="str">
        <f t="shared" ref="C293:C318" si="11">if(isblank(H293),concatenate(substitute(proper(A293)," ","")),SUBSTITUTE(H293,"constant:",""))</f>
        <v>ProtonMass</v>
      </c>
      <c r="D293" s="1" t="s">
        <v>950</v>
      </c>
      <c r="E293" s="11" t="str">
        <f t="shared" si="2"/>
        <v>https://w3id.org/uom/[m_p]</v>
      </c>
      <c r="G293" s="3" t="s">
        <v>951</v>
      </c>
      <c r="H293" s="1" t="s">
        <v>952</v>
      </c>
      <c r="I293" s="7" t="b">
        <f t="shared" si="3"/>
        <v>1</v>
      </c>
    </row>
    <row r="294">
      <c r="A294" s="3" t="s">
        <v>953</v>
      </c>
      <c r="B294" s="3" t="s">
        <v>41</v>
      </c>
      <c r="C294" s="7" t="str">
        <f t="shared" si="11"/>
        <v>ProtonMassEnergyEquivalent</v>
      </c>
      <c r="D294" s="1" t="s">
        <v>41</v>
      </c>
      <c r="E294" s="11" t="str">
        <f t="shared" si="2"/>
        <v>https://w3id.org/uom/J</v>
      </c>
      <c r="F294" s="1"/>
      <c r="G294" s="1" t="s">
        <v>951</v>
      </c>
      <c r="H294" s="1" t="s">
        <v>954</v>
      </c>
      <c r="I294" s="7" t="b">
        <f t="shared" si="3"/>
        <v>1</v>
      </c>
    </row>
    <row r="295">
      <c r="A295" s="3" t="s">
        <v>955</v>
      </c>
      <c r="B295" s="3" t="s">
        <v>45</v>
      </c>
      <c r="C295" s="7" t="str">
        <f t="shared" si="11"/>
        <v>ProtonMassEnergyEquivalentInMeV</v>
      </c>
      <c r="D295" s="1" t="s">
        <v>45</v>
      </c>
      <c r="E295" s="11" t="str">
        <f t="shared" si="2"/>
        <v>https://w3id.org/uom/MeV</v>
      </c>
      <c r="F295" s="1"/>
      <c r="G295" s="1" t="s">
        <v>951</v>
      </c>
      <c r="H295" s="1" t="s">
        <v>956</v>
      </c>
      <c r="I295" s="7" t="b">
        <f t="shared" si="3"/>
        <v>1</v>
      </c>
    </row>
    <row r="296">
      <c r="A296" s="3" t="s">
        <v>957</v>
      </c>
      <c r="B296" s="3" t="s">
        <v>48</v>
      </c>
      <c r="C296" s="7" t="str">
        <f t="shared" si="11"/>
        <v>ProtonMassInAtomicMassUnit</v>
      </c>
      <c r="D296" s="1" t="s">
        <v>48</v>
      </c>
      <c r="E296" s="11" t="str">
        <f t="shared" si="2"/>
        <v>https://w3id.org/uom/u</v>
      </c>
      <c r="F296" s="1"/>
      <c r="G296" s="1" t="s">
        <v>951</v>
      </c>
      <c r="H296" s="1" t="s">
        <v>958</v>
      </c>
      <c r="I296" s="7" t="b">
        <f t="shared" si="3"/>
        <v>1</v>
      </c>
    </row>
    <row r="297">
      <c r="A297" s="3" t="s">
        <v>959</v>
      </c>
      <c r="B297" s="3" t="s">
        <v>51</v>
      </c>
      <c r="C297" s="7" t="str">
        <f t="shared" si="11"/>
        <v>ProtonMolarMass</v>
      </c>
      <c r="D297" s="1" t="s">
        <v>327</v>
      </c>
      <c r="E297" s="11" t="str">
        <f t="shared" si="2"/>
        <v>https://w3id.org/uom/kg.mol-1</v>
      </c>
      <c r="G297" s="3" t="s">
        <v>960</v>
      </c>
      <c r="H297" s="1" t="s">
        <v>961</v>
      </c>
      <c r="I297" s="7" t="b">
        <f t="shared" si="3"/>
        <v>1</v>
      </c>
    </row>
    <row r="298">
      <c r="A298" s="3" t="s">
        <v>962</v>
      </c>
      <c r="C298" s="7" t="str">
        <f t="shared" si="11"/>
        <v>ProtonMuonMassRatio</v>
      </c>
      <c r="D298" s="1"/>
      <c r="E298" s="3" t="str">
        <f t="shared" si="2"/>
        <v/>
      </c>
      <c r="G298" s="3" t="s">
        <v>963</v>
      </c>
      <c r="H298" s="1" t="s">
        <v>964</v>
      </c>
      <c r="I298" s="7" t="b">
        <f t="shared" si="3"/>
        <v>1</v>
      </c>
    </row>
    <row r="299">
      <c r="A299" s="3" t="s">
        <v>965</v>
      </c>
      <c r="C299" s="7" t="str">
        <f t="shared" si="11"/>
        <v>ProtonNeutronMagneticMomentRatio</v>
      </c>
      <c r="D299" s="1"/>
      <c r="E299" s="3" t="str">
        <f t="shared" si="2"/>
        <v/>
      </c>
      <c r="G299" s="3" t="s">
        <v>966</v>
      </c>
      <c r="H299" s="1" t="s">
        <v>967</v>
      </c>
      <c r="I299" s="7" t="b">
        <f t="shared" si="3"/>
        <v>1</v>
      </c>
    </row>
    <row r="300">
      <c r="A300" s="3" t="s">
        <v>968</v>
      </c>
      <c r="C300" s="7" t="str">
        <f t="shared" si="11"/>
        <v>ProtonNeutronMassRatio</v>
      </c>
      <c r="D300" s="1"/>
      <c r="E300" s="3" t="str">
        <f t="shared" si="2"/>
        <v/>
      </c>
      <c r="G300" s="3" t="s">
        <v>969</v>
      </c>
      <c r="H300" s="1" t="s">
        <v>970</v>
      </c>
      <c r="I300" s="7" t="b">
        <f t="shared" si="3"/>
        <v>1</v>
      </c>
    </row>
    <row r="301">
      <c r="A301" s="3" t="s">
        <v>971</v>
      </c>
      <c r="C301" s="7" t="str">
        <f t="shared" si="11"/>
        <v>ProtonRelativeAtomicMass</v>
      </c>
      <c r="E301" s="3" t="str">
        <f t="shared" si="2"/>
        <v/>
      </c>
      <c r="G301" s="3" t="s">
        <v>972</v>
      </c>
      <c r="I301" s="7" t="b">
        <f t="shared" si="3"/>
        <v>0</v>
      </c>
    </row>
    <row r="302">
      <c r="A302" s="3" t="s">
        <v>973</v>
      </c>
      <c r="B302" s="3" t="s">
        <v>59</v>
      </c>
      <c r="C302" s="7" t="str">
        <f t="shared" si="11"/>
        <v>ProtonRmsChargeRadius</v>
      </c>
      <c r="D302" s="1" t="s">
        <v>59</v>
      </c>
      <c r="E302" s="11" t="str">
        <f t="shared" si="2"/>
        <v>https://w3id.org/uom/m</v>
      </c>
      <c r="G302" s="3" t="s">
        <v>974</v>
      </c>
      <c r="H302" s="1" t="s">
        <v>975</v>
      </c>
      <c r="I302" s="7" t="b">
        <f t="shared" si="3"/>
        <v>1</v>
      </c>
    </row>
    <row r="303">
      <c r="A303" s="3" t="s">
        <v>976</v>
      </c>
      <c r="C303" s="7" t="str">
        <f t="shared" si="11"/>
        <v>ProtonTauMassRatio</v>
      </c>
      <c r="D303" s="1"/>
      <c r="E303" s="3" t="str">
        <f t="shared" si="2"/>
        <v/>
      </c>
      <c r="G303" s="3" t="s">
        <v>977</v>
      </c>
      <c r="H303" s="1" t="s">
        <v>978</v>
      </c>
      <c r="I303" s="7" t="b">
        <f t="shared" si="3"/>
        <v>1</v>
      </c>
    </row>
    <row r="304">
      <c r="A304" s="3" t="s">
        <v>979</v>
      </c>
      <c r="B304" s="3" t="s">
        <v>980</v>
      </c>
      <c r="C304" s="7" t="str">
        <f t="shared" si="11"/>
        <v>QuantumOfCirculation</v>
      </c>
      <c r="D304" s="1" t="s">
        <v>981</v>
      </c>
      <c r="E304" s="11" t="str">
        <f t="shared" si="2"/>
        <v>https://w3id.org/uom/m^2.s-1</v>
      </c>
      <c r="G304" s="3" t="s">
        <v>982</v>
      </c>
      <c r="H304" s="1" t="s">
        <v>983</v>
      </c>
      <c r="I304" s="7" t="b">
        <f t="shared" si="3"/>
        <v>1</v>
      </c>
    </row>
    <row r="305">
      <c r="A305" s="3" t="s">
        <v>984</v>
      </c>
      <c r="B305" s="3" t="s">
        <v>980</v>
      </c>
      <c r="C305" s="7" t="str">
        <f t="shared" si="11"/>
        <v>QuantumOfCirculationTimes2</v>
      </c>
      <c r="D305" s="1" t="s">
        <v>981</v>
      </c>
      <c r="E305" s="11" t="str">
        <f t="shared" si="2"/>
        <v>https://w3id.org/uom/m^2.s-1</v>
      </c>
      <c r="G305" s="3" t="s">
        <v>985</v>
      </c>
      <c r="H305" s="1" t="s">
        <v>986</v>
      </c>
      <c r="I305" s="7" t="b">
        <f t="shared" si="3"/>
        <v>1</v>
      </c>
    </row>
    <row r="306">
      <c r="A306" s="3" t="s">
        <v>987</v>
      </c>
      <c r="B306" s="3" t="s">
        <v>59</v>
      </c>
      <c r="C306" s="7" t="str">
        <f t="shared" si="11"/>
        <v>ReducedComptonWavelength</v>
      </c>
      <c r="D306" s="1" t="s">
        <v>59</v>
      </c>
      <c r="E306" s="11" t="str">
        <f t="shared" si="2"/>
        <v>https://w3id.org/uom/m</v>
      </c>
      <c r="G306" s="3" t="s">
        <v>988</v>
      </c>
      <c r="I306" s="7" t="b">
        <f t="shared" si="3"/>
        <v>0</v>
      </c>
    </row>
    <row r="307">
      <c r="A307" s="3" t="s">
        <v>989</v>
      </c>
      <c r="B307" s="3" t="s">
        <v>59</v>
      </c>
      <c r="C307" s="7" t="str">
        <f t="shared" si="11"/>
        <v>ReducedMuonComptonWavelength</v>
      </c>
      <c r="D307" s="1" t="s">
        <v>59</v>
      </c>
      <c r="E307" s="11" t="str">
        <f t="shared" si="2"/>
        <v>https://w3id.org/uom/m</v>
      </c>
      <c r="G307" s="3" t="s">
        <v>990</v>
      </c>
      <c r="I307" s="7" t="b">
        <f t="shared" si="3"/>
        <v>0</v>
      </c>
    </row>
    <row r="308">
      <c r="A308" s="3" t="s">
        <v>991</v>
      </c>
      <c r="B308" s="3" t="s">
        <v>59</v>
      </c>
      <c r="C308" s="7" t="str">
        <f t="shared" si="11"/>
        <v>ReducedNeutronComptonWavelength</v>
      </c>
      <c r="D308" s="1" t="s">
        <v>59</v>
      </c>
      <c r="E308" s="11" t="str">
        <f t="shared" si="2"/>
        <v>https://w3id.org/uom/m</v>
      </c>
      <c r="G308" s="3" t="s">
        <v>992</v>
      </c>
      <c r="I308" s="7" t="b">
        <f t="shared" si="3"/>
        <v>0</v>
      </c>
    </row>
    <row r="309">
      <c r="A309" s="3" t="s">
        <v>993</v>
      </c>
      <c r="B309" s="3" t="s">
        <v>108</v>
      </c>
      <c r="C309" s="7" t="str">
        <f t="shared" si="11"/>
        <v>ReducedPlanckConstant</v>
      </c>
      <c r="D309" s="1" t="s">
        <v>994</v>
      </c>
      <c r="E309" s="11" t="str">
        <f t="shared" si="2"/>
        <v>https://w3id.org/uom/[h]</v>
      </c>
      <c r="G309" s="3" t="s">
        <v>995</v>
      </c>
      <c r="H309" s="1" t="s">
        <v>996</v>
      </c>
      <c r="I309" s="7" t="b">
        <f t="shared" si="3"/>
        <v>1</v>
      </c>
    </row>
    <row r="310">
      <c r="A310" s="3" t="s">
        <v>997</v>
      </c>
      <c r="B310" s="3" t="s">
        <v>774</v>
      </c>
      <c r="C310" s="7" t="str">
        <f t="shared" si="11"/>
        <v>ReducedPlanckConstantInEvS</v>
      </c>
      <c r="D310" s="1" t="s">
        <v>775</v>
      </c>
      <c r="E310" s="11" t="str">
        <f t="shared" si="2"/>
        <v>https://w3id.org/uom/eV.s</v>
      </c>
      <c r="F310" s="1"/>
      <c r="G310" s="1" t="s">
        <v>995</v>
      </c>
      <c r="I310" s="7" t="b">
        <f t="shared" si="3"/>
        <v>0</v>
      </c>
    </row>
    <row r="311">
      <c r="A311" s="3" t="s">
        <v>998</v>
      </c>
      <c r="B311" s="3" t="s">
        <v>999</v>
      </c>
      <c r="C311" s="7" t="str">
        <f t="shared" si="11"/>
        <v>ReducedPlanckConstantTimesCInMevFm</v>
      </c>
      <c r="D311" s="12" t="s">
        <v>1000</v>
      </c>
      <c r="E311" s="11" t="str">
        <f t="shared" si="2"/>
        <v>https://w3id.org/uom/MeV.fm</v>
      </c>
      <c r="F311" s="1"/>
      <c r="G311" s="1" t="s">
        <v>995</v>
      </c>
      <c r="I311" s="7" t="b">
        <f t="shared" si="3"/>
        <v>0</v>
      </c>
    </row>
    <row r="312">
      <c r="A312" s="3" t="s">
        <v>1001</v>
      </c>
      <c r="B312" s="3" t="s">
        <v>59</v>
      </c>
      <c r="C312" s="7" t="str">
        <f t="shared" si="11"/>
        <v>ReducedProtonComptonWavelength</v>
      </c>
      <c r="D312" s="1" t="s">
        <v>59</v>
      </c>
      <c r="E312" s="11" t="str">
        <f t="shared" si="2"/>
        <v>https://w3id.org/uom/m</v>
      </c>
      <c r="G312" s="3" t="s">
        <v>1002</v>
      </c>
      <c r="I312" s="7" t="b">
        <f t="shared" si="3"/>
        <v>0</v>
      </c>
    </row>
    <row r="313">
      <c r="A313" s="3" t="s">
        <v>1003</v>
      </c>
      <c r="B313" s="3" t="s">
        <v>59</v>
      </c>
      <c r="C313" s="7" t="str">
        <f t="shared" si="11"/>
        <v>ReducedTauComptonWavelength</v>
      </c>
      <c r="D313" s="1" t="s">
        <v>59</v>
      </c>
      <c r="E313" s="11" t="str">
        <f t="shared" si="2"/>
        <v>https://w3id.org/uom/m</v>
      </c>
      <c r="G313" s="3" t="s">
        <v>1004</v>
      </c>
      <c r="I313" s="7" t="b">
        <f t="shared" si="3"/>
        <v>0</v>
      </c>
    </row>
    <row r="314">
      <c r="A314" s="3" t="s">
        <v>1005</v>
      </c>
      <c r="B314" s="3" t="s">
        <v>83</v>
      </c>
      <c r="C314" s="7" t="str">
        <f t="shared" si="11"/>
        <v>RydbergConstant</v>
      </c>
      <c r="D314" s="1" t="s">
        <v>84</v>
      </c>
      <c r="E314" s="11" t="str">
        <f t="shared" si="2"/>
        <v>https://w3id.org/uom/m-1</v>
      </c>
      <c r="G314" s="3" t="s">
        <v>1006</v>
      </c>
      <c r="H314" s="1" t="s">
        <v>1007</v>
      </c>
      <c r="I314" s="7" t="b">
        <f t="shared" si="3"/>
        <v>1</v>
      </c>
    </row>
    <row r="315">
      <c r="A315" s="3" t="s">
        <v>1008</v>
      </c>
      <c r="B315" s="3" t="s">
        <v>79</v>
      </c>
      <c r="C315" s="7" t="str">
        <f t="shared" si="11"/>
        <v>RydbergConstantTimesCInHz</v>
      </c>
      <c r="D315" s="1" t="s">
        <v>79</v>
      </c>
      <c r="E315" s="11" t="str">
        <f t="shared" si="2"/>
        <v>https://w3id.org/uom/Hz</v>
      </c>
      <c r="F315" s="1"/>
      <c r="G315" s="1" t="s">
        <v>1006</v>
      </c>
      <c r="H315" s="1" t="s">
        <v>1009</v>
      </c>
      <c r="I315" s="7" t="b">
        <f t="shared" si="3"/>
        <v>1</v>
      </c>
    </row>
    <row r="316">
      <c r="A316" s="3" t="s">
        <v>1010</v>
      </c>
      <c r="B316" s="3" t="s">
        <v>70</v>
      </c>
      <c r="C316" s="7" t="str">
        <f t="shared" si="11"/>
        <v>RydbergConstantTimesHcInEV</v>
      </c>
      <c r="D316" s="1" t="s">
        <v>70</v>
      </c>
      <c r="E316" s="11" t="str">
        <f t="shared" si="2"/>
        <v>https://w3id.org/uom/eV</v>
      </c>
      <c r="F316" s="1"/>
      <c r="G316" s="1" t="s">
        <v>1006</v>
      </c>
      <c r="H316" s="1" t="s">
        <v>1011</v>
      </c>
      <c r="I316" s="7" t="b">
        <f t="shared" si="3"/>
        <v>1</v>
      </c>
    </row>
    <row r="317">
      <c r="A317" s="3" t="s">
        <v>1012</v>
      </c>
      <c r="B317" s="3" t="s">
        <v>41</v>
      </c>
      <c r="C317" s="7" t="str">
        <f t="shared" si="11"/>
        <v>RydbergConstantTimesHcInJ</v>
      </c>
      <c r="D317" s="1" t="s">
        <v>41</v>
      </c>
      <c r="E317" s="11" t="str">
        <f t="shared" si="2"/>
        <v>https://w3id.org/uom/J</v>
      </c>
      <c r="F317" s="1"/>
      <c r="G317" s="1" t="s">
        <v>1006</v>
      </c>
      <c r="H317" s="1" t="s">
        <v>1013</v>
      </c>
      <c r="I317" s="7" t="b">
        <f t="shared" si="3"/>
        <v>1</v>
      </c>
    </row>
    <row r="318">
      <c r="A318" s="3" t="s">
        <v>1014</v>
      </c>
      <c r="C318" s="7" t="str">
        <f t="shared" si="11"/>
        <v>SackurTetrodeConstant1K100KPa</v>
      </c>
      <c r="D318" s="1"/>
      <c r="E318" s="3" t="str">
        <f t="shared" si="2"/>
        <v/>
      </c>
      <c r="F318" s="1"/>
      <c r="G318" s="1" t="s">
        <v>1015</v>
      </c>
      <c r="H318" s="1" t="s">
        <v>1016</v>
      </c>
      <c r="I318" s="7" t="b">
        <f t="shared" si="3"/>
        <v>1</v>
      </c>
    </row>
    <row r="319">
      <c r="A319" s="3" t="s">
        <v>1017</v>
      </c>
      <c r="C319" s="1" t="s">
        <v>1018</v>
      </c>
      <c r="E319" s="3" t="str">
        <f t="shared" si="2"/>
        <v/>
      </c>
      <c r="F319" s="1"/>
      <c r="G319" s="1" t="s">
        <v>1015</v>
      </c>
      <c r="I319" s="7" t="b">
        <f>not(isblank(H320))</f>
        <v>1</v>
      </c>
    </row>
    <row r="320">
      <c r="A320" s="3" t="s">
        <v>1019</v>
      </c>
      <c r="B320" s="3" t="s">
        <v>1020</v>
      </c>
      <c r="C320" s="7" t="str">
        <f t="shared" ref="C320:C322" si="12">if(isblank(H320),concatenate(substitute(proper(A320)," ","")),SUBSTITUTE(H320,"constant:",""))</f>
        <v>SecondRadiationConstant</v>
      </c>
      <c r="D320" s="1" t="s">
        <v>1021</v>
      </c>
      <c r="E320" s="11" t="str">
        <f t="shared" si="2"/>
        <v>https://w3id.org/uom/m.K</v>
      </c>
      <c r="G320" s="3" t="s">
        <v>1022</v>
      </c>
      <c r="H320" s="1" t="s">
        <v>1023</v>
      </c>
      <c r="I320" s="7" t="b">
        <f>not(isblank(#REF!))</f>
        <v>1</v>
      </c>
    </row>
    <row r="321">
      <c r="A321" s="3" t="s">
        <v>1024</v>
      </c>
      <c r="B321" s="3" t="s">
        <v>361</v>
      </c>
      <c r="C321" s="7" t="str">
        <f t="shared" si="12"/>
        <v>ShieldedHelionGyromagneticRatio</v>
      </c>
      <c r="D321" s="1" t="s">
        <v>362</v>
      </c>
      <c r="E321" s="11" t="str">
        <f t="shared" si="2"/>
        <v>https://w3id.org/uom/s-1.T-1</v>
      </c>
      <c r="G321" s="3" t="s">
        <v>1025</v>
      </c>
      <c r="H321" s="1" t="s">
        <v>1026</v>
      </c>
      <c r="I321" s="7" t="b">
        <f t="shared" ref="I321:I375" si="13">not(isblank(H321))</f>
        <v>1</v>
      </c>
    </row>
    <row r="322">
      <c r="B322" s="3" t="s">
        <v>266</v>
      </c>
      <c r="C322" s="7" t="str">
        <f t="shared" si="12"/>
        <v>ShieldedHelionGyromagneticRatioOver2Pi</v>
      </c>
      <c r="D322" s="1"/>
      <c r="E322" s="3" t="str">
        <f t="shared" si="2"/>
        <v/>
      </c>
      <c r="F322" s="1"/>
      <c r="G322" s="1" t="s">
        <v>1025</v>
      </c>
      <c r="H322" s="1" t="s">
        <v>1027</v>
      </c>
      <c r="I322" s="7" t="b">
        <f t="shared" si="13"/>
        <v>1</v>
      </c>
    </row>
    <row r="323">
      <c r="A323" s="3" t="s">
        <v>1028</v>
      </c>
      <c r="B323" s="3" t="s">
        <v>367</v>
      </c>
      <c r="C323" s="1" t="s">
        <v>1029</v>
      </c>
      <c r="D323" s="1" t="s">
        <v>369</v>
      </c>
      <c r="E323" s="11" t="str">
        <f t="shared" si="2"/>
        <v>https://w3id.org/uom/MHz.T-1</v>
      </c>
      <c r="F323" s="1"/>
      <c r="G323" s="1" t="s">
        <v>1025</v>
      </c>
      <c r="I323" s="7" t="b">
        <f t="shared" si="13"/>
        <v>0</v>
      </c>
    </row>
    <row r="324">
      <c r="A324" s="3" t="s">
        <v>1030</v>
      </c>
      <c r="B324" s="3" t="s">
        <v>165</v>
      </c>
      <c r="C324" s="7" t="str">
        <f t="shared" ref="C324:C375" si="14">if(isblank(H324),concatenate(substitute(proper(A324)," ","")),SUBSTITUTE(H324,"constant:",""))</f>
        <v>ShieldedHelionMagneticMoment</v>
      </c>
      <c r="D324" s="1" t="s">
        <v>166</v>
      </c>
      <c r="E324" s="11" t="str">
        <f t="shared" si="2"/>
        <v>https://w3id.org/uom/J.T-1</v>
      </c>
      <c r="G324" s="3" t="s">
        <v>1031</v>
      </c>
      <c r="H324" s="1" t="s">
        <v>1032</v>
      </c>
      <c r="I324" s="7" t="b">
        <f t="shared" si="13"/>
        <v>1</v>
      </c>
    </row>
    <row r="325">
      <c r="A325" s="3" t="s">
        <v>1033</v>
      </c>
      <c r="C325" s="7" t="str">
        <f t="shared" si="14"/>
        <v>ShieldedHelionMagneticMomentToBohrMagnetonRatio</v>
      </c>
      <c r="D325" s="1"/>
      <c r="E325" s="3" t="str">
        <f t="shared" si="2"/>
        <v/>
      </c>
      <c r="G325" s="3" t="s">
        <v>1034</v>
      </c>
      <c r="H325" s="1" t="s">
        <v>1035</v>
      </c>
      <c r="I325" s="7" t="b">
        <f t="shared" si="13"/>
        <v>1</v>
      </c>
    </row>
    <row r="326">
      <c r="A326" s="3" t="s">
        <v>1036</v>
      </c>
      <c r="C326" s="7" t="str">
        <f t="shared" si="14"/>
        <v>ShieldedHelionMagneticMomentToNuclearMagnetonRatio</v>
      </c>
      <c r="D326" s="1"/>
      <c r="E326" s="3" t="str">
        <f t="shared" si="2"/>
        <v/>
      </c>
      <c r="G326" s="3" t="s">
        <v>1037</v>
      </c>
      <c r="H326" s="1" t="s">
        <v>1038</v>
      </c>
      <c r="I326" s="7" t="b">
        <f t="shared" si="13"/>
        <v>1</v>
      </c>
    </row>
    <row r="327">
      <c r="A327" s="3" t="s">
        <v>1039</v>
      </c>
      <c r="C327" s="7" t="str">
        <f t="shared" si="14"/>
        <v>ShieldedHelionToProtonMagneticMomentRatio</v>
      </c>
      <c r="D327" s="1"/>
      <c r="E327" s="3" t="str">
        <f t="shared" si="2"/>
        <v/>
      </c>
      <c r="G327" s="3" t="s">
        <v>1040</v>
      </c>
      <c r="H327" s="1" t="s">
        <v>1041</v>
      </c>
      <c r="I327" s="7" t="b">
        <f t="shared" si="13"/>
        <v>1</v>
      </c>
    </row>
    <row r="328">
      <c r="A328" s="3" t="s">
        <v>1042</v>
      </c>
      <c r="C328" s="7" t="str">
        <f t="shared" si="14"/>
        <v>ShieldedHelionToShieldedProtonMagneticMomentRatio</v>
      </c>
      <c r="D328" s="1"/>
      <c r="E328" s="3" t="str">
        <f t="shared" si="2"/>
        <v/>
      </c>
      <c r="G328" s="3" t="s">
        <v>1043</v>
      </c>
      <c r="H328" s="1" t="s">
        <v>1044</v>
      </c>
      <c r="I328" s="7" t="b">
        <f t="shared" si="13"/>
        <v>1</v>
      </c>
    </row>
    <row r="329">
      <c r="A329" s="3" t="s">
        <v>1045</v>
      </c>
      <c r="B329" s="3" t="s">
        <v>361</v>
      </c>
      <c r="C329" s="7" t="str">
        <f t="shared" si="14"/>
        <v>ShieldedProtonGyromagneticRatio</v>
      </c>
      <c r="D329" s="1" t="s">
        <v>362</v>
      </c>
      <c r="E329" s="11" t="str">
        <f t="shared" si="2"/>
        <v>https://w3id.org/uom/s-1.T-1</v>
      </c>
      <c r="G329" s="3" t="s">
        <v>1046</v>
      </c>
      <c r="H329" s="1" t="s">
        <v>1047</v>
      </c>
      <c r="I329" s="7" t="b">
        <f t="shared" si="13"/>
        <v>1</v>
      </c>
    </row>
    <row r="330">
      <c r="A330" s="3" t="s">
        <v>1048</v>
      </c>
      <c r="B330" s="3" t="s">
        <v>367</v>
      </c>
      <c r="C330" s="7" t="str">
        <f t="shared" si="14"/>
        <v>ShieldedProtonGyromagneticRatioOver2Pi</v>
      </c>
      <c r="D330" s="1" t="s">
        <v>369</v>
      </c>
      <c r="E330" s="11" t="str">
        <f t="shared" si="2"/>
        <v>https://w3id.org/uom/MHz.T-1</v>
      </c>
      <c r="F330" s="1"/>
      <c r="G330" s="1" t="s">
        <v>1046</v>
      </c>
      <c r="H330" s="1" t="s">
        <v>1049</v>
      </c>
      <c r="I330" s="7" t="b">
        <f t="shared" si="13"/>
        <v>1</v>
      </c>
    </row>
    <row r="331">
      <c r="A331" s="3" t="s">
        <v>1050</v>
      </c>
      <c r="B331" s="3" t="s">
        <v>165</v>
      </c>
      <c r="C331" s="7" t="str">
        <f t="shared" si="14"/>
        <v>ShieldedProtonMagneticMoment</v>
      </c>
      <c r="D331" s="1" t="s">
        <v>166</v>
      </c>
      <c r="E331" s="11" t="str">
        <f t="shared" si="2"/>
        <v>https://w3id.org/uom/J.T-1</v>
      </c>
      <c r="G331" s="3" t="s">
        <v>1051</v>
      </c>
      <c r="H331" s="1" t="s">
        <v>1052</v>
      </c>
      <c r="I331" s="7" t="b">
        <f t="shared" si="13"/>
        <v>1</v>
      </c>
    </row>
    <row r="332">
      <c r="A332" s="3" t="s">
        <v>1053</v>
      </c>
      <c r="C332" s="7" t="str">
        <f t="shared" si="14"/>
        <v>ShieldedProtonMagneticMomentToBohrMagnetonRatio</v>
      </c>
      <c r="D332" s="1"/>
      <c r="E332" s="3" t="str">
        <f t="shared" si="2"/>
        <v/>
      </c>
      <c r="G332" s="3" t="s">
        <v>1054</v>
      </c>
      <c r="H332" s="1" t="s">
        <v>1055</v>
      </c>
      <c r="I332" s="7" t="b">
        <f t="shared" si="13"/>
        <v>1</v>
      </c>
    </row>
    <row r="333">
      <c r="A333" s="3" t="s">
        <v>1056</v>
      </c>
      <c r="C333" s="7" t="str">
        <f t="shared" si="14"/>
        <v>ShieldedProtonMagneticMomentToNuclearMagnetonRatio</v>
      </c>
      <c r="D333" s="1"/>
      <c r="E333" s="3" t="str">
        <f t="shared" si="2"/>
        <v/>
      </c>
      <c r="G333" s="3" t="s">
        <v>1057</v>
      </c>
      <c r="H333" s="1" t="s">
        <v>1058</v>
      </c>
      <c r="I333" s="7" t="b">
        <f t="shared" si="13"/>
        <v>1</v>
      </c>
    </row>
    <row r="334">
      <c r="A334" s="3" t="s">
        <v>1059</v>
      </c>
      <c r="C334" s="7" t="str">
        <f t="shared" si="14"/>
        <v>ShieldingDifferenceOfDAndPInHd</v>
      </c>
      <c r="E334" s="3" t="str">
        <f t="shared" si="2"/>
        <v/>
      </c>
      <c r="G334" s="3" t="s">
        <v>1060</v>
      </c>
      <c r="I334" s="7" t="b">
        <f t="shared" si="13"/>
        <v>0</v>
      </c>
    </row>
    <row r="335">
      <c r="A335" s="3" t="s">
        <v>1061</v>
      </c>
      <c r="C335" s="7" t="str">
        <f t="shared" si="14"/>
        <v>ShieldingDifferenceOfTAndPInHt</v>
      </c>
      <c r="E335" s="3" t="str">
        <f t="shared" si="2"/>
        <v/>
      </c>
      <c r="G335" s="3" t="s">
        <v>1062</v>
      </c>
      <c r="I335" s="7" t="b">
        <f t="shared" si="13"/>
        <v>0</v>
      </c>
    </row>
    <row r="336">
      <c r="A336" s="3" t="s">
        <v>1063</v>
      </c>
      <c r="B336" s="3" t="s">
        <v>196</v>
      </c>
      <c r="C336" s="7" t="str">
        <f t="shared" si="14"/>
        <v>SpeedOfLight_Vacuum</v>
      </c>
      <c r="D336" s="1" t="s">
        <v>1064</v>
      </c>
      <c r="E336" s="11" t="str">
        <f t="shared" si="2"/>
        <v>https://w3id.org/uom/[c]</v>
      </c>
      <c r="G336" s="3" t="s">
        <v>1065</v>
      </c>
      <c r="H336" s="1" t="s">
        <v>1066</v>
      </c>
      <c r="I336" s="7" t="b">
        <f t="shared" si="13"/>
        <v>1</v>
      </c>
    </row>
    <row r="337">
      <c r="A337" s="3" t="s">
        <v>1067</v>
      </c>
      <c r="B337" s="3" t="s">
        <v>1068</v>
      </c>
      <c r="C337" s="7" t="str">
        <f t="shared" si="14"/>
        <v>StandardAccelerationOfGravity</v>
      </c>
      <c r="D337" s="1" t="s">
        <v>1069</v>
      </c>
      <c r="E337" s="11" t="str">
        <f t="shared" si="2"/>
        <v>https://w3id.org/uom/[g]</v>
      </c>
      <c r="G337" s="3" t="s">
        <v>1070</v>
      </c>
      <c r="H337" s="1" t="s">
        <v>1071</v>
      </c>
      <c r="I337" s="7" t="b">
        <f t="shared" si="13"/>
        <v>1</v>
      </c>
    </row>
    <row r="338">
      <c r="A338" s="3" t="s">
        <v>1072</v>
      </c>
      <c r="B338" s="3" t="s">
        <v>1073</v>
      </c>
      <c r="C338" s="7" t="str">
        <f t="shared" si="14"/>
        <v>StandardAtmosphere</v>
      </c>
      <c r="D338" s="1" t="s">
        <v>1074</v>
      </c>
      <c r="E338" s="11" t="str">
        <f t="shared" si="2"/>
        <v>https://w3id.org/uom/atm</v>
      </c>
      <c r="G338" s="3" t="s">
        <v>1075</v>
      </c>
      <c r="H338" s="1" t="s">
        <v>1076</v>
      </c>
      <c r="I338" s="7" t="b">
        <f t="shared" si="13"/>
        <v>1</v>
      </c>
    </row>
    <row r="339">
      <c r="A339" s="3" t="s">
        <v>1077</v>
      </c>
      <c r="B339" s="3" t="s">
        <v>1073</v>
      </c>
      <c r="C339" s="7" t="str">
        <f t="shared" si="14"/>
        <v>Standard-StatePressure</v>
      </c>
      <c r="D339" s="1" t="s">
        <v>1074</v>
      </c>
      <c r="E339" s="11" t="str">
        <f t="shared" si="2"/>
        <v>https://w3id.org/uom/atm</v>
      </c>
      <c r="G339" s="3" t="s">
        <v>1078</v>
      </c>
      <c r="I339" s="7" t="b">
        <f t="shared" si="13"/>
        <v>0</v>
      </c>
    </row>
    <row r="340">
      <c r="A340" s="3" t="s">
        <v>1079</v>
      </c>
      <c r="B340" s="3" t="s">
        <v>1080</v>
      </c>
      <c r="C340" s="7" t="str">
        <f t="shared" si="14"/>
        <v>StefanBoltzmannConstant</v>
      </c>
      <c r="D340" s="1" t="s">
        <v>1081</v>
      </c>
      <c r="E340" s="11" t="str">
        <f t="shared" si="2"/>
        <v>https://w3id.org/uom/W.m-2.K-4</v>
      </c>
      <c r="G340" s="3" t="s">
        <v>1082</v>
      </c>
      <c r="H340" s="1" t="s">
        <v>1083</v>
      </c>
      <c r="I340" s="7" t="b">
        <f t="shared" si="13"/>
        <v>1</v>
      </c>
    </row>
    <row r="341">
      <c r="A341" s="3" t="s">
        <v>1084</v>
      </c>
      <c r="B341" s="3" t="s">
        <v>59</v>
      </c>
      <c r="C341" s="7" t="str">
        <f t="shared" si="14"/>
        <v>TauComptonWavelength</v>
      </c>
      <c r="D341" s="1"/>
      <c r="E341" s="3" t="str">
        <f t="shared" si="2"/>
        <v/>
      </c>
      <c r="G341" s="3" t="s">
        <v>1085</v>
      </c>
      <c r="H341" s="1" t="s">
        <v>1086</v>
      </c>
      <c r="I341" s="7" t="b">
        <f t="shared" si="13"/>
        <v>1</v>
      </c>
    </row>
    <row r="342">
      <c r="B342" s="3" t="s">
        <v>266</v>
      </c>
      <c r="C342" s="7" t="str">
        <f t="shared" si="14"/>
        <v>TauComptonWavelengthOver2Pi</v>
      </c>
      <c r="D342" s="1"/>
      <c r="E342" s="3" t="str">
        <f t="shared" si="2"/>
        <v/>
      </c>
      <c r="G342" s="3" t="s">
        <v>1087</v>
      </c>
      <c r="H342" s="1" t="s">
        <v>1088</v>
      </c>
      <c r="I342" s="7" t="b">
        <f t="shared" si="13"/>
        <v>1</v>
      </c>
    </row>
    <row r="343">
      <c r="A343" s="3" t="s">
        <v>1089</v>
      </c>
      <c r="C343" s="7" t="str">
        <f t="shared" si="14"/>
        <v>TauElectronMassRatio</v>
      </c>
      <c r="D343" s="1"/>
      <c r="E343" s="3" t="str">
        <f t="shared" si="2"/>
        <v/>
      </c>
      <c r="F343" s="1"/>
      <c r="G343" s="1" t="s">
        <v>1090</v>
      </c>
      <c r="H343" s="1" t="s">
        <v>1091</v>
      </c>
      <c r="I343" s="7" t="b">
        <f t="shared" si="13"/>
        <v>1</v>
      </c>
    </row>
    <row r="344">
      <c r="A344" s="3" t="s">
        <v>1092</v>
      </c>
      <c r="B344" s="3" t="s">
        <v>45</v>
      </c>
      <c r="C344" s="7" t="str">
        <f t="shared" si="14"/>
        <v>TauEnergyEquivalent</v>
      </c>
      <c r="D344" s="1" t="s">
        <v>45</v>
      </c>
      <c r="E344" s="11" t="str">
        <f t="shared" si="2"/>
        <v>https://w3id.org/uom/MeV</v>
      </c>
      <c r="F344" s="1"/>
      <c r="G344" s="1" t="s">
        <v>1093</v>
      </c>
      <c r="I344" s="7" t="b">
        <f t="shared" si="13"/>
        <v>0</v>
      </c>
    </row>
    <row r="345">
      <c r="A345" s="3" t="s">
        <v>1094</v>
      </c>
      <c r="B345" s="3" t="s">
        <v>38</v>
      </c>
      <c r="C345" s="7" t="str">
        <f t="shared" si="14"/>
        <v>TauMass</v>
      </c>
      <c r="D345" s="1" t="s">
        <v>38</v>
      </c>
      <c r="E345" s="11" t="str">
        <f t="shared" si="2"/>
        <v>https://w3id.org/uom/kg</v>
      </c>
      <c r="G345" s="3" t="s">
        <v>1095</v>
      </c>
      <c r="H345" s="1" t="s">
        <v>1096</v>
      </c>
      <c r="I345" s="7" t="b">
        <f t="shared" si="13"/>
        <v>1</v>
      </c>
    </row>
    <row r="346">
      <c r="A346" s="3" t="s">
        <v>1097</v>
      </c>
      <c r="B346" s="3" t="s">
        <v>41</v>
      </c>
      <c r="C346" s="7" t="str">
        <f t="shared" si="14"/>
        <v>TauMassEnergyEquivalent</v>
      </c>
      <c r="D346" s="1" t="s">
        <v>41</v>
      </c>
      <c r="E346" s="11" t="str">
        <f t="shared" si="2"/>
        <v>https://w3id.org/uom/J</v>
      </c>
      <c r="F346" s="1"/>
      <c r="G346" s="1" t="s">
        <v>1095</v>
      </c>
      <c r="H346" s="1" t="s">
        <v>1098</v>
      </c>
      <c r="I346" s="7" t="b">
        <f t="shared" si="13"/>
        <v>1</v>
      </c>
    </row>
    <row r="347">
      <c r="B347" s="3" t="s">
        <v>266</v>
      </c>
      <c r="C347" s="7" t="str">
        <f t="shared" si="14"/>
        <v>TauMassEnergyEquivalentInMeV</v>
      </c>
      <c r="D347" s="1"/>
      <c r="E347" s="3" t="str">
        <f t="shared" si="2"/>
        <v/>
      </c>
      <c r="F347" s="1"/>
      <c r="G347" s="1" t="s">
        <v>1095</v>
      </c>
      <c r="H347" s="1" t="s">
        <v>1099</v>
      </c>
      <c r="I347" s="7" t="b">
        <f t="shared" si="13"/>
        <v>1</v>
      </c>
    </row>
    <row r="348">
      <c r="A348" s="3" t="s">
        <v>1100</v>
      </c>
      <c r="B348" s="3" t="s">
        <v>48</v>
      </c>
      <c r="C348" s="7" t="str">
        <f t="shared" si="14"/>
        <v>TauMassInAtomicMassUnit</v>
      </c>
      <c r="D348" s="1" t="s">
        <v>48</v>
      </c>
      <c r="E348" s="11" t="str">
        <f t="shared" si="2"/>
        <v>https://w3id.org/uom/u</v>
      </c>
      <c r="F348" s="1"/>
      <c r="G348" s="1" t="s">
        <v>1095</v>
      </c>
      <c r="H348" s="1" t="s">
        <v>1101</v>
      </c>
      <c r="I348" s="7" t="b">
        <f t="shared" si="13"/>
        <v>1</v>
      </c>
    </row>
    <row r="349">
      <c r="A349" s="3" t="s">
        <v>1102</v>
      </c>
      <c r="B349" s="3" t="s">
        <v>51</v>
      </c>
      <c r="C349" s="7" t="str">
        <f t="shared" si="14"/>
        <v>TauMolarMass</v>
      </c>
      <c r="D349" s="1" t="s">
        <v>327</v>
      </c>
      <c r="E349" s="11" t="str">
        <f t="shared" si="2"/>
        <v>https://w3id.org/uom/kg.mol-1</v>
      </c>
      <c r="G349" s="3" t="s">
        <v>1103</v>
      </c>
      <c r="H349" s="1" t="s">
        <v>1104</v>
      </c>
      <c r="I349" s="7" t="b">
        <f t="shared" si="13"/>
        <v>1</v>
      </c>
    </row>
    <row r="350">
      <c r="A350" s="3" t="s">
        <v>1105</v>
      </c>
      <c r="C350" s="7" t="str">
        <f t="shared" si="14"/>
        <v>TauMuonMassRatio</v>
      </c>
      <c r="D350" s="1"/>
      <c r="E350" s="3" t="str">
        <f t="shared" si="2"/>
        <v/>
      </c>
      <c r="G350" s="3" t="s">
        <v>1106</v>
      </c>
      <c r="H350" s="1" t="s">
        <v>1107</v>
      </c>
      <c r="I350" s="7" t="b">
        <f t="shared" si="13"/>
        <v>1</v>
      </c>
    </row>
    <row r="351">
      <c r="A351" s="3" t="s">
        <v>1108</v>
      </c>
      <c r="C351" s="7" t="str">
        <f t="shared" si="14"/>
        <v>TauNeutronMassRatio</v>
      </c>
      <c r="D351" s="1"/>
      <c r="E351" s="3" t="str">
        <f t="shared" si="2"/>
        <v/>
      </c>
      <c r="G351" s="3" t="s">
        <v>1109</v>
      </c>
      <c r="H351" s="1" t="s">
        <v>1110</v>
      </c>
      <c r="I351" s="7" t="b">
        <f t="shared" si="13"/>
        <v>1</v>
      </c>
    </row>
    <row r="352">
      <c r="A352" s="3" t="s">
        <v>1111</v>
      </c>
      <c r="C352" s="7" t="str">
        <f t="shared" si="14"/>
        <v>TauProtonMassRatio</v>
      </c>
      <c r="D352" s="1"/>
      <c r="E352" s="3" t="str">
        <f t="shared" si="2"/>
        <v/>
      </c>
      <c r="G352" s="3" t="s">
        <v>1112</v>
      </c>
      <c r="H352" s="1" t="s">
        <v>1113</v>
      </c>
      <c r="I352" s="7" t="b">
        <f t="shared" si="13"/>
        <v>1</v>
      </c>
    </row>
    <row r="353">
      <c r="A353" s="3" t="s">
        <v>1114</v>
      </c>
      <c r="B353" s="3" t="s">
        <v>1115</v>
      </c>
      <c r="C353" s="7" t="str">
        <f t="shared" si="14"/>
        <v>ThomsonCrossSection</v>
      </c>
      <c r="D353" s="1" t="s">
        <v>1115</v>
      </c>
      <c r="E353" s="11" t="str">
        <f t="shared" si="2"/>
        <v>https://w3id.org/uom/m^2</v>
      </c>
      <c r="G353" s="3" t="s">
        <v>1116</v>
      </c>
      <c r="H353" s="1" t="s">
        <v>1117</v>
      </c>
      <c r="I353" s="7" t="b">
        <f t="shared" si="13"/>
        <v>1</v>
      </c>
    </row>
    <row r="354">
      <c r="B354" s="3" t="s">
        <v>266</v>
      </c>
      <c r="C354" s="7" t="str">
        <f t="shared" si="14"/>
        <v>TritonElectronMagneticMomentRatio</v>
      </c>
      <c r="D354" s="1"/>
      <c r="E354" s="3" t="str">
        <f t="shared" si="2"/>
        <v/>
      </c>
      <c r="G354" s="3" t="s">
        <v>1118</v>
      </c>
      <c r="H354" s="1" t="s">
        <v>1119</v>
      </c>
      <c r="I354" s="7" t="b">
        <f t="shared" si="13"/>
        <v>1</v>
      </c>
    </row>
    <row r="355">
      <c r="A355" s="3" t="s">
        <v>1120</v>
      </c>
      <c r="C355" s="7" t="str">
        <f t="shared" si="14"/>
        <v>TritonElectronMassRatio</v>
      </c>
      <c r="D355" s="1"/>
      <c r="E355" s="3" t="str">
        <f t="shared" si="2"/>
        <v/>
      </c>
      <c r="G355" s="3" t="s">
        <v>1121</v>
      </c>
      <c r="H355" s="1" t="s">
        <v>1122</v>
      </c>
      <c r="I355" s="7" t="b">
        <f t="shared" si="13"/>
        <v>1</v>
      </c>
    </row>
    <row r="356">
      <c r="A356" s="3" t="s">
        <v>1123</v>
      </c>
      <c r="C356" s="7" t="str">
        <f t="shared" si="14"/>
        <v>TritonGFactor</v>
      </c>
      <c r="D356" s="1"/>
      <c r="E356" s="3" t="str">
        <f t="shared" si="2"/>
        <v/>
      </c>
      <c r="G356" s="3" t="s">
        <v>1124</v>
      </c>
      <c r="H356" s="1" t="s">
        <v>1125</v>
      </c>
      <c r="I356" s="7" t="b">
        <f t="shared" si="13"/>
        <v>1</v>
      </c>
    </row>
    <row r="357">
      <c r="A357" s="3" t="s">
        <v>1126</v>
      </c>
      <c r="B357" s="3" t="s">
        <v>165</v>
      </c>
      <c r="C357" s="7" t="str">
        <f t="shared" si="14"/>
        <v>TritonMagneticMoment</v>
      </c>
      <c r="D357" s="1" t="s">
        <v>166</v>
      </c>
      <c r="E357" s="11" t="str">
        <f t="shared" si="2"/>
        <v>https://w3id.org/uom/J.T-1</v>
      </c>
      <c r="G357" s="3" t="s">
        <v>1127</v>
      </c>
      <c r="H357" s="1" t="s">
        <v>1128</v>
      </c>
      <c r="I357" s="7" t="b">
        <f t="shared" si="13"/>
        <v>1</v>
      </c>
    </row>
    <row r="358">
      <c r="A358" s="3" t="s">
        <v>1129</v>
      </c>
      <c r="C358" s="7" t="str">
        <f t="shared" si="14"/>
        <v>TritonMagneticMomentToBohrMagnetonRatio</v>
      </c>
      <c r="D358" s="1"/>
      <c r="E358" s="3" t="str">
        <f t="shared" si="2"/>
        <v/>
      </c>
      <c r="G358" s="3" t="s">
        <v>1130</v>
      </c>
      <c r="H358" s="1" t="s">
        <v>1131</v>
      </c>
      <c r="I358" s="7" t="b">
        <f t="shared" si="13"/>
        <v>1</v>
      </c>
    </row>
    <row r="359">
      <c r="A359" s="3" t="s">
        <v>1132</v>
      </c>
      <c r="C359" s="7" t="str">
        <f t="shared" si="14"/>
        <v>TritonMagneticMomentToNuclearMagnetonRatio</v>
      </c>
      <c r="D359" s="1"/>
      <c r="E359" s="3" t="str">
        <f t="shared" si="2"/>
        <v/>
      </c>
      <c r="G359" s="3" t="s">
        <v>1133</v>
      </c>
      <c r="H359" s="1" t="s">
        <v>1134</v>
      </c>
      <c r="I359" s="7" t="b">
        <f t="shared" si="13"/>
        <v>1</v>
      </c>
    </row>
    <row r="360">
      <c r="A360" s="3" t="s">
        <v>1135</v>
      </c>
      <c r="B360" s="3" t="s">
        <v>38</v>
      </c>
      <c r="C360" s="7" t="str">
        <f t="shared" si="14"/>
        <v>TritonMass</v>
      </c>
      <c r="D360" s="1" t="s">
        <v>38</v>
      </c>
      <c r="E360" s="11" t="str">
        <f t="shared" si="2"/>
        <v>https://w3id.org/uom/kg</v>
      </c>
      <c r="G360" s="3" t="s">
        <v>1136</v>
      </c>
      <c r="H360" s="1" t="s">
        <v>1137</v>
      </c>
      <c r="I360" s="7" t="b">
        <f t="shared" si="13"/>
        <v>1</v>
      </c>
    </row>
    <row r="361">
      <c r="A361" s="3" t="s">
        <v>1138</v>
      </c>
      <c r="B361" s="3" t="s">
        <v>41</v>
      </c>
      <c r="C361" s="7" t="str">
        <f t="shared" si="14"/>
        <v>TritonMassEnergyEquivalent</v>
      </c>
      <c r="D361" s="1" t="s">
        <v>41</v>
      </c>
      <c r="E361" s="11" t="str">
        <f t="shared" si="2"/>
        <v>https://w3id.org/uom/J</v>
      </c>
      <c r="G361" s="3" t="s">
        <v>1139</v>
      </c>
      <c r="H361" s="1" t="s">
        <v>1140</v>
      </c>
      <c r="I361" s="7" t="b">
        <f t="shared" si="13"/>
        <v>1</v>
      </c>
    </row>
    <row r="362">
      <c r="A362" s="3" t="s">
        <v>1141</v>
      </c>
      <c r="B362" s="3" t="s">
        <v>45</v>
      </c>
      <c r="C362" s="7" t="str">
        <f t="shared" si="14"/>
        <v>TritonMassEnergyEquivalentInMeV</v>
      </c>
      <c r="D362" s="1" t="s">
        <v>45</v>
      </c>
      <c r="E362" s="11" t="str">
        <f t="shared" si="2"/>
        <v>https://w3id.org/uom/MeV</v>
      </c>
      <c r="F362" s="1"/>
      <c r="G362" s="1" t="s">
        <v>1139</v>
      </c>
      <c r="H362" s="1" t="s">
        <v>1142</v>
      </c>
      <c r="I362" s="7" t="b">
        <f t="shared" si="13"/>
        <v>1</v>
      </c>
    </row>
    <row r="363">
      <c r="A363" s="3" t="s">
        <v>1143</v>
      </c>
      <c r="B363" s="3" t="s">
        <v>48</v>
      </c>
      <c r="C363" s="7" t="str">
        <f t="shared" si="14"/>
        <v>TritonMassInAtomicMassUnit</v>
      </c>
      <c r="D363" s="1" t="s">
        <v>48</v>
      </c>
      <c r="E363" s="11" t="str">
        <f t="shared" si="2"/>
        <v>https://w3id.org/uom/u</v>
      </c>
      <c r="G363" s="3" t="s">
        <v>1144</v>
      </c>
      <c r="H363" s="1" t="s">
        <v>1145</v>
      </c>
      <c r="I363" s="7" t="b">
        <f t="shared" si="13"/>
        <v>1</v>
      </c>
    </row>
    <row r="364">
      <c r="A364" s="3" t="s">
        <v>1146</v>
      </c>
      <c r="B364" s="3" t="s">
        <v>51</v>
      </c>
      <c r="C364" s="7" t="str">
        <f t="shared" si="14"/>
        <v>TritonMolarMass</v>
      </c>
      <c r="D364" s="1" t="s">
        <v>327</v>
      </c>
      <c r="E364" s="11" t="str">
        <f t="shared" si="2"/>
        <v>https://w3id.org/uom/kg.mol-1</v>
      </c>
      <c r="G364" s="3" t="s">
        <v>1147</v>
      </c>
      <c r="H364" s="1" t="s">
        <v>1148</v>
      </c>
      <c r="I364" s="7" t="b">
        <f t="shared" si="13"/>
        <v>1</v>
      </c>
    </row>
    <row r="365">
      <c r="A365" s="3" t="s">
        <v>1149</v>
      </c>
      <c r="C365" s="7" t="str">
        <f t="shared" si="14"/>
        <v>TritonNeutronMagneticMomentRatio</v>
      </c>
      <c r="D365" s="1"/>
      <c r="E365" s="3" t="str">
        <f t="shared" si="2"/>
        <v/>
      </c>
      <c r="G365" s="3" t="s">
        <v>1150</v>
      </c>
      <c r="H365" s="1" t="s">
        <v>1151</v>
      </c>
      <c r="I365" s="7" t="b">
        <f t="shared" si="13"/>
        <v>1</v>
      </c>
    </row>
    <row r="366">
      <c r="A366" s="3" t="s">
        <v>1152</v>
      </c>
      <c r="C366" s="7" t="str">
        <f t="shared" si="14"/>
        <v>TritonProtonMagneticMomentRatio</v>
      </c>
      <c r="D366" s="1"/>
      <c r="E366" s="3" t="str">
        <f t="shared" si="2"/>
        <v/>
      </c>
      <c r="G366" s="3" t="s">
        <v>1153</v>
      </c>
      <c r="H366" s="1" t="s">
        <v>1154</v>
      </c>
      <c r="I366" s="7" t="b">
        <f t="shared" si="13"/>
        <v>1</v>
      </c>
    </row>
    <row r="367">
      <c r="A367" s="3" t="s">
        <v>1155</v>
      </c>
      <c r="C367" s="7" t="str">
        <f t="shared" si="14"/>
        <v>TritonProtonMassRatio</v>
      </c>
      <c r="D367" s="1"/>
      <c r="E367" s="3" t="str">
        <f t="shared" si="2"/>
        <v/>
      </c>
      <c r="G367" s="3" t="s">
        <v>1156</v>
      </c>
      <c r="H367" s="1" t="s">
        <v>1157</v>
      </c>
      <c r="I367" s="7" t="b">
        <f t="shared" si="13"/>
        <v>1</v>
      </c>
    </row>
    <row r="368">
      <c r="A368" s="3" t="s">
        <v>1158</v>
      </c>
      <c r="B368" s="3" t="s">
        <v>38</v>
      </c>
      <c r="C368" s="7" t="str">
        <f t="shared" si="14"/>
        <v>UnifiedAtomicMassUnit</v>
      </c>
      <c r="D368" s="1" t="s">
        <v>38</v>
      </c>
      <c r="E368" s="11" t="str">
        <f t="shared" si="2"/>
        <v>https://w3id.org/uom/kg</v>
      </c>
      <c r="G368" s="3" t="s">
        <v>1159</v>
      </c>
      <c r="H368" s="1" t="s">
        <v>1160</v>
      </c>
      <c r="I368" s="7" t="b">
        <f t="shared" si="13"/>
        <v>1</v>
      </c>
    </row>
    <row r="369">
      <c r="A369" s="3" t="s">
        <v>1161</v>
      </c>
      <c r="B369" s="3" t="s">
        <v>187</v>
      </c>
      <c r="C369" s="7" t="str">
        <f t="shared" si="14"/>
        <v>PermittivityOfVacuum</v>
      </c>
      <c r="D369" s="1" t="s">
        <v>1162</v>
      </c>
      <c r="E369" s="11" t="str">
        <f t="shared" si="2"/>
        <v>https://w3id.org/uom/[eps_0]</v>
      </c>
      <c r="G369" s="3" t="s">
        <v>1163</v>
      </c>
      <c r="H369" s="1" t="s">
        <v>1164</v>
      </c>
      <c r="I369" s="7" t="b">
        <f t="shared" si="13"/>
        <v>1</v>
      </c>
    </row>
    <row r="370">
      <c r="A370" s="3" t="s">
        <v>1165</v>
      </c>
      <c r="B370" s="3" t="s">
        <v>1166</v>
      </c>
      <c r="C370" s="7" t="str">
        <f t="shared" si="14"/>
        <v>ElectromagneticPermeabilityOfVacuum</v>
      </c>
      <c r="D370" s="1" t="s">
        <v>1167</v>
      </c>
      <c r="E370" s="11" t="str">
        <f t="shared" si="2"/>
        <v>https://w3id.org/uom/[mu_0]</v>
      </c>
      <c r="G370" s="3" t="s">
        <v>1168</v>
      </c>
      <c r="H370" s="1" t="s">
        <v>1169</v>
      </c>
      <c r="I370" s="7" t="b">
        <f t="shared" si="13"/>
        <v>1</v>
      </c>
    </row>
    <row r="371">
      <c r="A371" s="3" t="s">
        <v>1170</v>
      </c>
      <c r="B371" s="3" t="s">
        <v>252</v>
      </c>
      <c r="C371" s="7" t="str">
        <f t="shared" si="14"/>
        <v>VonKlitzingConstant</v>
      </c>
      <c r="D371" s="1" t="s">
        <v>253</v>
      </c>
      <c r="E371" s="11" t="str">
        <f t="shared" si="2"/>
        <v>https://w3id.org/uom/Ohm</v>
      </c>
      <c r="G371" s="3" t="s">
        <v>1171</v>
      </c>
      <c r="H371" s="1" t="s">
        <v>1172</v>
      </c>
      <c r="I371" s="7" t="b">
        <f t="shared" si="13"/>
        <v>1</v>
      </c>
    </row>
    <row r="372">
      <c r="A372" s="3" t="s">
        <v>1173</v>
      </c>
      <c r="C372" s="7" t="str">
        <f t="shared" si="14"/>
        <v>WeakMixingAngle</v>
      </c>
      <c r="D372" s="1"/>
      <c r="E372" s="3" t="str">
        <f t="shared" si="2"/>
        <v/>
      </c>
      <c r="G372" s="3" t="s">
        <v>1174</v>
      </c>
      <c r="H372" s="1" t="s">
        <v>1175</v>
      </c>
      <c r="I372" s="7" t="b">
        <f t="shared" si="13"/>
        <v>1</v>
      </c>
    </row>
    <row r="373">
      <c r="A373" s="3" t="s">
        <v>1176</v>
      </c>
      <c r="B373" s="3" t="s">
        <v>242</v>
      </c>
      <c r="C373" s="7" t="str">
        <f t="shared" si="14"/>
        <v>WienFrequencyDisplacementLawConstant</v>
      </c>
      <c r="D373" s="1" t="s">
        <v>243</v>
      </c>
      <c r="E373" s="11" t="str">
        <f t="shared" si="2"/>
        <v>https://w3id.org/uom/Hz.K-1</v>
      </c>
      <c r="G373" s="3" t="s">
        <v>1177</v>
      </c>
      <c r="H373" s="1" t="s">
        <v>1178</v>
      </c>
      <c r="I373" s="7" t="b">
        <f t="shared" si="13"/>
        <v>1</v>
      </c>
    </row>
    <row r="374">
      <c r="A374" s="3" t="s">
        <v>1179</v>
      </c>
      <c r="B374" s="3" t="s">
        <v>1020</v>
      </c>
      <c r="C374" s="7" t="str">
        <f t="shared" si="14"/>
        <v>WienWavelengthDisplacementLawConstant</v>
      </c>
      <c r="D374" s="1" t="s">
        <v>1021</v>
      </c>
      <c r="E374" s="11" t="str">
        <f t="shared" si="2"/>
        <v>https://w3id.org/uom/m.K</v>
      </c>
      <c r="G374" s="3" t="s">
        <v>1180</v>
      </c>
      <c r="H374" s="1" t="s">
        <v>1181</v>
      </c>
      <c r="I374" s="7" t="b">
        <f t="shared" si="13"/>
        <v>1</v>
      </c>
    </row>
    <row r="375">
      <c r="A375" s="3" t="s">
        <v>1182</v>
      </c>
      <c r="C375" s="7" t="str">
        <f t="shared" si="14"/>
        <v>WToZMassRatio</v>
      </c>
      <c r="E375" s="3" t="str">
        <f t="shared" si="2"/>
        <v/>
      </c>
      <c r="G375" s="3" t="s">
        <v>1183</v>
      </c>
      <c r="I375" s="7" t="b">
        <f t="shared" si="13"/>
        <v>0</v>
      </c>
    </row>
  </sheetData>
  <conditionalFormatting sqref="D1:D375">
    <cfRule type="cellIs" dxfId="0" priority="1" operator="equal">
      <formula>"?"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0"/>
    <col customWidth="1" min="2" max="2" width="41.29"/>
    <col customWidth="1" min="3" max="3" width="22.43"/>
    <col customWidth="1" min="4" max="4" width="13.86"/>
    <col customWidth="1" min="5" max="5" width="9.0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9.14"/>
    <col customWidth="1" min="12" max="12" width="9.57"/>
    <col customWidth="1" min="13" max="14" width="10.14"/>
    <col customWidth="1" min="15" max="15" width="49.57"/>
  </cols>
  <sheetData>
    <row r="1">
      <c r="A1" s="4" t="s">
        <v>1</v>
      </c>
      <c r="B1" s="4" t="s">
        <v>1184</v>
      </c>
      <c r="C1" s="4" t="s">
        <v>1185</v>
      </c>
      <c r="D1" s="4" t="s">
        <v>1186</v>
      </c>
      <c r="E1" s="4"/>
      <c r="F1" s="10" t="s">
        <v>0</v>
      </c>
      <c r="G1" s="13" t="s">
        <v>1187</v>
      </c>
      <c r="H1" s="13" t="s">
        <v>1188</v>
      </c>
      <c r="I1" s="13" t="s">
        <v>1189</v>
      </c>
      <c r="J1" s="13" t="s">
        <v>1190</v>
      </c>
      <c r="K1" s="13" t="s">
        <v>1191</v>
      </c>
      <c r="L1" s="13" t="s">
        <v>1192</v>
      </c>
      <c r="M1" s="14"/>
      <c r="N1" s="14" t="s">
        <v>1193</v>
      </c>
      <c r="O1" s="13" t="s">
        <v>1194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34</v>
      </c>
      <c r="B2" s="1" t="s">
        <v>1195</v>
      </c>
      <c r="C2" s="1" t="s">
        <v>1196</v>
      </c>
      <c r="E2" s="15"/>
      <c r="F2" s="16" t="str">
        <f>VLOOKUP($A2,ConstantsUnits!$A:$C,3,false)</f>
        <v>AlphaParticleElectronMassRatio</v>
      </c>
      <c r="G2" s="17" t="str">
        <f t="shared" ref="G2:G355" si="1">SUBSTITUTE(SUBSTITUTE(B2," ",""),"...","")</f>
        <v>7294.29954142</v>
      </c>
      <c r="H2" s="17">
        <f t="shared" ref="H2:H355" si="2">value(G2)</f>
        <v>7294.299541</v>
      </c>
      <c r="I2" s="17" t="str">
        <f t="shared" ref="I2:I355" si="3">SUBSTITUTE(C2," ","")</f>
        <v>0.00000024</v>
      </c>
      <c r="J2" s="17">
        <f t="shared" ref="J2:J355" si="4">if(I2="(exact)","",value(I2))</f>
        <v>0.00000024</v>
      </c>
      <c r="K2" s="17" t="b">
        <f t="shared" ref="K2:K355" si="5">ISNUMBER(search("...",B2))</f>
        <v>0</v>
      </c>
      <c r="L2" s="16" t="str">
        <f>IFERROR(__xludf.DUMMYFUNCTION("if(regexmatch(B2,""e(.*)$""),regexextract(B2,""e(.*)$""),"""")"),"")</f>
        <v/>
      </c>
      <c r="M2" s="18"/>
      <c r="N2" s="18">
        <f>countif(ConstantsUnits!C:C,F2)</f>
        <v>1</v>
      </c>
      <c r="O2" s="16" t="str">
        <f>VLOOKUP($A2,ConstantsUnits!$A:$A,1,false)</f>
        <v>alpha particle-electron mass ratio</v>
      </c>
    </row>
    <row r="3">
      <c r="A3" s="1" t="s">
        <v>37</v>
      </c>
      <c r="B3" s="1" t="s">
        <v>1197</v>
      </c>
      <c r="C3" s="1" t="s">
        <v>1198</v>
      </c>
      <c r="D3" s="1" t="s">
        <v>38</v>
      </c>
      <c r="E3" s="15"/>
      <c r="F3" s="16" t="str">
        <f>VLOOKUP($A3,ConstantsUnits!$A:$C,3,false)</f>
        <v>AlphaParticleMass</v>
      </c>
      <c r="G3" s="17" t="str">
        <f t="shared" si="1"/>
        <v>6.6446573357e-27</v>
      </c>
      <c r="H3" s="17">
        <f t="shared" si="2"/>
        <v>0</v>
      </c>
      <c r="I3" s="17" t="str">
        <f t="shared" si="3"/>
        <v>0.0000000020e-27</v>
      </c>
      <c r="J3" s="17">
        <f t="shared" si="4"/>
        <v>0</v>
      </c>
      <c r="K3" s="17" t="b">
        <f t="shared" si="5"/>
        <v>0</v>
      </c>
      <c r="L3" s="16" t="str">
        <f>IFERROR(__xludf.DUMMYFUNCTION("if(regexmatch(B3,""e(.*)$""),regexextract(B3,""e(.*)$""),"""")"),"-27")</f>
        <v>-27</v>
      </c>
      <c r="M3" s="18"/>
      <c r="N3" s="18">
        <f>countif(ConstantsUnits!C:C,F3)</f>
        <v>1</v>
      </c>
      <c r="O3" s="16" t="str">
        <f>VLOOKUP($A3,ConstantsUnits!$A:$A,1,false)</f>
        <v>alpha particle mass</v>
      </c>
    </row>
    <row r="4">
      <c r="A4" s="1" t="s">
        <v>40</v>
      </c>
      <c r="B4" s="1" t="s">
        <v>1199</v>
      </c>
      <c r="C4" s="1" t="s">
        <v>1200</v>
      </c>
      <c r="D4" s="1" t="s">
        <v>41</v>
      </c>
      <c r="E4" s="15"/>
      <c r="F4" s="16" t="str">
        <f>VLOOKUP($A4,ConstantsUnits!$A:$C,3,false)</f>
        <v>AlphaParticleMassEnergyEquivalent</v>
      </c>
      <c r="G4" s="17" t="str">
        <f t="shared" si="1"/>
        <v>5.9719201914e-10</v>
      </c>
      <c r="H4" s="17">
        <f t="shared" si="2"/>
        <v>0.0000000005971920191</v>
      </c>
      <c r="I4" s="17" t="str">
        <f t="shared" si="3"/>
        <v>0.0000000018e-10</v>
      </c>
      <c r="J4" s="17">
        <f t="shared" si="4"/>
        <v>0</v>
      </c>
      <c r="K4" s="17" t="b">
        <f t="shared" si="5"/>
        <v>0</v>
      </c>
      <c r="L4" s="16" t="str">
        <f>IFERROR(__xludf.DUMMYFUNCTION("if(regexmatch(B4,""e(.*)$""),regexextract(B4,""e(.*)$""),"""")"),"-10")</f>
        <v>-10</v>
      </c>
      <c r="M4" s="18"/>
      <c r="N4" s="18">
        <f>countif(ConstantsUnits!C:C,F4)</f>
        <v>1</v>
      </c>
      <c r="O4" s="16" t="str">
        <f>VLOOKUP($A4,ConstantsUnits!$A:$A,1,false)</f>
        <v>alpha particle mass energy equivalent</v>
      </c>
    </row>
    <row r="5">
      <c r="A5" s="1" t="s">
        <v>44</v>
      </c>
      <c r="B5" s="1" t="s">
        <v>1201</v>
      </c>
      <c r="C5" s="1" t="s">
        <v>1202</v>
      </c>
      <c r="D5" s="1" t="s">
        <v>45</v>
      </c>
      <c r="E5" s="15"/>
      <c r="F5" s="16" t="str">
        <f>VLOOKUP($A5,ConstantsUnits!$A:$C,3,false)</f>
        <v>AlphaParticleMassEnergyEquivalentInMeV</v>
      </c>
      <c r="G5" s="17" t="str">
        <f t="shared" si="1"/>
        <v>3727.3794066</v>
      </c>
      <c r="H5" s="17">
        <f t="shared" si="2"/>
        <v>3727.379407</v>
      </c>
      <c r="I5" s="17" t="str">
        <f t="shared" si="3"/>
        <v>0.0000011</v>
      </c>
      <c r="J5" s="17">
        <f t="shared" si="4"/>
        <v>0.0000011</v>
      </c>
      <c r="K5" s="17" t="b">
        <f t="shared" si="5"/>
        <v>0</v>
      </c>
      <c r="L5" s="16" t="str">
        <f>IFERROR(__xludf.DUMMYFUNCTION("if(regexmatch(B5,""e(.*)$""),regexextract(B5,""e(.*)$""),"""")"),"")</f>
        <v/>
      </c>
      <c r="M5" s="18"/>
      <c r="N5" s="18">
        <f>countif(ConstantsUnits!C:C,F5)</f>
        <v>1</v>
      </c>
      <c r="O5" s="16" t="str">
        <f>VLOOKUP($A5,ConstantsUnits!$A:$A,1,false)</f>
        <v>alpha particle mass energy equivalent in MeV</v>
      </c>
    </row>
    <row r="6">
      <c r="A6" s="1" t="s">
        <v>47</v>
      </c>
      <c r="B6" s="1" t="s">
        <v>1203</v>
      </c>
      <c r="C6" s="1" t="s">
        <v>1204</v>
      </c>
      <c r="D6" s="1" t="s">
        <v>48</v>
      </c>
      <c r="E6" s="15"/>
      <c r="F6" s="16" t="str">
        <f>VLOOKUP($A6,ConstantsUnits!$A:$C,3,false)</f>
        <v>AlphaParticleMassInAtomicMassUnit</v>
      </c>
      <c r="G6" s="17" t="str">
        <f t="shared" si="1"/>
        <v>4.001506179127</v>
      </c>
      <c r="H6" s="17">
        <f t="shared" si="2"/>
        <v>4.001506179</v>
      </c>
      <c r="I6" s="17" t="str">
        <f t="shared" si="3"/>
        <v>0.000000000063</v>
      </c>
      <c r="J6" s="17">
        <f t="shared" si="4"/>
        <v>0</v>
      </c>
      <c r="K6" s="17" t="b">
        <f t="shared" si="5"/>
        <v>0</v>
      </c>
      <c r="L6" s="16" t="str">
        <f>IFERROR(__xludf.DUMMYFUNCTION("if(regexmatch(B6,""e(.*)$""),regexextract(B6,""e(.*)$""),"""")"),"")</f>
        <v/>
      </c>
      <c r="M6" s="18"/>
      <c r="N6" s="18">
        <f>countif(ConstantsUnits!C:C,F6)</f>
        <v>1</v>
      </c>
      <c r="O6" s="16" t="str">
        <f>VLOOKUP($A6,ConstantsUnits!$A:$A,1,false)</f>
        <v>alpha particle mass in u</v>
      </c>
    </row>
    <row r="7">
      <c r="A7" s="1" t="s">
        <v>50</v>
      </c>
      <c r="B7" s="1" t="s">
        <v>1205</v>
      </c>
      <c r="C7" s="1" t="s">
        <v>1206</v>
      </c>
      <c r="D7" s="1" t="s">
        <v>51</v>
      </c>
      <c r="E7" s="15"/>
      <c r="F7" s="16" t="str">
        <f>VLOOKUP($A7,ConstantsUnits!$A:$C,3,false)</f>
        <v>AlphaParticleMolarMass</v>
      </c>
      <c r="G7" s="17" t="str">
        <f t="shared" si="1"/>
        <v>4.0015061777e-3</v>
      </c>
      <c r="H7" s="17">
        <f t="shared" si="2"/>
        <v>0.004001506178</v>
      </c>
      <c r="I7" s="17" t="str">
        <f t="shared" si="3"/>
        <v>0.0000000012e-3</v>
      </c>
      <c r="J7" s="17">
        <f t="shared" si="4"/>
        <v>0</v>
      </c>
      <c r="K7" s="17" t="b">
        <f t="shared" si="5"/>
        <v>0</v>
      </c>
      <c r="L7" s="16" t="str">
        <f>IFERROR(__xludf.DUMMYFUNCTION("if(regexmatch(B7,""e(.*)$""),regexextract(B7,""e(.*)$""),"""")"),"-3")</f>
        <v>-3</v>
      </c>
      <c r="M7" s="18"/>
      <c r="N7" s="18">
        <f>countif(ConstantsUnits!C:C,F7)</f>
        <v>1</v>
      </c>
      <c r="O7" s="16" t="str">
        <f>VLOOKUP($A7,ConstantsUnits!$A:$A,1,false)</f>
        <v>alpha particle molar mass</v>
      </c>
    </row>
    <row r="8">
      <c r="A8" s="1" t="s">
        <v>54</v>
      </c>
      <c r="B8" s="1" t="s">
        <v>1207</v>
      </c>
      <c r="C8" s="1" t="s">
        <v>1208</v>
      </c>
      <c r="E8" s="15"/>
      <c r="F8" s="16" t="str">
        <f>VLOOKUP($A8,ConstantsUnits!$A:$C,3,false)</f>
        <v>AlphaParticleProtonMassRatio</v>
      </c>
      <c r="G8" s="17" t="str">
        <f t="shared" si="1"/>
        <v>3.97259969009</v>
      </c>
      <c r="H8" s="17">
        <f t="shared" si="2"/>
        <v>3.97259969</v>
      </c>
      <c r="I8" s="17" t="str">
        <f t="shared" si="3"/>
        <v>0.00000000022</v>
      </c>
      <c r="J8" s="17">
        <f t="shared" si="4"/>
        <v>0.00000000022</v>
      </c>
      <c r="K8" s="17" t="b">
        <f t="shared" si="5"/>
        <v>0</v>
      </c>
      <c r="L8" s="16" t="str">
        <f>IFERROR(__xludf.DUMMYFUNCTION("if(regexmatch(B8,""e(.*)$""),regexextract(B8,""e(.*)$""),"""")"),"")</f>
        <v/>
      </c>
      <c r="M8" s="18"/>
      <c r="N8" s="18">
        <f>countif(ConstantsUnits!C:C,F8)</f>
        <v>1</v>
      </c>
      <c r="O8" s="16" t="str">
        <f>VLOOKUP($A8,ConstantsUnits!$A:$A,1,false)</f>
        <v>alpha particle-proton mass ratio</v>
      </c>
    </row>
    <row r="9">
      <c r="A9" s="1" t="s">
        <v>57</v>
      </c>
      <c r="B9" s="1" t="s">
        <v>1203</v>
      </c>
      <c r="C9" s="1" t="s">
        <v>1204</v>
      </c>
      <c r="E9" s="15"/>
      <c r="F9" s="16" t="str">
        <f>VLOOKUP($A9,ConstantsUnits!$A:$C,3,false)</f>
        <v>AlphaParticleRelativeAtomicMass</v>
      </c>
      <c r="G9" s="17" t="str">
        <f t="shared" si="1"/>
        <v>4.001506179127</v>
      </c>
      <c r="H9" s="17">
        <f t="shared" si="2"/>
        <v>4.001506179</v>
      </c>
      <c r="I9" s="17" t="str">
        <f t="shared" si="3"/>
        <v>0.000000000063</v>
      </c>
      <c r="J9" s="17">
        <f t="shared" si="4"/>
        <v>0</v>
      </c>
      <c r="K9" s="17" t="b">
        <f t="shared" si="5"/>
        <v>0</v>
      </c>
      <c r="L9" s="16" t="str">
        <f>IFERROR(__xludf.DUMMYFUNCTION("if(regexmatch(B9,""e(.*)$""),regexextract(B9,""e(.*)$""),"""")"),"")</f>
        <v/>
      </c>
      <c r="M9" s="18"/>
      <c r="N9" s="18">
        <f>countif(ConstantsUnits!C:C,F9)</f>
        <v>1</v>
      </c>
      <c r="O9" s="16" t="str">
        <f>VLOOKUP($A9,ConstantsUnits!$A:$A,1,false)</f>
        <v>alpha particle relative atomic mass</v>
      </c>
    </row>
    <row r="10">
      <c r="A10" s="1" t="s">
        <v>58</v>
      </c>
      <c r="B10" s="1" t="s">
        <v>1209</v>
      </c>
      <c r="C10" s="1" t="s">
        <v>1210</v>
      </c>
      <c r="D10" s="1" t="s">
        <v>59</v>
      </c>
      <c r="E10" s="15"/>
      <c r="F10" s="16" t="str">
        <f>VLOOKUP($A10,ConstantsUnits!$A:$C,3,false)</f>
        <v>AngstromStar</v>
      </c>
      <c r="G10" s="17" t="str">
        <f t="shared" si="1"/>
        <v>1.00001495e-10</v>
      </c>
      <c r="H10" s="17">
        <f t="shared" si="2"/>
        <v>0.000000000100001495</v>
      </c>
      <c r="I10" s="17" t="str">
        <f t="shared" si="3"/>
        <v>0.00000090e-10</v>
      </c>
      <c r="J10" s="17">
        <f t="shared" si="4"/>
        <v>0</v>
      </c>
      <c r="K10" s="17" t="b">
        <f t="shared" si="5"/>
        <v>0</v>
      </c>
      <c r="L10" s="16" t="str">
        <f>IFERROR(__xludf.DUMMYFUNCTION("if(regexmatch(B10,""e(.*)$""),regexextract(B10,""e(.*)$""),"""")"),"-10")</f>
        <v>-10</v>
      </c>
      <c r="M10" s="18"/>
      <c r="N10" s="18">
        <f>countif(ConstantsUnits!C:C,F10)</f>
        <v>1</v>
      </c>
      <c r="O10" s="16" t="str">
        <f>VLOOKUP($A10,ConstantsUnits!$A:$A,1,false)</f>
        <v>Angstrom star</v>
      </c>
    </row>
    <row r="11">
      <c r="A11" s="1" t="s">
        <v>62</v>
      </c>
      <c r="B11" s="1" t="s">
        <v>1211</v>
      </c>
      <c r="C11" s="1" t="s">
        <v>1212</v>
      </c>
      <c r="D11" s="1" t="s">
        <v>38</v>
      </c>
      <c r="E11" s="15"/>
      <c r="F11" s="16" t="str">
        <f>VLOOKUP($A11,ConstantsUnits!$A:$C,3,false)</f>
        <v>AtomicMassConstant</v>
      </c>
      <c r="G11" s="17" t="str">
        <f t="shared" si="1"/>
        <v>1.66053906660e-27</v>
      </c>
      <c r="H11" s="17">
        <f t="shared" si="2"/>
        <v>0</v>
      </c>
      <c r="I11" s="17" t="str">
        <f t="shared" si="3"/>
        <v>0.00000000050e-27</v>
      </c>
      <c r="J11" s="17">
        <f t="shared" si="4"/>
        <v>0</v>
      </c>
      <c r="K11" s="17" t="b">
        <f t="shared" si="5"/>
        <v>0</v>
      </c>
      <c r="L11" s="16" t="str">
        <f>IFERROR(__xludf.DUMMYFUNCTION("if(regexmatch(B11,""e(.*)$""),regexextract(B11,""e(.*)$""),"""")"),"-27")</f>
        <v>-27</v>
      </c>
      <c r="M11" s="18"/>
      <c r="N11" s="18">
        <f>countif(ConstantsUnits!C:C,F11)</f>
        <v>1</v>
      </c>
      <c r="O11" s="16" t="str">
        <f>VLOOKUP($A11,ConstantsUnits!$A:$A,1,false)</f>
        <v>atomic mass constant</v>
      </c>
    </row>
    <row r="12">
      <c r="A12" s="1" t="s">
        <v>65</v>
      </c>
      <c r="B12" s="1" t="s">
        <v>1213</v>
      </c>
      <c r="C12" s="1" t="s">
        <v>1214</v>
      </c>
      <c r="D12" s="1" t="s">
        <v>41</v>
      </c>
      <c r="E12" s="15"/>
      <c r="F12" s="16" t="str">
        <f>VLOOKUP($A12,ConstantsUnits!$A:$C,3,false)</f>
        <v>AtomicMassConstantEnergyEquivalent</v>
      </c>
      <c r="G12" s="17" t="str">
        <f t="shared" si="1"/>
        <v>1.49241808560e-10</v>
      </c>
      <c r="H12" s="17">
        <f t="shared" si="2"/>
        <v>0.0000000001492418086</v>
      </c>
      <c r="I12" s="17" t="str">
        <f t="shared" si="3"/>
        <v>0.00000000045e-10</v>
      </c>
      <c r="J12" s="17">
        <f t="shared" si="4"/>
        <v>0</v>
      </c>
      <c r="K12" s="17" t="b">
        <f t="shared" si="5"/>
        <v>0</v>
      </c>
      <c r="L12" s="16" t="str">
        <f>IFERROR(__xludf.DUMMYFUNCTION("if(regexmatch(B12,""e(.*)$""),regexextract(B12,""e(.*)$""),"""")"),"-10")</f>
        <v>-10</v>
      </c>
      <c r="M12" s="18"/>
      <c r="N12" s="18">
        <f>countif(ConstantsUnits!C:C,F12)</f>
        <v>1</v>
      </c>
      <c r="O12" s="16" t="str">
        <f>VLOOKUP($A12,ConstantsUnits!$A:$A,1,false)</f>
        <v>atomic mass constant energy equivalent</v>
      </c>
    </row>
    <row r="13">
      <c r="A13" s="1" t="s">
        <v>67</v>
      </c>
      <c r="B13" s="1" t="s">
        <v>1215</v>
      </c>
      <c r="C13" s="1" t="s">
        <v>1216</v>
      </c>
      <c r="D13" s="1" t="s">
        <v>45</v>
      </c>
      <c r="E13" s="15"/>
      <c r="F13" s="16" t="str">
        <f>VLOOKUP($A13,ConstantsUnits!$A:$C,3,false)</f>
        <v>AtomicMassConstantEnergyEquivalentInMeV</v>
      </c>
      <c r="G13" s="17" t="str">
        <f t="shared" si="1"/>
        <v>931.49410242</v>
      </c>
      <c r="H13" s="17">
        <f t="shared" si="2"/>
        <v>931.4941024</v>
      </c>
      <c r="I13" s="17" t="str">
        <f t="shared" si="3"/>
        <v>0.00000028</v>
      </c>
      <c r="J13" s="17">
        <f t="shared" si="4"/>
        <v>0.00000028</v>
      </c>
      <c r="K13" s="17" t="b">
        <f t="shared" si="5"/>
        <v>0</v>
      </c>
      <c r="L13" s="16" t="str">
        <f>IFERROR(__xludf.DUMMYFUNCTION("if(regexmatch(B13,""e(.*)$""),regexextract(B13,""e(.*)$""),"""")"),"")</f>
        <v/>
      </c>
      <c r="M13" s="18"/>
      <c r="N13" s="18">
        <f>countif(ConstantsUnits!C:C,F13)</f>
        <v>1</v>
      </c>
      <c r="O13" s="16" t="str">
        <f>VLOOKUP($A13,ConstantsUnits!$A:$A,1,false)</f>
        <v>atomic mass constant energy equivalent in MeV</v>
      </c>
    </row>
    <row r="14">
      <c r="A14" s="1" t="s">
        <v>69</v>
      </c>
      <c r="B14" s="1" t="s">
        <v>1217</v>
      </c>
      <c r="C14" s="1" t="s">
        <v>1218</v>
      </c>
      <c r="D14" s="1" t="s">
        <v>70</v>
      </c>
      <c r="E14" s="15"/>
      <c r="F14" s="16" t="str">
        <f>VLOOKUP($A14,ConstantsUnits!$A:$C,3,false)</f>
        <v>AtomicMassUnitElectronVoltRelationship</v>
      </c>
      <c r="G14" s="17" t="str">
        <f t="shared" si="1"/>
        <v>9.3149410242e8</v>
      </c>
      <c r="H14" s="17">
        <f t="shared" si="2"/>
        <v>931494102.4</v>
      </c>
      <c r="I14" s="17" t="str">
        <f t="shared" si="3"/>
        <v>0.0000000028e8</v>
      </c>
      <c r="J14" s="17">
        <f t="shared" si="4"/>
        <v>0.28</v>
      </c>
      <c r="K14" s="17" t="b">
        <f t="shared" si="5"/>
        <v>0</v>
      </c>
      <c r="L14" s="16" t="str">
        <f>IFERROR(__xludf.DUMMYFUNCTION("if(regexmatch(B14,""e(.*)$""),regexextract(B14,""e(.*)$""),"""")"),"8")</f>
        <v>8</v>
      </c>
      <c r="M14" s="18"/>
      <c r="N14" s="18">
        <f>countif(ConstantsUnits!C:C,F14)</f>
        <v>1</v>
      </c>
      <c r="O14" s="16" t="str">
        <f>VLOOKUP($A14,ConstantsUnits!$A:$A,1,false)</f>
        <v>atomic mass unit-electron volt relationship</v>
      </c>
    </row>
    <row r="15">
      <c r="A15" s="1" t="s">
        <v>73</v>
      </c>
      <c r="B15" s="1" t="s">
        <v>1219</v>
      </c>
      <c r="C15" s="1" t="s">
        <v>1220</v>
      </c>
      <c r="D15" s="1" t="s">
        <v>74</v>
      </c>
      <c r="E15" s="15"/>
      <c r="F15" s="16" t="str">
        <f>VLOOKUP($A15,ConstantsUnits!$A:$C,3,false)</f>
        <v>AtomicMassUnitHartreeRelationship</v>
      </c>
      <c r="G15" s="17" t="str">
        <f t="shared" si="1"/>
        <v>3.4231776874e7</v>
      </c>
      <c r="H15" s="17">
        <f t="shared" si="2"/>
        <v>34231776.87</v>
      </c>
      <c r="I15" s="17" t="str">
        <f t="shared" si="3"/>
        <v>0.0000000010e7</v>
      </c>
      <c r="J15" s="17">
        <f t="shared" si="4"/>
        <v>0.01</v>
      </c>
      <c r="K15" s="17" t="b">
        <f t="shared" si="5"/>
        <v>0</v>
      </c>
      <c r="L15" s="16" t="str">
        <f>IFERROR(__xludf.DUMMYFUNCTION("if(regexmatch(B15,""e(.*)$""),regexextract(B15,""e(.*)$""),"""")"),"7")</f>
        <v>7</v>
      </c>
      <c r="M15" s="18"/>
      <c r="N15" s="18">
        <f>countif(ConstantsUnits!C:C,F15)</f>
        <v>1</v>
      </c>
      <c r="O15" s="16" t="str">
        <f>VLOOKUP($A15,ConstantsUnits!$A:$A,1,false)</f>
        <v>atomic mass unit-hartree relationship</v>
      </c>
    </row>
    <row r="16">
      <c r="A16" s="1" t="s">
        <v>78</v>
      </c>
      <c r="B16" s="1" t="s">
        <v>1221</v>
      </c>
      <c r="C16" s="1" t="s">
        <v>1222</v>
      </c>
      <c r="D16" s="1" t="s">
        <v>79</v>
      </c>
      <c r="E16" s="15"/>
      <c r="F16" s="16" t="str">
        <f>VLOOKUP($A16,ConstantsUnits!$A:$C,3,false)</f>
        <v>AtomicMassUnitHertzRelationship</v>
      </c>
      <c r="G16" s="17" t="str">
        <f t="shared" si="1"/>
        <v>2.25234271871e23</v>
      </c>
      <c r="H16" s="17">
        <f t="shared" si="2"/>
        <v>2.25234E+23</v>
      </c>
      <c r="I16" s="17" t="str">
        <f t="shared" si="3"/>
        <v>0.00000000068e23</v>
      </c>
      <c r="J16" s="17">
        <f t="shared" si="4"/>
        <v>68000000000000</v>
      </c>
      <c r="K16" s="17" t="b">
        <f t="shared" si="5"/>
        <v>0</v>
      </c>
      <c r="L16" s="16" t="str">
        <f>IFERROR(__xludf.DUMMYFUNCTION("if(regexmatch(B16,""e(.*)$""),regexextract(B16,""e(.*)$""),"""")"),"23")</f>
        <v>23</v>
      </c>
      <c r="M16" s="18"/>
      <c r="N16" s="18">
        <f>countif(ConstantsUnits!C:C,F16)</f>
        <v>1</v>
      </c>
      <c r="O16" s="16" t="str">
        <f>VLOOKUP($A16,ConstantsUnits!$A:$A,1,false)</f>
        <v>atomic mass unit-hertz relationship</v>
      </c>
    </row>
    <row r="17">
      <c r="A17" s="1" t="s">
        <v>82</v>
      </c>
      <c r="B17" s="1" t="s">
        <v>1223</v>
      </c>
      <c r="C17" s="1" t="s">
        <v>1224</v>
      </c>
      <c r="D17" s="1" t="s">
        <v>83</v>
      </c>
      <c r="E17" s="15"/>
      <c r="F17" s="16" t="str">
        <f>VLOOKUP($A17,ConstantsUnits!$A:$C,3,false)</f>
        <v>AtomicMassUnitInverseMeterRelationship</v>
      </c>
      <c r="G17" s="17" t="str">
        <f t="shared" si="1"/>
        <v>7.5130066104e14</v>
      </c>
      <c r="H17" s="17">
        <f t="shared" si="2"/>
        <v>751300661040000</v>
      </c>
      <c r="I17" s="17" t="str">
        <f t="shared" si="3"/>
        <v>0.0000000023e14</v>
      </c>
      <c r="J17" s="17">
        <f t="shared" si="4"/>
        <v>230000</v>
      </c>
      <c r="K17" s="17" t="b">
        <f t="shared" si="5"/>
        <v>0</v>
      </c>
      <c r="L17" s="16" t="str">
        <f>IFERROR(__xludf.DUMMYFUNCTION("if(regexmatch(B17,""e(.*)$""),regexextract(B17,""e(.*)$""),"""")"),"14")</f>
        <v>14</v>
      </c>
      <c r="M17" s="18"/>
      <c r="N17" s="18">
        <f>countif(ConstantsUnits!C:C,F17)</f>
        <v>1</v>
      </c>
      <c r="O17" s="16" t="str">
        <f>VLOOKUP($A17,ConstantsUnits!$A:$A,1,false)</f>
        <v>atomic mass unit-inverse meter relationship</v>
      </c>
    </row>
    <row r="18">
      <c r="A18" s="1" t="s">
        <v>87</v>
      </c>
      <c r="B18" s="1" t="s">
        <v>1213</v>
      </c>
      <c r="C18" s="1" t="s">
        <v>1214</v>
      </c>
      <c r="D18" s="1" t="s">
        <v>41</v>
      </c>
      <c r="E18" s="15"/>
      <c r="F18" s="16" t="str">
        <f>VLOOKUP($A18,ConstantsUnits!$A:$C,3,false)</f>
        <v>AtomicMassUnitJouleRelationship</v>
      </c>
      <c r="G18" s="17" t="str">
        <f t="shared" si="1"/>
        <v>1.49241808560e-10</v>
      </c>
      <c r="H18" s="17">
        <f t="shared" si="2"/>
        <v>0.0000000001492418086</v>
      </c>
      <c r="I18" s="17" t="str">
        <f t="shared" si="3"/>
        <v>0.00000000045e-10</v>
      </c>
      <c r="J18" s="17">
        <f t="shared" si="4"/>
        <v>0</v>
      </c>
      <c r="K18" s="17" t="b">
        <f t="shared" si="5"/>
        <v>0</v>
      </c>
      <c r="L18" s="16" t="str">
        <f>IFERROR(__xludf.DUMMYFUNCTION("if(regexmatch(B18,""e(.*)$""),regexextract(B18,""e(.*)$""),"""")"),"-10")</f>
        <v>-10</v>
      </c>
      <c r="M18" s="18"/>
      <c r="N18" s="18">
        <f>countif(ConstantsUnits!C:C,F18)</f>
        <v>1</v>
      </c>
      <c r="O18" s="16" t="str">
        <f>VLOOKUP($A18,ConstantsUnits!$A:$A,1,false)</f>
        <v>atomic mass unit-joule relationship</v>
      </c>
    </row>
    <row r="19">
      <c r="A19" s="1" t="s">
        <v>90</v>
      </c>
      <c r="B19" s="1" t="s">
        <v>1225</v>
      </c>
      <c r="C19" s="1" t="s">
        <v>1226</v>
      </c>
      <c r="D19" s="1" t="s">
        <v>91</v>
      </c>
      <c r="E19" s="15"/>
      <c r="F19" s="16" t="str">
        <f>VLOOKUP($A19,ConstantsUnits!$A:$C,3,false)</f>
        <v>AtomicMassUnitKelvinRelationship</v>
      </c>
      <c r="G19" s="17" t="str">
        <f t="shared" si="1"/>
        <v>1.08095401916e13</v>
      </c>
      <c r="H19" s="17">
        <f t="shared" si="2"/>
        <v>10809540191600</v>
      </c>
      <c r="I19" s="17" t="str">
        <f t="shared" si="3"/>
        <v>0.00000000033e13</v>
      </c>
      <c r="J19" s="17">
        <f t="shared" si="4"/>
        <v>3300</v>
      </c>
      <c r="K19" s="17" t="b">
        <f t="shared" si="5"/>
        <v>0</v>
      </c>
      <c r="L19" s="16" t="str">
        <f>IFERROR(__xludf.DUMMYFUNCTION("if(regexmatch(B19,""e(.*)$""),regexextract(B19,""e(.*)$""),"""")"),"13")</f>
        <v>13</v>
      </c>
      <c r="M19" s="18"/>
      <c r="N19" s="18">
        <f>countif(ConstantsUnits!C:C,F19)</f>
        <v>1</v>
      </c>
      <c r="O19" s="16" t="str">
        <f>VLOOKUP($A19,ConstantsUnits!$A:$A,1,false)</f>
        <v>atomic mass unit-kelvin relationship</v>
      </c>
    </row>
    <row r="20">
      <c r="A20" s="1" t="s">
        <v>94</v>
      </c>
      <c r="B20" s="1" t="s">
        <v>1211</v>
      </c>
      <c r="C20" s="1" t="s">
        <v>1212</v>
      </c>
      <c r="D20" s="1" t="s">
        <v>38</v>
      </c>
      <c r="E20" s="15"/>
      <c r="F20" s="16" t="str">
        <f>VLOOKUP($A20,ConstantsUnits!$A:$C,3,false)</f>
        <v>AtomicMassUnitKilogramRelationship</v>
      </c>
      <c r="G20" s="17" t="str">
        <f t="shared" si="1"/>
        <v>1.66053906660e-27</v>
      </c>
      <c r="H20" s="17">
        <f t="shared" si="2"/>
        <v>0</v>
      </c>
      <c r="I20" s="17" t="str">
        <f t="shared" si="3"/>
        <v>0.00000000050e-27</v>
      </c>
      <c r="J20" s="17">
        <f t="shared" si="4"/>
        <v>0</v>
      </c>
      <c r="K20" s="17" t="b">
        <f t="shared" si="5"/>
        <v>0</v>
      </c>
      <c r="L20" s="16" t="str">
        <f>IFERROR(__xludf.DUMMYFUNCTION("if(regexmatch(B20,""e(.*)$""),regexextract(B20,""e(.*)$""),"""")"),"-27")</f>
        <v>-27</v>
      </c>
      <c r="M20" s="18"/>
      <c r="N20" s="18">
        <f>countif(ConstantsUnits!C:C,F20)</f>
        <v>1</v>
      </c>
      <c r="O20" s="16" t="str">
        <f>VLOOKUP($A20,ConstantsUnits!$A:$A,1,false)</f>
        <v>atomic mass unit-kilogram relationship</v>
      </c>
    </row>
    <row r="21">
      <c r="A21" s="1" t="s">
        <v>97</v>
      </c>
      <c r="B21" s="1" t="s">
        <v>1227</v>
      </c>
      <c r="C21" s="1" t="s">
        <v>1228</v>
      </c>
      <c r="D21" s="1" t="s">
        <v>98</v>
      </c>
      <c r="E21" s="15"/>
      <c r="F21" s="16" t="str">
        <f>VLOOKUP($A21,ConstantsUnits!$A:$C,3,false)</f>
        <v>AtomicUnitOf1stHyperpolarizablity</v>
      </c>
      <c r="G21" s="17" t="str">
        <f t="shared" si="1"/>
        <v>3.2063613061e-53</v>
      </c>
      <c r="H21" s="17">
        <f t="shared" si="2"/>
        <v>0</v>
      </c>
      <c r="I21" s="17" t="str">
        <f t="shared" si="3"/>
        <v>0.0000000015e-53</v>
      </c>
      <c r="J21" s="17">
        <f t="shared" si="4"/>
        <v>0</v>
      </c>
      <c r="K21" s="17" t="b">
        <f t="shared" si="5"/>
        <v>0</v>
      </c>
      <c r="L21" s="16" t="str">
        <f>IFERROR(__xludf.DUMMYFUNCTION("if(regexmatch(B21,""e(.*)$""),regexextract(B21,""e(.*)$""),"""")"),"-53")</f>
        <v>-53</v>
      </c>
      <c r="M21" s="18"/>
      <c r="N21" s="18">
        <f>countif(ConstantsUnits!C:C,F21)</f>
        <v>1</v>
      </c>
      <c r="O21" s="16" t="str">
        <f>VLOOKUP($A21,ConstantsUnits!$A:$A,1,false)</f>
        <v>atomic unit of 1st hyperpolarizability</v>
      </c>
    </row>
    <row r="22">
      <c r="A22" s="1" t="s">
        <v>102</v>
      </c>
      <c r="B22" s="1" t="s">
        <v>1229</v>
      </c>
      <c r="C22" s="1" t="s">
        <v>1230</v>
      </c>
      <c r="D22" s="1" t="s">
        <v>103</v>
      </c>
      <c r="E22" s="15"/>
      <c r="F22" s="16" t="str">
        <f>VLOOKUP($A22,ConstantsUnits!$A:$C,3,false)</f>
        <v>AtomicUnitOf2ndHyperpolarizablity</v>
      </c>
      <c r="G22" s="17" t="str">
        <f t="shared" si="1"/>
        <v>6.2353799905e-65</v>
      </c>
      <c r="H22" s="17">
        <f t="shared" si="2"/>
        <v>0</v>
      </c>
      <c r="I22" s="17" t="str">
        <f t="shared" si="3"/>
        <v>0.0000000038e-65</v>
      </c>
      <c r="J22" s="17">
        <f t="shared" si="4"/>
        <v>0</v>
      </c>
      <c r="K22" s="17" t="b">
        <f t="shared" si="5"/>
        <v>0</v>
      </c>
      <c r="L22" s="16" t="str">
        <f>IFERROR(__xludf.DUMMYFUNCTION("if(regexmatch(B22,""e(.*)$""),regexextract(B22,""e(.*)$""),"""")"),"-65")</f>
        <v>-65</v>
      </c>
      <c r="M22" s="18"/>
      <c r="N22" s="18">
        <f>countif(ConstantsUnits!C:C,F22)</f>
        <v>1</v>
      </c>
      <c r="O22" s="16" t="str">
        <f>VLOOKUP($A22,ConstantsUnits!$A:$A,1,false)</f>
        <v>atomic unit of 2nd hyperpolarizability</v>
      </c>
    </row>
    <row r="23">
      <c r="A23" s="1" t="s">
        <v>107</v>
      </c>
      <c r="B23" s="1" t="s">
        <v>1231</v>
      </c>
      <c r="C23" s="1" t="s">
        <v>1232</v>
      </c>
      <c r="D23" s="1" t="s">
        <v>108</v>
      </c>
      <c r="E23" s="15"/>
      <c r="F23" s="16" t="str">
        <f>VLOOKUP($A23,ConstantsUnits!$A:$C,3,false)</f>
        <v>AtomicUnitOfAction</v>
      </c>
      <c r="G23" s="17" t="str">
        <f t="shared" si="1"/>
        <v>1.054571817e-34</v>
      </c>
      <c r="H23" s="17">
        <f t="shared" si="2"/>
        <v>0</v>
      </c>
      <c r="I23" s="17" t="str">
        <f t="shared" si="3"/>
        <v>(exact)</v>
      </c>
      <c r="J23" s="17" t="str">
        <f t="shared" si="4"/>
        <v/>
      </c>
      <c r="K23" s="17" t="b">
        <f t="shared" si="5"/>
        <v>1</v>
      </c>
      <c r="L23" s="16" t="str">
        <f>IFERROR(__xludf.DUMMYFUNCTION("if(regexmatch(B23,""e(.*)$""),regexextract(B23,""e(.*)$""),"""")"),"-34")</f>
        <v>-34</v>
      </c>
      <c r="M23" s="18"/>
      <c r="N23" s="18">
        <f>countif(ConstantsUnits!C:C,F23)</f>
        <v>1</v>
      </c>
      <c r="O23" s="16" t="str">
        <f>VLOOKUP($A23,ConstantsUnits!$A:$A,1,false)</f>
        <v>atomic unit of action</v>
      </c>
    </row>
    <row r="24">
      <c r="A24" s="1" t="s">
        <v>112</v>
      </c>
      <c r="B24" s="1" t="s">
        <v>1233</v>
      </c>
      <c r="C24" s="1" t="s">
        <v>1232</v>
      </c>
      <c r="D24" s="1" t="s">
        <v>113</v>
      </c>
      <c r="E24" s="15"/>
      <c r="F24" s="16" t="str">
        <f>VLOOKUP($A24,ConstantsUnits!$A:$C,3,false)</f>
        <v>AtomicUnitOfCharge</v>
      </c>
      <c r="G24" s="17" t="str">
        <f t="shared" si="1"/>
        <v>1.602176634e-19</v>
      </c>
      <c r="H24" s="17">
        <f t="shared" si="2"/>
        <v>0</v>
      </c>
      <c r="I24" s="17" t="str">
        <f t="shared" si="3"/>
        <v>(exact)</v>
      </c>
      <c r="J24" s="17" t="str">
        <f t="shared" si="4"/>
        <v/>
      </c>
      <c r="K24" s="17" t="b">
        <f t="shared" si="5"/>
        <v>0</v>
      </c>
      <c r="L24" s="16" t="str">
        <f>IFERROR(__xludf.DUMMYFUNCTION("if(regexmatch(B24,""e(.*)$""),regexextract(B24,""e(.*)$""),"""")"),"-19")</f>
        <v>-19</v>
      </c>
      <c r="M24" s="18"/>
      <c r="N24" s="18">
        <f>countif(ConstantsUnits!C:C,F24)</f>
        <v>1</v>
      </c>
      <c r="O24" s="16" t="str">
        <f>VLOOKUP($A24,ConstantsUnits!$A:$A,1,false)</f>
        <v>atomic unit of charge</v>
      </c>
    </row>
    <row r="25">
      <c r="A25" s="1" t="s">
        <v>117</v>
      </c>
      <c r="B25" s="1" t="s">
        <v>1234</v>
      </c>
      <c r="C25" s="1" t="s">
        <v>1235</v>
      </c>
      <c r="D25" s="1" t="s">
        <v>118</v>
      </c>
      <c r="E25" s="15"/>
      <c r="F25" s="16" t="str">
        <f>VLOOKUP($A25,ConstantsUnits!$A:$C,3,false)</f>
        <v>AtomicUnitOfChargeDensity</v>
      </c>
      <c r="G25" s="17" t="str">
        <f t="shared" si="1"/>
        <v>1.08120238457e12</v>
      </c>
      <c r="H25" s="17">
        <f t="shared" si="2"/>
        <v>1081202384570</v>
      </c>
      <c r="I25" s="17" t="str">
        <f t="shared" si="3"/>
        <v>0.00000000049e12</v>
      </c>
      <c r="J25" s="17">
        <f t="shared" si="4"/>
        <v>490</v>
      </c>
      <c r="K25" s="17" t="b">
        <f t="shared" si="5"/>
        <v>0</v>
      </c>
      <c r="L25" s="16" t="str">
        <f>IFERROR(__xludf.DUMMYFUNCTION("if(regexmatch(B25,""e(.*)$""),regexextract(B25,""e(.*)$""),"""")"),"12")</f>
        <v>12</v>
      </c>
      <c r="M25" s="18"/>
      <c r="N25" s="18">
        <f>countif(ConstantsUnits!C:C,F25)</f>
        <v>1</v>
      </c>
      <c r="O25" s="16" t="str">
        <f>VLOOKUP($A25,ConstantsUnits!$A:$A,1,false)</f>
        <v>atomic unit of charge density</v>
      </c>
    </row>
    <row r="26">
      <c r="A26" s="1" t="s">
        <v>122</v>
      </c>
      <c r="B26" s="1" t="s">
        <v>1236</v>
      </c>
      <c r="C26" s="1" t="s">
        <v>1237</v>
      </c>
      <c r="D26" s="1" t="s">
        <v>123</v>
      </c>
      <c r="E26" s="15"/>
      <c r="F26" s="16" t="str">
        <f>VLOOKUP($A26,ConstantsUnits!$A:$C,3,false)</f>
        <v>AtomicUnitOfCurrent</v>
      </c>
      <c r="G26" s="17" t="str">
        <f t="shared" si="1"/>
        <v>6.623618237510e-3</v>
      </c>
      <c r="H26" s="17">
        <f t="shared" si="2"/>
        <v>0.006623618238</v>
      </c>
      <c r="I26" s="17" t="str">
        <f t="shared" si="3"/>
        <v>0.000000000013e-3</v>
      </c>
      <c r="J26" s="17">
        <f t="shared" si="4"/>
        <v>0</v>
      </c>
      <c r="K26" s="17" t="b">
        <f t="shared" si="5"/>
        <v>0</v>
      </c>
      <c r="L26" s="16" t="str">
        <f>IFERROR(__xludf.DUMMYFUNCTION("if(regexmatch(B26,""e(.*)$""),regexextract(B26,""e(.*)$""),"""")"),"-3")</f>
        <v>-3</v>
      </c>
      <c r="M26" s="18"/>
      <c r="N26" s="18">
        <f>countif(ConstantsUnits!C:C,F26)</f>
        <v>1</v>
      </c>
      <c r="O26" s="16" t="str">
        <f>VLOOKUP($A26,ConstantsUnits!$A:$A,1,false)</f>
        <v>atomic unit of current</v>
      </c>
    </row>
    <row r="27">
      <c r="A27" s="1" t="s">
        <v>126</v>
      </c>
      <c r="B27" s="1" t="s">
        <v>1238</v>
      </c>
      <c r="C27" s="1" t="s">
        <v>1239</v>
      </c>
      <c r="D27" s="1" t="s">
        <v>127</v>
      </c>
      <c r="E27" s="15"/>
      <c r="F27" s="16" t="str">
        <f>VLOOKUP($A27,ConstantsUnits!$A:$C,3,false)</f>
        <v>AtomicUnitOfElectricDipoleMom.</v>
      </c>
      <c r="G27" s="17" t="str">
        <f t="shared" si="1"/>
        <v>8.4783536255e-30</v>
      </c>
      <c r="H27" s="17">
        <f t="shared" si="2"/>
        <v>0</v>
      </c>
      <c r="I27" s="17" t="str">
        <f t="shared" si="3"/>
        <v>0.0000000013e-30</v>
      </c>
      <c r="J27" s="17">
        <f t="shared" si="4"/>
        <v>0</v>
      </c>
      <c r="K27" s="17" t="b">
        <f t="shared" si="5"/>
        <v>0</v>
      </c>
      <c r="L27" s="16" t="str">
        <f>IFERROR(__xludf.DUMMYFUNCTION("if(regexmatch(B27,""e(.*)$""),regexextract(B27,""e(.*)$""),"""")"),"-30")</f>
        <v>-30</v>
      </c>
      <c r="M27" s="18"/>
      <c r="N27" s="18">
        <f>countif(ConstantsUnits!C:C,F27)</f>
        <v>1</v>
      </c>
      <c r="O27" s="16" t="str">
        <f>VLOOKUP($A27,ConstantsUnits!$A:$A,1,false)</f>
        <v>atomic unit of electric dipole mom.</v>
      </c>
    </row>
    <row r="28">
      <c r="A28" s="1" t="s">
        <v>130</v>
      </c>
      <c r="B28" s="1" t="s">
        <v>1240</v>
      </c>
      <c r="C28" s="1" t="s">
        <v>1241</v>
      </c>
      <c r="D28" s="1" t="s">
        <v>131</v>
      </c>
      <c r="E28" s="15"/>
      <c r="F28" s="16" t="str">
        <f>VLOOKUP($A28,ConstantsUnits!$A:$C,3,false)</f>
        <v>AtomicUnitOfElectricField</v>
      </c>
      <c r="G28" s="17" t="str">
        <f t="shared" si="1"/>
        <v>5.14220674763e11</v>
      </c>
      <c r="H28" s="17">
        <f t="shared" si="2"/>
        <v>514220674763</v>
      </c>
      <c r="I28" s="17" t="str">
        <f t="shared" si="3"/>
        <v>0.00000000078e11</v>
      </c>
      <c r="J28" s="17">
        <f t="shared" si="4"/>
        <v>78</v>
      </c>
      <c r="K28" s="17" t="b">
        <f t="shared" si="5"/>
        <v>0</v>
      </c>
      <c r="L28" s="16" t="str">
        <f>IFERROR(__xludf.DUMMYFUNCTION("if(regexmatch(B28,""e(.*)$""),regexextract(B28,""e(.*)$""),"""")"),"11")</f>
        <v>11</v>
      </c>
      <c r="M28" s="18"/>
      <c r="N28" s="18">
        <f>countif(ConstantsUnits!C:C,F28)</f>
        <v>1</v>
      </c>
      <c r="O28" s="16" t="str">
        <f>VLOOKUP($A28,ConstantsUnits!$A:$A,1,false)</f>
        <v>atomic unit of electric field</v>
      </c>
    </row>
    <row r="29">
      <c r="A29" s="1" t="s">
        <v>135</v>
      </c>
      <c r="B29" s="1" t="s">
        <v>1242</v>
      </c>
      <c r="C29" s="1" t="s">
        <v>1243</v>
      </c>
      <c r="D29" s="1" t="s">
        <v>136</v>
      </c>
      <c r="E29" s="15"/>
      <c r="F29" s="16" t="str">
        <f>VLOOKUP($A29,ConstantsUnits!$A:$C,3,false)</f>
        <v>AtomicUnitOfElectricFieldGradient</v>
      </c>
      <c r="G29" s="17" t="str">
        <f t="shared" si="1"/>
        <v>9.7173624292e21</v>
      </c>
      <c r="H29" s="17">
        <f t="shared" si="2"/>
        <v>9.71736E+21</v>
      </c>
      <c r="I29" s="17" t="str">
        <f t="shared" si="3"/>
        <v>0.0000000029e21</v>
      </c>
      <c r="J29" s="17">
        <f t="shared" si="4"/>
        <v>2900000000000</v>
      </c>
      <c r="K29" s="17" t="b">
        <f t="shared" si="5"/>
        <v>0</v>
      </c>
      <c r="L29" s="16" t="str">
        <f>IFERROR(__xludf.DUMMYFUNCTION("if(regexmatch(B29,""e(.*)$""),regexextract(B29,""e(.*)$""),"""")"),"21")</f>
        <v>21</v>
      </c>
      <c r="M29" s="18"/>
      <c r="N29" s="18">
        <f>countif(ConstantsUnits!C:C,F29)</f>
        <v>1</v>
      </c>
      <c r="O29" s="16" t="str">
        <f>VLOOKUP($A29,ConstantsUnits!$A:$A,1,false)</f>
        <v>atomic unit of electric field gradient</v>
      </c>
    </row>
    <row r="30">
      <c r="A30" s="1" t="s">
        <v>140</v>
      </c>
      <c r="B30" s="1" t="s">
        <v>1244</v>
      </c>
      <c r="C30" s="1" t="s">
        <v>1245</v>
      </c>
      <c r="D30" s="1" t="s">
        <v>141</v>
      </c>
      <c r="E30" s="15"/>
      <c r="F30" s="16" t="str">
        <f>VLOOKUP($A30,ConstantsUnits!$A:$C,3,false)</f>
        <v>AtomicUnitOfElectricPolarizablity</v>
      </c>
      <c r="G30" s="17" t="str">
        <f t="shared" si="1"/>
        <v>1.64877727436e-41</v>
      </c>
      <c r="H30" s="17">
        <f t="shared" si="2"/>
        <v>0</v>
      </c>
      <c r="I30" s="17" t="str">
        <f t="shared" si="3"/>
        <v>0.00000000050e-41</v>
      </c>
      <c r="J30" s="17">
        <f t="shared" si="4"/>
        <v>0</v>
      </c>
      <c r="K30" s="17" t="b">
        <f t="shared" si="5"/>
        <v>0</v>
      </c>
      <c r="L30" s="16" t="str">
        <f>IFERROR(__xludf.DUMMYFUNCTION("if(regexmatch(B30,""e(.*)$""),regexextract(B30,""e(.*)$""),"""")"),"-41")</f>
        <v>-41</v>
      </c>
      <c r="M30" s="18"/>
      <c r="N30" s="18">
        <f>countif(ConstantsUnits!C:C,F30)</f>
        <v>1</v>
      </c>
      <c r="O30" s="16" t="str">
        <f>VLOOKUP($A30,ConstantsUnits!$A:$A,1,false)</f>
        <v>atomic unit of electric polarizability</v>
      </c>
    </row>
    <row r="31">
      <c r="A31" s="1" t="s">
        <v>145</v>
      </c>
      <c r="B31" s="1" t="s">
        <v>1246</v>
      </c>
      <c r="C31" s="1" t="s">
        <v>1247</v>
      </c>
      <c r="D31" s="1" t="s">
        <v>146</v>
      </c>
      <c r="E31" s="15"/>
      <c r="F31" s="16" t="str">
        <f>VLOOKUP($A31,ConstantsUnits!$A:$C,3,false)</f>
        <v>AtomicUnitOfElectricPotential</v>
      </c>
      <c r="G31" s="17" t="str">
        <f t="shared" si="1"/>
        <v>27.211386245988</v>
      </c>
      <c r="H31" s="17">
        <f t="shared" si="2"/>
        <v>27.21138625</v>
      </c>
      <c r="I31" s="17" t="str">
        <f t="shared" si="3"/>
        <v>0.000000000053</v>
      </c>
      <c r="J31" s="17">
        <f t="shared" si="4"/>
        <v>0</v>
      </c>
      <c r="K31" s="17" t="b">
        <f t="shared" si="5"/>
        <v>0</v>
      </c>
      <c r="L31" s="16" t="str">
        <f>IFERROR(__xludf.DUMMYFUNCTION("if(regexmatch(B31,""e(.*)$""),regexextract(B31,""e(.*)$""),"""")"),"")</f>
        <v/>
      </c>
      <c r="M31" s="18"/>
      <c r="N31" s="18">
        <f>countif(ConstantsUnits!C:C,F31)</f>
        <v>1</v>
      </c>
      <c r="O31" s="16" t="str">
        <f>VLOOKUP($A31,ConstantsUnits!$A:$A,1,false)</f>
        <v>atomic unit of electric potential</v>
      </c>
    </row>
    <row r="32">
      <c r="A32" s="1" t="s">
        <v>149</v>
      </c>
      <c r="B32" s="1" t="s">
        <v>1248</v>
      </c>
      <c r="C32" s="1" t="s">
        <v>1249</v>
      </c>
      <c r="D32" s="1" t="s">
        <v>150</v>
      </c>
      <c r="E32" s="15"/>
      <c r="F32" s="16" t="str">
        <f>VLOOKUP($A32,ConstantsUnits!$A:$C,3,false)</f>
        <v>AtomicUnitOfElectricQuadrupoleMoment</v>
      </c>
      <c r="G32" s="17" t="str">
        <f t="shared" si="1"/>
        <v>4.4865515246e-40</v>
      </c>
      <c r="H32" s="17">
        <f t="shared" si="2"/>
        <v>0</v>
      </c>
      <c r="I32" s="17" t="str">
        <f t="shared" si="3"/>
        <v>0.0000000014e-40</v>
      </c>
      <c r="J32" s="17">
        <f t="shared" si="4"/>
        <v>0</v>
      </c>
      <c r="K32" s="17" t="b">
        <f t="shared" si="5"/>
        <v>0</v>
      </c>
      <c r="L32" s="16" t="str">
        <f>IFERROR(__xludf.DUMMYFUNCTION("if(regexmatch(B32,""e(.*)$""),regexextract(B32,""e(.*)$""),"""")"),"-40")</f>
        <v>-40</v>
      </c>
      <c r="M32" s="18"/>
      <c r="N32" s="18">
        <f>countif(ConstantsUnits!C:C,F32)</f>
        <v>1</v>
      </c>
      <c r="O32" s="16" t="str">
        <f>VLOOKUP($A32,ConstantsUnits!$A:$A,1,false)</f>
        <v>atomic unit of electric quadrupole mom.</v>
      </c>
    </row>
    <row r="33">
      <c r="A33" s="1" t="s">
        <v>154</v>
      </c>
      <c r="B33" s="1" t="s">
        <v>1250</v>
      </c>
      <c r="C33" s="1" t="s">
        <v>1251</v>
      </c>
      <c r="D33" s="1" t="s">
        <v>41</v>
      </c>
      <c r="E33" s="15"/>
      <c r="F33" s="16" t="str">
        <f>VLOOKUP($A33,ConstantsUnits!$A:$C,3,false)</f>
        <v>AtomicUnitOfEnergy</v>
      </c>
      <c r="G33" s="17" t="str">
        <f t="shared" si="1"/>
        <v>4.3597447222071e-18</v>
      </c>
      <c r="H33" s="17">
        <f t="shared" si="2"/>
        <v>0</v>
      </c>
      <c r="I33" s="17" t="str">
        <f t="shared" si="3"/>
        <v>0.0000000000085e-18</v>
      </c>
      <c r="J33" s="17">
        <f t="shared" si="4"/>
        <v>0</v>
      </c>
      <c r="K33" s="17" t="b">
        <f t="shared" si="5"/>
        <v>0</v>
      </c>
      <c r="L33" s="16" t="str">
        <f>IFERROR(__xludf.DUMMYFUNCTION("if(regexmatch(B33,""e(.*)$""),regexextract(B33,""e(.*)$""),"""")"),"-18")</f>
        <v>-18</v>
      </c>
      <c r="M33" s="18"/>
      <c r="N33" s="18">
        <f>countif(ConstantsUnits!C:C,F33)</f>
        <v>1</v>
      </c>
      <c r="O33" s="16" t="str">
        <f>VLOOKUP($A33,ConstantsUnits!$A:$A,1,false)</f>
        <v>atomic unit of energy</v>
      </c>
    </row>
    <row r="34">
      <c r="A34" s="1" t="s">
        <v>157</v>
      </c>
      <c r="B34" s="1" t="s">
        <v>1252</v>
      </c>
      <c r="C34" s="1" t="s">
        <v>1253</v>
      </c>
      <c r="D34" s="1" t="s">
        <v>158</v>
      </c>
      <c r="E34" s="15"/>
      <c r="F34" s="16" t="str">
        <f>VLOOKUP($A34,ConstantsUnits!$A:$C,3,false)</f>
        <v>AtomicUnitOfForce</v>
      </c>
      <c r="G34" s="17" t="str">
        <f t="shared" si="1"/>
        <v>8.2387234983e-8</v>
      </c>
      <c r="H34" s="17">
        <f t="shared" si="2"/>
        <v>0.00000008238723498</v>
      </c>
      <c r="I34" s="17" t="str">
        <f t="shared" si="3"/>
        <v>0.0000000012e-8</v>
      </c>
      <c r="J34" s="17">
        <f t="shared" si="4"/>
        <v>0</v>
      </c>
      <c r="K34" s="17" t="b">
        <f t="shared" si="5"/>
        <v>0</v>
      </c>
      <c r="L34" s="16" t="str">
        <f>IFERROR(__xludf.DUMMYFUNCTION("if(regexmatch(B34,""e(.*)$""),regexextract(B34,""e(.*)$""),"""")"),"-8")</f>
        <v>-8</v>
      </c>
      <c r="M34" s="18"/>
      <c r="N34" s="18">
        <f>countif(ConstantsUnits!C:C,F34)</f>
        <v>1</v>
      </c>
      <c r="O34" s="16" t="str">
        <f>VLOOKUP($A34,ConstantsUnits!$A:$A,1,false)</f>
        <v>atomic unit of force</v>
      </c>
    </row>
    <row r="35">
      <c r="A35" s="1" t="s">
        <v>161</v>
      </c>
      <c r="B35" s="1" t="s">
        <v>1254</v>
      </c>
      <c r="C35" s="1" t="s">
        <v>1255</v>
      </c>
      <c r="D35" s="1" t="s">
        <v>59</v>
      </c>
      <c r="E35" s="15"/>
      <c r="F35" s="16" t="str">
        <f>VLOOKUP($A35,ConstantsUnits!$A:$C,3,false)</f>
        <v>AtomicUnitOfLength</v>
      </c>
      <c r="G35" s="17" t="str">
        <f t="shared" si="1"/>
        <v>5.29177210903e-11</v>
      </c>
      <c r="H35" s="17">
        <f t="shared" si="2"/>
        <v>0</v>
      </c>
      <c r="I35" s="17" t="str">
        <f t="shared" si="3"/>
        <v>0.00000000080e-11</v>
      </c>
      <c r="J35" s="17">
        <f t="shared" si="4"/>
        <v>0</v>
      </c>
      <c r="K35" s="17" t="b">
        <f t="shared" si="5"/>
        <v>0</v>
      </c>
      <c r="L35" s="16" t="str">
        <f>IFERROR(__xludf.DUMMYFUNCTION("if(regexmatch(B35,""e(.*)$""),regexextract(B35,""e(.*)$""),"""")"),"-11")</f>
        <v>-11</v>
      </c>
      <c r="M35" s="18"/>
      <c r="N35" s="18">
        <f>countif(ConstantsUnits!C:C,F35)</f>
        <v>1</v>
      </c>
      <c r="O35" s="16" t="str">
        <f>VLOOKUP($A35,ConstantsUnits!$A:$A,1,false)</f>
        <v>atomic unit of length</v>
      </c>
    </row>
    <row r="36">
      <c r="A36" s="1" t="s">
        <v>164</v>
      </c>
      <c r="B36" s="1" t="s">
        <v>1256</v>
      </c>
      <c r="C36" s="1" t="s">
        <v>1257</v>
      </c>
      <c r="D36" s="1" t="s">
        <v>165</v>
      </c>
      <c r="E36" s="15"/>
      <c r="F36" s="16" t="str">
        <f>VLOOKUP($A36,ConstantsUnits!$A:$C,3,false)</f>
        <v>AtomicUnitOfMagneticDipoleMoment</v>
      </c>
      <c r="G36" s="17" t="str">
        <f t="shared" si="1"/>
        <v>1.85480201566e-23</v>
      </c>
      <c r="H36" s="17">
        <f t="shared" si="2"/>
        <v>0</v>
      </c>
      <c r="I36" s="17" t="str">
        <f t="shared" si="3"/>
        <v>0.00000000056e-23</v>
      </c>
      <c r="J36" s="17">
        <f t="shared" si="4"/>
        <v>0</v>
      </c>
      <c r="K36" s="17" t="b">
        <f t="shared" si="5"/>
        <v>0</v>
      </c>
      <c r="L36" s="16" t="str">
        <f>IFERROR(__xludf.DUMMYFUNCTION("if(regexmatch(B36,""e(.*)$""),regexextract(B36,""e(.*)$""),"""")"),"-23")</f>
        <v>-23</v>
      </c>
      <c r="M36" s="18"/>
      <c r="N36" s="18">
        <f>countif(ConstantsUnits!C:C,F36)</f>
        <v>1</v>
      </c>
      <c r="O36" s="16" t="str">
        <f>VLOOKUP($A36,ConstantsUnits!$A:$A,1,false)</f>
        <v>atomic unit of mag. dipole mom.</v>
      </c>
    </row>
    <row r="37">
      <c r="A37" s="1" t="s">
        <v>169</v>
      </c>
      <c r="B37" s="1" t="s">
        <v>1258</v>
      </c>
      <c r="C37" s="1" t="s">
        <v>1259</v>
      </c>
      <c r="D37" s="1" t="s">
        <v>170</v>
      </c>
      <c r="E37" s="15"/>
      <c r="F37" s="16" t="str">
        <f>VLOOKUP($A37,ConstantsUnits!$A:$C,3,false)</f>
        <v>AtomicUnitOfMagneticFluxDensity</v>
      </c>
      <c r="G37" s="17" t="str">
        <f t="shared" si="1"/>
        <v>2.35051756758e5</v>
      </c>
      <c r="H37" s="17">
        <f t="shared" si="2"/>
        <v>235051.7568</v>
      </c>
      <c r="I37" s="17" t="str">
        <f t="shared" si="3"/>
        <v>0.00000000071e5</v>
      </c>
      <c r="J37" s="17">
        <f t="shared" si="4"/>
        <v>0.000071</v>
      </c>
      <c r="K37" s="17" t="b">
        <f t="shared" si="5"/>
        <v>0</v>
      </c>
      <c r="L37" s="16" t="str">
        <f>IFERROR(__xludf.DUMMYFUNCTION("if(regexmatch(B37,""e(.*)$""),regexextract(B37,""e(.*)$""),"""")"),"5")</f>
        <v>5</v>
      </c>
      <c r="M37" s="18"/>
      <c r="N37" s="18">
        <f>countif(ConstantsUnits!C:C,F37)</f>
        <v>1</v>
      </c>
      <c r="O37" s="16" t="str">
        <f>VLOOKUP($A37,ConstantsUnits!$A:$A,1,false)</f>
        <v>atomic unit of mag. flux density</v>
      </c>
    </row>
    <row r="38">
      <c r="A38" s="1" t="s">
        <v>173</v>
      </c>
      <c r="B38" s="1" t="s">
        <v>1260</v>
      </c>
      <c r="C38" s="1" t="s">
        <v>1261</v>
      </c>
      <c r="D38" s="1" t="s">
        <v>174</v>
      </c>
      <c r="E38" s="15"/>
      <c r="F38" s="16" t="str">
        <f>VLOOKUP($A38,ConstantsUnits!$A:$C,3,false)</f>
        <v>AtomicUnitOfMagnetizability</v>
      </c>
      <c r="G38" s="17" t="str">
        <f t="shared" si="1"/>
        <v>7.8910366008e-29</v>
      </c>
      <c r="H38" s="17">
        <f t="shared" si="2"/>
        <v>0</v>
      </c>
      <c r="I38" s="17" t="str">
        <f t="shared" si="3"/>
        <v>0.0000000048e-29</v>
      </c>
      <c r="J38" s="17">
        <f t="shared" si="4"/>
        <v>0</v>
      </c>
      <c r="K38" s="17" t="b">
        <f t="shared" si="5"/>
        <v>0</v>
      </c>
      <c r="L38" s="16" t="str">
        <f>IFERROR(__xludf.DUMMYFUNCTION("if(regexmatch(B38,""e(.*)$""),regexextract(B38,""e(.*)$""),"""")"),"-29")</f>
        <v>-29</v>
      </c>
      <c r="M38" s="18"/>
      <c r="N38" s="18">
        <f>countif(ConstantsUnits!C:C,F38)</f>
        <v>1</v>
      </c>
      <c r="O38" s="16" t="str">
        <f>VLOOKUP($A38,ConstantsUnits!$A:$A,1,false)</f>
        <v>atomic unit of magnetizability</v>
      </c>
    </row>
    <row r="39">
      <c r="A39" s="1" t="s">
        <v>178</v>
      </c>
      <c r="B39" s="1" t="s">
        <v>1262</v>
      </c>
      <c r="C39" s="1" t="s">
        <v>1263</v>
      </c>
      <c r="D39" s="1" t="s">
        <v>38</v>
      </c>
      <c r="E39" s="15"/>
      <c r="F39" s="16" t="str">
        <f>VLOOKUP($A39,ConstantsUnits!$A:$C,3,false)</f>
        <v>AtomicUnitOfMass</v>
      </c>
      <c r="G39" s="17" t="str">
        <f t="shared" si="1"/>
        <v>9.1093837015e-31</v>
      </c>
      <c r="H39" s="17">
        <f t="shared" si="2"/>
        <v>0</v>
      </c>
      <c r="I39" s="17" t="str">
        <f t="shared" si="3"/>
        <v>0.0000000028e-31</v>
      </c>
      <c r="J39" s="17">
        <f t="shared" si="4"/>
        <v>0</v>
      </c>
      <c r="K39" s="17" t="b">
        <f t="shared" si="5"/>
        <v>0</v>
      </c>
      <c r="L39" s="16" t="str">
        <f>IFERROR(__xludf.DUMMYFUNCTION("if(regexmatch(B39,""e(.*)$""),regexextract(B39,""e(.*)$""),"""")"),"-31")</f>
        <v>-31</v>
      </c>
      <c r="M39" s="18"/>
      <c r="N39" s="18">
        <f>countif(ConstantsUnits!C:C,F39)</f>
        <v>1</v>
      </c>
      <c r="O39" s="16" t="str">
        <f>VLOOKUP($A39,ConstantsUnits!$A:$A,1,false)</f>
        <v>atomic unit of mass</v>
      </c>
    </row>
    <row r="40">
      <c r="A40" s="1" t="s">
        <v>181</v>
      </c>
      <c r="B40" s="1" t="s">
        <v>1264</v>
      </c>
      <c r="C40" s="1" t="s">
        <v>1265</v>
      </c>
      <c r="D40" s="1" t="s">
        <v>182</v>
      </c>
      <c r="E40" s="15"/>
      <c r="F40" s="16" t="str">
        <f>VLOOKUP($A40,ConstantsUnits!$A:$C,3,false)</f>
        <v>AtomicUnitOfMomentum</v>
      </c>
      <c r="G40" s="17" t="str">
        <f t="shared" si="1"/>
        <v>1.99285191410e-24</v>
      </c>
      <c r="H40" s="17">
        <f t="shared" si="2"/>
        <v>0</v>
      </c>
      <c r="I40" s="17" t="str">
        <f t="shared" si="3"/>
        <v>0.00000000030e-24</v>
      </c>
      <c r="J40" s="17">
        <f t="shared" si="4"/>
        <v>0</v>
      </c>
      <c r="K40" s="17" t="b">
        <f t="shared" si="5"/>
        <v>0</v>
      </c>
      <c r="L40" s="16" t="str">
        <f>IFERROR(__xludf.DUMMYFUNCTION("if(regexmatch(B40,""e(.*)$""),regexextract(B40,""e(.*)$""),"""")"),"-24")</f>
        <v>-24</v>
      </c>
      <c r="M40" s="18"/>
      <c r="N40" s="18">
        <f>countif(ConstantsUnits!C:C,F40)</f>
        <v>1</v>
      </c>
      <c r="O40" s="16" t="str">
        <f>VLOOKUP($A40,ConstantsUnits!$A:$A,1,false)</f>
        <v>atomic unit of momentum</v>
      </c>
    </row>
    <row r="41">
      <c r="A41" s="1" t="s">
        <v>186</v>
      </c>
      <c r="B41" s="1" t="s">
        <v>1266</v>
      </c>
      <c r="C41" s="1" t="s">
        <v>1267</v>
      </c>
      <c r="D41" s="1" t="s">
        <v>187</v>
      </c>
      <c r="E41" s="15"/>
      <c r="F41" s="16" t="str">
        <f>VLOOKUP($A41,ConstantsUnits!$A:$C,3,false)</f>
        <v>AtomicUnitOfPermittivity</v>
      </c>
      <c r="G41" s="17" t="str">
        <f t="shared" si="1"/>
        <v>1.11265005545e-10</v>
      </c>
      <c r="H41" s="17">
        <f t="shared" si="2"/>
        <v>0.0000000001112650055</v>
      </c>
      <c r="I41" s="17" t="str">
        <f t="shared" si="3"/>
        <v>0.00000000017e-10</v>
      </c>
      <c r="J41" s="17">
        <f t="shared" si="4"/>
        <v>0</v>
      </c>
      <c r="K41" s="17" t="b">
        <f t="shared" si="5"/>
        <v>0</v>
      </c>
      <c r="L41" s="16" t="str">
        <f>IFERROR(__xludf.DUMMYFUNCTION("if(regexmatch(B41,""e(.*)$""),regexextract(B41,""e(.*)$""),"""")"),"-10")</f>
        <v>-10</v>
      </c>
      <c r="M41" s="18"/>
      <c r="N41" s="18">
        <f>countif(ConstantsUnits!C:C,F41)</f>
        <v>1</v>
      </c>
      <c r="O41" s="16" t="str">
        <f>VLOOKUP($A41,ConstantsUnits!$A:$A,1,false)</f>
        <v>atomic unit of permittivity</v>
      </c>
    </row>
    <row r="42">
      <c r="A42" s="1" t="s">
        <v>191</v>
      </c>
      <c r="B42" s="1" t="s">
        <v>1268</v>
      </c>
      <c r="C42" s="1" t="s">
        <v>1269</v>
      </c>
      <c r="D42" s="1" t="s">
        <v>192</v>
      </c>
      <c r="E42" s="15"/>
      <c r="F42" s="16" t="str">
        <f>VLOOKUP($A42,ConstantsUnits!$A:$C,3,false)</f>
        <v>AtomicUnitOfTime</v>
      </c>
      <c r="G42" s="17" t="str">
        <f t="shared" si="1"/>
        <v>2.4188843265857e-17</v>
      </c>
      <c r="H42" s="17">
        <f t="shared" si="2"/>
        <v>0</v>
      </c>
      <c r="I42" s="17" t="str">
        <f t="shared" si="3"/>
        <v>0.0000000000047e-17</v>
      </c>
      <c r="J42" s="17">
        <f t="shared" si="4"/>
        <v>0</v>
      </c>
      <c r="K42" s="17" t="b">
        <f t="shared" si="5"/>
        <v>0</v>
      </c>
      <c r="L42" s="16" t="str">
        <f>IFERROR(__xludf.DUMMYFUNCTION("if(regexmatch(B42,""e(.*)$""),regexextract(B42,""e(.*)$""),"""")"),"-17")</f>
        <v>-17</v>
      </c>
      <c r="M42" s="18"/>
      <c r="N42" s="18">
        <f>countif(ConstantsUnits!C:C,F42)</f>
        <v>1</v>
      </c>
      <c r="O42" s="16" t="str">
        <f>VLOOKUP($A42,ConstantsUnits!$A:$A,1,false)</f>
        <v>atomic unit of time</v>
      </c>
    </row>
    <row r="43">
      <c r="A43" s="1" t="s">
        <v>195</v>
      </c>
      <c r="B43" s="1" t="s">
        <v>1270</v>
      </c>
      <c r="C43" s="1" t="s">
        <v>1271</v>
      </c>
      <c r="D43" s="1" t="s">
        <v>196</v>
      </c>
      <c r="E43" s="15"/>
      <c r="F43" s="16" t="str">
        <f>VLOOKUP($A43,ConstantsUnits!$A:$C,3,false)</f>
        <v>AtomicUnitOfVelocity</v>
      </c>
      <c r="G43" s="17" t="str">
        <f t="shared" si="1"/>
        <v>2.18769126364e6</v>
      </c>
      <c r="H43" s="17">
        <f t="shared" si="2"/>
        <v>2187691.264</v>
      </c>
      <c r="I43" s="17" t="str">
        <f t="shared" si="3"/>
        <v>0.00000000033e6</v>
      </c>
      <c r="J43" s="17">
        <f t="shared" si="4"/>
        <v>0.00033</v>
      </c>
      <c r="K43" s="17" t="b">
        <f t="shared" si="5"/>
        <v>0</v>
      </c>
      <c r="L43" s="16" t="str">
        <f>IFERROR(__xludf.DUMMYFUNCTION("if(regexmatch(B43,""e(.*)$""),regexextract(B43,""e(.*)$""),"""")"),"6")</f>
        <v>6</v>
      </c>
      <c r="M43" s="18"/>
      <c r="N43" s="18">
        <f>countif(ConstantsUnits!C:C,F43)</f>
        <v>1</v>
      </c>
      <c r="O43" s="16" t="str">
        <f>VLOOKUP($A43,ConstantsUnits!$A:$A,1,false)</f>
        <v>atomic unit of velocity</v>
      </c>
    </row>
    <row r="44">
      <c r="A44" s="1" t="s">
        <v>200</v>
      </c>
      <c r="B44" s="1" t="s">
        <v>1272</v>
      </c>
      <c r="C44" s="1" t="s">
        <v>1232</v>
      </c>
      <c r="D44" s="1" t="s">
        <v>201</v>
      </c>
      <c r="E44" s="15"/>
      <c r="F44" s="16" t="str">
        <f>VLOOKUP($A44,ConstantsUnits!$A:$C,3,false)</f>
        <v>AvogadroConstant</v>
      </c>
      <c r="G44" s="17" t="str">
        <f t="shared" si="1"/>
        <v>6.02214076e23</v>
      </c>
      <c r="H44" s="17">
        <f t="shared" si="2"/>
        <v>6.02214E+23</v>
      </c>
      <c r="I44" s="17" t="str">
        <f t="shared" si="3"/>
        <v>(exact)</v>
      </c>
      <c r="J44" s="17" t="str">
        <f t="shared" si="4"/>
        <v/>
      </c>
      <c r="K44" s="17" t="b">
        <f t="shared" si="5"/>
        <v>0</v>
      </c>
      <c r="L44" s="16" t="str">
        <f>IFERROR(__xludf.DUMMYFUNCTION("if(regexmatch(B44,""e(.*)$""),regexextract(B44,""e(.*)$""),"""")"),"23")</f>
        <v>23</v>
      </c>
      <c r="M44" s="18"/>
      <c r="N44" s="18">
        <f>countif(ConstantsUnits!C:C,F44)</f>
        <v>1</v>
      </c>
      <c r="O44" s="16" t="str">
        <f>VLOOKUP($A44,ConstantsUnits!$A:$A,1,false)</f>
        <v>Avogadro constant</v>
      </c>
    </row>
    <row r="45">
      <c r="A45" s="1" t="s">
        <v>205</v>
      </c>
      <c r="B45" s="1" t="s">
        <v>1273</v>
      </c>
      <c r="C45" s="1" t="s">
        <v>1274</v>
      </c>
      <c r="D45" s="1" t="s">
        <v>165</v>
      </c>
      <c r="E45" s="15"/>
      <c r="F45" s="16" t="str">
        <f>VLOOKUP($A45,ConstantsUnits!$A:$C,3,false)</f>
        <v>BohrMagneton</v>
      </c>
      <c r="G45" s="17" t="str">
        <f t="shared" si="1"/>
        <v>9.2740100783e-24</v>
      </c>
      <c r="H45" s="17">
        <f t="shared" si="2"/>
        <v>0</v>
      </c>
      <c r="I45" s="17" t="str">
        <f t="shared" si="3"/>
        <v>0.0000000028e-24</v>
      </c>
      <c r="J45" s="17">
        <f t="shared" si="4"/>
        <v>0</v>
      </c>
      <c r="K45" s="17" t="b">
        <f t="shared" si="5"/>
        <v>0</v>
      </c>
      <c r="L45" s="16" t="str">
        <f>IFERROR(__xludf.DUMMYFUNCTION("if(regexmatch(B45,""e(.*)$""),regexextract(B45,""e(.*)$""),"""")"),"-24")</f>
        <v>-24</v>
      </c>
      <c r="M45" s="18"/>
      <c r="N45" s="18">
        <f>countif(ConstantsUnits!C:C,F45)</f>
        <v>1</v>
      </c>
      <c r="O45" s="16" t="str">
        <f>VLOOKUP($A45,ConstantsUnits!$A:$A,1,false)</f>
        <v>Bohr magneton</v>
      </c>
    </row>
    <row r="46">
      <c r="A46" s="1" t="s">
        <v>208</v>
      </c>
      <c r="B46" s="1" t="s">
        <v>1275</v>
      </c>
      <c r="C46" s="1" t="s">
        <v>1276</v>
      </c>
      <c r="D46" s="1" t="s">
        <v>209</v>
      </c>
      <c r="E46" s="15"/>
      <c r="F46" s="16" t="str">
        <f>VLOOKUP($A46,ConstantsUnits!$A:$C,3,false)</f>
        <v>BohrMagnetonInEVPerT</v>
      </c>
      <c r="G46" s="17" t="str">
        <f t="shared" si="1"/>
        <v>5.7883818060e-5</v>
      </c>
      <c r="H46" s="17">
        <f t="shared" si="2"/>
        <v>0.00005788381806</v>
      </c>
      <c r="I46" s="17" t="str">
        <f t="shared" si="3"/>
        <v>0.0000000017e-5</v>
      </c>
      <c r="J46" s="17">
        <f t="shared" si="4"/>
        <v>0</v>
      </c>
      <c r="K46" s="17" t="b">
        <f t="shared" si="5"/>
        <v>0</v>
      </c>
      <c r="L46" s="16" t="str">
        <f>IFERROR(__xludf.DUMMYFUNCTION("if(regexmatch(B46,""e(.*)$""),regexextract(B46,""e(.*)$""),"""")"),"-5")</f>
        <v>-5</v>
      </c>
      <c r="M46" s="18"/>
      <c r="N46" s="18">
        <f>countif(ConstantsUnits!C:C,F46)</f>
        <v>1</v>
      </c>
      <c r="O46" s="16" t="str">
        <f>VLOOKUP($A46,ConstantsUnits!$A:$A,1,false)</f>
        <v>Bohr magneton in eV/T</v>
      </c>
    </row>
    <row r="47">
      <c r="A47" s="1" t="s">
        <v>213</v>
      </c>
      <c r="B47" s="1" t="s">
        <v>1277</v>
      </c>
      <c r="C47" s="1" t="s">
        <v>1278</v>
      </c>
      <c r="D47" s="1" t="s">
        <v>214</v>
      </c>
      <c r="E47" s="15"/>
      <c r="F47" s="16" t="str">
        <f>VLOOKUP($A47,ConstantsUnits!$A:$C,3,false)</f>
        <v>BohrMagnetonInHzPerT</v>
      </c>
      <c r="G47" s="17" t="str">
        <f t="shared" si="1"/>
        <v>1.39962449361e10</v>
      </c>
      <c r="H47" s="17">
        <f t="shared" si="2"/>
        <v>13996244936</v>
      </c>
      <c r="I47" s="17" t="str">
        <f t="shared" si="3"/>
        <v>0.00000000042e10</v>
      </c>
      <c r="J47" s="17">
        <f t="shared" si="4"/>
        <v>4.2</v>
      </c>
      <c r="K47" s="17" t="b">
        <f t="shared" si="5"/>
        <v>0</v>
      </c>
      <c r="L47" s="16" t="str">
        <f>IFERROR(__xludf.DUMMYFUNCTION("if(regexmatch(B47,""e(.*)$""),regexextract(B47,""e(.*)$""),"""")"),"10")</f>
        <v>10</v>
      </c>
      <c r="M47" s="18"/>
      <c r="N47" s="18">
        <f>countif(ConstantsUnits!C:C,F47)</f>
        <v>1</v>
      </c>
      <c r="O47" s="16" t="str">
        <f>VLOOKUP($A47,ConstantsUnits!$A:$A,1,false)</f>
        <v>Bohr magneton in Hz/T</v>
      </c>
    </row>
    <row r="48">
      <c r="A48" s="1" t="s">
        <v>218</v>
      </c>
      <c r="B48" s="1" t="s">
        <v>1279</v>
      </c>
      <c r="C48" s="1" t="s">
        <v>1280</v>
      </c>
      <c r="D48" s="1" t="s">
        <v>219</v>
      </c>
      <c r="E48" s="15"/>
      <c r="F48" s="16" t="str">
        <f>VLOOKUP($A48,ConstantsUnits!$A:$C,3,false)</f>
        <v>BohrMagnetonInInverseMetersPerTesla</v>
      </c>
      <c r="G48" s="17" t="str">
        <f t="shared" si="1"/>
        <v>46.686447783</v>
      </c>
      <c r="H48" s="17">
        <f t="shared" si="2"/>
        <v>46.68644778</v>
      </c>
      <c r="I48" s="17" t="str">
        <f t="shared" si="3"/>
        <v>0.000000014</v>
      </c>
      <c r="J48" s="17">
        <f t="shared" si="4"/>
        <v>0.000000014</v>
      </c>
      <c r="K48" s="17" t="b">
        <f t="shared" si="5"/>
        <v>0</v>
      </c>
      <c r="L48" s="16" t="str">
        <f>IFERROR(__xludf.DUMMYFUNCTION("if(regexmatch(B48,""e(.*)$""),regexextract(B48,""e(.*)$""),"""")"),"")</f>
        <v/>
      </c>
      <c r="M48" s="18"/>
      <c r="N48" s="18">
        <f>countif(ConstantsUnits!C:C,F48)</f>
        <v>1</v>
      </c>
      <c r="O48" s="16" t="str">
        <f>VLOOKUP($A48,ConstantsUnits!$A:$A,1,false)</f>
        <v>Bohr magneton in inverse meter per tesla</v>
      </c>
    </row>
    <row r="49">
      <c r="A49" s="1" t="s">
        <v>223</v>
      </c>
      <c r="B49" s="1" t="s">
        <v>1281</v>
      </c>
      <c r="C49" s="1" t="s">
        <v>1282</v>
      </c>
      <c r="D49" s="1" t="s">
        <v>224</v>
      </c>
      <c r="E49" s="15"/>
      <c r="F49" s="16" t="str">
        <f>VLOOKUP($A49,ConstantsUnits!$A:$C,3,false)</f>
        <v>BohrMagnetonInKPerT</v>
      </c>
      <c r="G49" s="17" t="str">
        <f t="shared" si="1"/>
        <v>0.67171381563</v>
      </c>
      <c r="H49" s="17">
        <f t="shared" si="2"/>
        <v>0.6717138156</v>
      </c>
      <c r="I49" s="17" t="str">
        <f t="shared" si="3"/>
        <v>0.00000000020</v>
      </c>
      <c r="J49" s="17">
        <f t="shared" si="4"/>
        <v>0.0000000002</v>
      </c>
      <c r="K49" s="17" t="b">
        <f t="shared" si="5"/>
        <v>0</v>
      </c>
      <c r="L49" s="16" t="str">
        <f>IFERROR(__xludf.DUMMYFUNCTION("if(regexmatch(B49,""e(.*)$""),regexextract(B49,""e(.*)$""),"""")"),"")</f>
        <v/>
      </c>
      <c r="M49" s="18"/>
      <c r="N49" s="18">
        <f>countif(ConstantsUnits!C:C,F49)</f>
        <v>1</v>
      </c>
      <c r="O49" s="16" t="str">
        <f>VLOOKUP($A49,ConstantsUnits!$A:$A,1,false)</f>
        <v>Bohr magneton in K/T</v>
      </c>
    </row>
    <row r="50">
      <c r="A50" s="1" t="s">
        <v>228</v>
      </c>
      <c r="B50" s="1" t="s">
        <v>1254</v>
      </c>
      <c r="C50" s="1" t="s">
        <v>1255</v>
      </c>
      <c r="D50" s="1" t="s">
        <v>59</v>
      </c>
      <c r="E50" s="15"/>
      <c r="F50" s="16" t="str">
        <f>VLOOKUP($A50,ConstantsUnits!$A:$C,3,false)</f>
        <v>BohrRadius</v>
      </c>
      <c r="G50" s="17" t="str">
        <f t="shared" si="1"/>
        <v>5.29177210903e-11</v>
      </c>
      <c r="H50" s="17">
        <f t="shared" si="2"/>
        <v>0</v>
      </c>
      <c r="I50" s="17" t="str">
        <f t="shared" si="3"/>
        <v>0.00000000080e-11</v>
      </c>
      <c r="J50" s="17">
        <f t="shared" si="4"/>
        <v>0</v>
      </c>
      <c r="K50" s="17" t="b">
        <f t="shared" si="5"/>
        <v>0</v>
      </c>
      <c r="L50" s="16" t="str">
        <f>IFERROR(__xludf.DUMMYFUNCTION("if(regexmatch(B50,""e(.*)$""),regexextract(B50,""e(.*)$""),"""")"),"-11")</f>
        <v>-11</v>
      </c>
      <c r="M50" s="18"/>
      <c r="N50" s="18">
        <f>countif(ConstantsUnits!C:C,F50)</f>
        <v>1</v>
      </c>
      <c r="O50" s="16" t="str">
        <f>VLOOKUP($A50,ConstantsUnits!$A:$A,1,false)</f>
        <v>Bohr radius</v>
      </c>
    </row>
    <row r="51">
      <c r="A51" s="1" t="s">
        <v>231</v>
      </c>
      <c r="B51" s="1" t="s">
        <v>1283</v>
      </c>
      <c r="C51" s="1" t="s">
        <v>1232</v>
      </c>
      <c r="D51" s="1" t="s">
        <v>232</v>
      </c>
      <c r="E51" s="15"/>
      <c r="F51" s="16" t="str">
        <f>VLOOKUP($A51,ConstantsUnits!$A:$C,3,false)</f>
        <v>BoltzmannConstant</v>
      </c>
      <c r="G51" s="17" t="str">
        <f t="shared" si="1"/>
        <v>1.380649e-23</v>
      </c>
      <c r="H51" s="17">
        <f t="shared" si="2"/>
        <v>0</v>
      </c>
      <c r="I51" s="17" t="str">
        <f t="shared" si="3"/>
        <v>(exact)</v>
      </c>
      <c r="J51" s="17" t="str">
        <f t="shared" si="4"/>
        <v/>
      </c>
      <c r="K51" s="17" t="b">
        <f t="shared" si="5"/>
        <v>0</v>
      </c>
      <c r="L51" s="16" t="str">
        <f>IFERROR(__xludf.DUMMYFUNCTION("if(regexmatch(B51,""e(.*)$""),regexextract(B51,""e(.*)$""),"""")"),"-23")</f>
        <v>-23</v>
      </c>
      <c r="M51" s="18"/>
      <c r="N51" s="18">
        <f>countif(ConstantsUnits!C:C,F51)</f>
        <v>1</v>
      </c>
      <c r="O51" s="16" t="str">
        <f>VLOOKUP($A51,ConstantsUnits!$A:$A,1,false)</f>
        <v>Boltzmann constant</v>
      </c>
    </row>
    <row r="52">
      <c r="A52" s="1" t="s">
        <v>236</v>
      </c>
      <c r="B52" s="1" t="s">
        <v>1284</v>
      </c>
      <c r="C52" s="1" t="s">
        <v>1232</v>
      </c>
      <c r="D52" s="1" t="s">
        <v>237</v>
      </c>
      <c r="E52" s="15"/>
      <c r="F52" s="16" t="str">
        <f>VLOOKUP($A52,ConstantsUnits!$A:$C,3,false)</f>
        <v>BoltzmannConstantInEVPerK</v>
      </c>
      <c r="G52" s="17" t="str">
        <f t="shared" si="1"/>
        <v>8.617333262e-5</v>
      </c>
      <c r="H52" s="17">
        <f t="shared" si="2"/>
        <v>0.00008617333262</v>
      </c>
      <c r="I52" s="17" t="str">
        <f t="shared" si="3"/>
        <v>(exact)</v>
      </c>
      <c r="J52" s="17" t="str">
        <f t="shared" si="4"/>
        <v/>
      </c>
      <c r="K52" s="17" t="b">
        <f t="shared" si="5"/>
        <v>1</v>
      </c>
      <c r="L52" s="16" t="str">
        <f>IFERROR(__xludf.DUMMYFUNCTION("if(regexmatch(B52,""e(.*)$""),regexextract(B52,""e(.*)$""),"""")"),"-5")</f>
        <v>-5</v>
      </c>
      <c r="M52" s="18"/>
      <c r="N52" s="18">
        <f>countif(ConstantsUnits!C:C,F52)</f>
        <v>1</v>
      </c>
      <c r="O52" s="16" t="str">
        <f>VLOOKUP($A52,ConstantsUnits!$A:$A,1,false)</f>
        <v>Boltzmann constant in eV/K</v>
      </c>
    </row>
    <row r="53">
      <c r="A53" s="1" t="s">
        <v>241</v>
      </c>
      <c r="B53" s="1" t="s">
        <v>1285</v>
      </c>
      <c r="C53" s="1" t="s">
        <v>1232</v>
      </c>
      <c r="D53" s="1" t="s">
        <v>242</v>
      </c>
      <c r="E53" s="15"/>
      <c r="F53" s="16" t="str">
        <f>VLOOKUP($A53,ConstantsUnits!$A:$C,3,false)</f>
        <v>BoltzmannConstantInHzPerK</v>
      </c>
      <c r="G53" s="17" t="str">
        <f t="shared" si="1"/>
        <v>2.083661912e10</v>
      </c>
      <c r="H53" s="17">
        <f t="shared" si="2"/>
        <v>20836619120</v>
      </c>
      <c r="I53" s="17" t="str">
        <f t="shared" si="3"/>
        <v>(exact)</v>
      </c>
      <c r="J53" s="17" t="str">
        <f t="shared" si="4"/>
        <v/>
      </c>
      <c r="K53" s="17" t="b">
        <f t="shared" si="5"/>
        <v>1</v>
      </c>
      <c r="L53" s="16" t="str">
        <f>IFERROR(__xludf.DUMMYFUNCTION("if(regexmatch(B53,""e(.*)$""),regexextract(B53,""e(.*)$""),"""")"),"10")</f>
        <v>10</v>
      </c>
      <c r="M53" s="18"/>
      <c r="N53" s="18">
        <f>countif(ConstantsUnits!C:C,F53)</f>
        <v>1</v>
      </c>
      <c r="O53" s="16" t="str">
        <f>VLOOKUP($A53,ConstantsUnits!$A:$A,1,false)</f>
        <v>Boltzmann constant in Hz/K</v>
      </c>
    </row>
    <row r="54">
      <c r="A54" s="1" t="s">
        <v>246</v>
      </c>
      <c r="B54" s="1" t="s">
        <v>1286</v>
      </c>
      <c r="C54" s="1" t="s">
        <v>1232</v>
      </c>
      <c r="D54" s="1" t="s">
        <v>247</v>
      </c>
      <c r="E54" s="15"/>
      <c r="F54" s="16" t="str">
        <f>VLOOKUP($A54,ConstantsUnits!$A:$C,3,false)</f>
        <v>BoltzmannConstantInInverseMetersPerKelvin</v>
      </c>
      <c r="G54" s="17" t="str">
        <f t="shared" si="1"/>
        <v>69.50348004</v>
      </c>
      <c r="H54" s="17">
        <f t="shared" si="2"/>
        <v>69.50348004</v>
      </c>
      <c r="I54" s="17" t="str">
        <f t="shared" si="3"/>
        <v>(exact)</v>
      </c>
      <c r="J54" s="17" t="str">
        <f t="shared" si="4"/>
        <v/>
      </c>
      <c r="K54" s="17" t="b">
        <f t="shared" si="5"/>
        <v>1</v>
      </c>
      <c r="L54" s="16" t="str">
        <f>IFERROR(__xludf.DUMMYFUNCTION("if(regexmatch(B54,""e(.*)$""),regexextract(B54,""e(.*)$""),"""")"),"")</f>
        <v/>
      </c>
      <c r="M54" s="18"/>
      <c r="N54" s="18">
        <f>countif(ConstantsUnits!C:C,F54)</f>
        <v>1</v>
      </c>
      <c r="O54" s="16" t="str">
        <f>VLOOKUP($A54,ConstantsUnits!$A:$A,1,false)</f>
        <v>Boltzmann constant in inverse meter per kelvin</v>
      </c>
    </row>
    <row r="55">
      <c r="A55" s="1" t="s">
        <v>251</v>
      </c>
      <c r="B55" s="1" t="s">
        <v>1287</v>
      </c>
      <c r="C55" s="1" t="s">
        <v>1288</v>
      </c>
      <c r="D55" s="1" t="s">
        <v>252</v>
      </c>
      <c r="E55" s="15"/>
      <c r="F55" s="16" t="str">
        <f>VLOOKUP($A55,ConstantsUnits!$A:$C,3,false)</f>
        <v>CharacteristicImpedanceOfVacuum</v>
      </c>
      <c r="G55" s="17" t="str">
        <f t="shared" si="1"/>
        <v>376.730313668</v>
      </c>
      <c r="H55" s="17">
        <f t="shared" si="2"/>
        <v>376.7303137</v>
      </c>
      <c r="I55" s="17" t="str">
        <f t="shared" si="3"/>
        <v>0.000000057</v>
      </c>
      <c r="J55" s="17">
        <f t="shared" si="4"/>
        <v>0.000000057</v>
      </c>
      <c r="K55" s="17" t="b">
        <f t="shared" si="5"/>
        <v>0</v>
      </c>
      <c r="L55" s="16" t="str">
        <f>IFERROR(__xludf.DUMMYFUNCTION("if(regexmatch(B55,""e(.*)$""),regexextract(B55,""e(.*)$""),"""")"),"")</f>
        <v/>
      </c>
      <c r="M55" s="18"/>
      <c r="N55" s="18">
        <f>countif(ConstantsUnits!C:C,F55)</f>
        <v>1</v>
      </c>
      <c r="O55" s="16" t="str">
        <f>VLOOKUP($A55,ConstantsUnits!$A:$A,1,false)</f>
        <v>characteristic impedance of vacuum</v>
      </c>
    </row>
    <row r="56">
      <c r="A56" s="1" t="s">
        <v>256</v>
      </c>
      <c r="B56" s="1" t="s">
        <v>1289</v>
      </c>
      <c r="C56" s="1" t="s">
        <v>1290</v>
      </c>
      <c r="D56" s="1" t="s">
        <v>59</v>
      </c>
      <c r="E56" s="15"/>
      <c r="F56" s="16" t="str">
        <f>VLOOKUP($A56,ConstantsUnits!$A:$C,3,false)</f>
        <v>ClassicalElectronRadius</v>
      </c>
      <c r="G56" s="17" t="str">
        <f t="shared" si="1"/>
        <v>2.8179403262e-15</v>
      </c>
      <c r="H56" s="17">
        <f t="shared" si="2"/>
        <v>0</v>
      </c>
      <c r="I56" s="17" t="str">
        <f t="shared" si="3"/>
        <v>0.0000000013e-15</v>
      </c>
      <c r="J56" s="17">
        <f t="shared" si="4"/>
        <v>0</v>
      </c>
      <c r="K56" s="17" t="b">
        <f t="shared" si="5"/>
        <v>0</v>
      </c>
      <c r="L56" s="16" t="str">
        <f>IFERROR(__xludf.DUMMYFUNCTION("if(regexmatch(B56,""e(.*)$""),regexextract(B56,""e(.*)$""),"""")"),"-15")</f>
        <v>-15</v>
      </c>
      <c r="M56" s="18"/>
      <c r="N56" s="18">
        <f>countif(ConstantsUnits!C:C,F56)</f>
        <v>1</v>
      </c>
      <c r="O56" s="16" t="str">
        <f>VLOOKUP($A56,ConstantsUnits!$A:$A,1,false)</f>
        <v>classical electron radius</v>
      </c>
    </row>
    <row r="57">
      <c r="A57" s="1" t="s">
        <v>259</v>
      </c>
      <c r="B57" s="1" t="s">
        <v>1291</v>
      </c>
      <c r="C57" s="1" t="s">
        <v>1292</v>
      </c>
      <c r="D57" s="1" t="s">
        <v>59</v>
      </c>
      <c r="E57" s="15"/>
      <c r="F57" s="16" t="str">
        <f>VLOOKUP($A57,ConstantsUnits!$A:$C,3,false)</f>
        <v>ComptonWavelength</v>
      </c>
      <c r="G57" s="17" t="str">
        <f t="shared" si="1"/>
        <v>2.42631023867e-12</v>
      </c>
      <c r="H57" s="17">
        <f t="shared" si="2"/>
        <v>0</v>
      </c>
      <c r="I57" s="17" t="str">
        <f t="shared" si="3"/>
        <v>0.00000000073e-12</v>
      </c>
      <c r="J57" s="17">
        <f t="shared" si="4"/>
        <v>0</v>
      </c>
      <c r="K57" s="17" t="b">
        <f t="shared" si="5"/>
        <v>0</v>
      </c>
      <c r="L57" s="16" t="str">
        <f>IFERROR(__xludf.DUMMYFUNCTION("if(regexmatch(B57,""e(.*)$""),regexextract(B57,""e(.*)$""),"""")"),"-12")</f>
        <v>-12</v>
      </c>
      <c r="M57" s="18"/>
      <c r="N57" s="18">
        <f>countif(ConstantsUnits!C:C,F57)</f>
        <v>1</v>
      </c>
      <c r="O57" s="16" t="str">
        <f>VLOOKUP($A57,ConstantsUnits!$A:$A,1,false)</f>
        <v>Compton wavelength</v>
      </c>
    </row>
    <row r="58">
      <c r="A58" s="1" t="s">
        <v>262</v>
      </c>
      <c r="B58" s="1" t="s">
        <v>1293</v>
      </c>
      <c r="C58" s="1" t="s">
        <v>1232</v>
      </c>
      <c r="D58" s="1" t="s">
        <v>263</v>
      </c>
      <c r="E58" s="15"/>
      <c r="F58" s="16" t="str">
        <f>VLOOKUP($A58,ConstantsUnits!$A:$C,3,false)</f>
        <v>ConductanceQuantum</v>
      </c>
      <c r="G58" s="17" t="str">
        <f t="shared" si="1"/>
        <v>7.748091729e-5</v>
      </c>
      <c r="H58" s="17">
        <f t="shared" si="2"/>
        <v>0.00007748091729</v>
      </c>
      <c r="I58" s="17" t="str">
        <f t="shared" si="3"/>
        <v>(exact)</v>
      </c>
      <c r="J58" s="17" t="str">
        <f t="shared" si="4"/>
        <v/>
      </c>
      <c r="K58" s="17" t="b">
        <f t="shared" si="5"/>
        <v>1</v>
      </c>
      <c r="L58" s="16" t="str">
        <f>IFERROR(__xludf.DUMMYFUNCTION("if(regexmatch(B58,""e(.*)$""),regexextract(B58,""e(.*)$""),"""")"),"-5")</f>
        <v>-5</v>
      </c>
      <c r="M58" s="18"/>
      <c r="N58" s="18">
        <f>countif(ConstantsUnits!C:C,F58)</f>
        <v>1</v>
      </c>
      <c r="O58" s="16" t="str">
        <f>VLOOKUP($A58,ConstantsUnits!$A:$A,1,false)</f>
        <v>conductance quantum</v>
      </c>
    </row>
    <row r="59">
      <c r="A59" s="1" t="s">
        <v>269</v>
      </c>
      <c r="B59" s="1" t="s">
        <v>1294</v>
      </c>
      <c r="C59" s="1" t="s">
        <v>1232</v>
      </c>
      <c r="D59" s="1" t="s">
        <v>123</v>
      </c>
      <c r="E59" s="15"/>
      <c r="F59" s="16" t="str">
        <f>VLOOKUP($A59,ConstantsUnits!$A:$C,3,false)</f>
        <v>ConventionalValueOfAmpere-90</v>
      </c>
      <c r="G59" s="17" t="str">
        <f t="shared" si="1"/>
        <v>1.00000008887</v>
      </c>
      <c r="H59" s="17">
        <f t="shared" si="2"/>
        <v>1.000000089</v>
      </c>
      <c r="I59" s="17" t="str">
        <f t="shared" si="3"/>
        <v>(exact)</v>
      </c>
      <c r="J59" s="17" t="str">
        <f t="shared" si="4"/>
        <v/>
      </c>
      <c r="K59" s="17" t="b">
        <f t="shared" si="5"/>
        <v>1</v>
      </c>
      <c r="L59" s="16" t="str">
        <f>IFERROR(__xludf.DUMMYFUNCTION("if(regexmatch(B59,""e(.*)$""),regexextract(B59,""e(.*)$""),"""")"),"")</f>
        <v/>
      </c>
      <c r="M59" s="18"/>
      <c r="N59" s="18">
        <f>countif(ConstantsUnits!C:C,F59)</f>
        <v>1</v>
      </c>
      <c r="O59" s="16" t="str">
        <f>VLOOKUP($A59,ConstantsUnits!$A:$A,1,false)</f>
        <v>conventional value of ampere-90</v>
      </c>
    </row>
    <row r="60">
      <c r="A60" s="1" t="s">
        <v>271</v>
      </c>
      <c r="B60" s="1" t="s">
        <v>1294</v>
      </c>
      <c r="C60" s="1" t="s">
        <v>1232</v>
      </c>
      <c r="D60" s="1" t="s">
        <v>113</v>
      </c>
      <c r="E60" s="15"/>
      <c r="F60" s="16" t="str">
        <f>VLOOKUP($A60,ConstantsUnits!$A:$C,3,false)</f>
        <v>ConventionalValueOfCoulomb-90</v>
      </c>
      <c r="G60" s="17" t="str">
        <f t="shared" si="1"/>
        <v>1.00000008887</v>
      </c>
      <c r="H60" s="17">
        <f t="shared" si="2"/>
        <v>1.000000089</v>
      </c>
      <c r="I60" s="17" t="str">
        <f t="shared" si="3"/>
        <v>(exact)</v>
      </c>
      <c r="J60" s="17" t="str">
        <f t="shared" si="4"/>
        <v/>
      </c>
      <c r="K60" s="17" t="b">
        <f t="shared" si="5"/>
        <v>1</v>
      </c>
      <c r="L60" s="16" t="str">
        <f>IFERROR(__xludf.DUMMYFUNCTION("if(regexmatch(B60,""e(.*)$""),regexextract(B60,""e(.*)$""),"""")"),"")</f>
        <v/>
      </c>
      <c r="M60" s="18"/>
      <c r="N60" s="18">
        <f>countif(ConstantsUnits!C:C,F60)</f>
        <v>1</v>
      </c>
      <c r="O60" s="16" t="str">
        <f>VLOOKUP($A60,ConstantsUnits!$A:$A,1,false)</f>
        <v>conventional value of coulomb-90</v>
      </c>
    </row>
    <row r="61">
      <c r="A61" s="1" t="s">
        <v>273</v>
      </c>
      <c r="B61" s="1" t="s">
        <v>1295</v>
      </c>
      <c r="C61" s="1" t="s">
        <v>1232</v>
      </c>
      <c r="D61" s="1" t="s">
        <v>274</v>
      </c>
      <c r="E61" s="15"/>
      <c r="F61" s="16" t="str">
        <f>VLOOKUP($A61,ConstantsUnits!$A:$C,3,false)</f>
        <v>ConventionalValueOfFarad-90</v>
      </c>
      <c r="G61" s="17" t="str">
        <f t="shared" si="1"/>
        <v>0.99999998220</v>
      </c>
      <c r="H61" s="17">
        <f t="shared" si="2"/>
        <v>0.9999999822</v>
      </c>
      <c r="I61" s="17" t="str">
        <f t="shared" si="3"/>
        <v>(exact)</v>
      </c>
      <c r="J61" s="17" t="str">
        <f t="shared" si="4"/>
        <v/>
      </c>
      <c r="K61" s="17" t="b">
        <f t="shared" si="5"/>
        <v>1</v>
      </c>
      <c r="L61" s="16" t="str">
        <f>IFERROR(__xludf.DUMMYFUNCTION("if(regexmatch(B61,""e(.*)$""),regexextract(B61,""e(.*)$""),"""")"),"")</f>
        <v/>
      </c>
      <c r="M61" s="18"/>
      <c r="N61" s="18">
        <f>countif(ConstantsUnits!C:C,F61)</f>
        <v>1</v>
      </c>
      <c r="O61" s="16" t="str">
        <f>VLOOKUP($A61,ConstantsUnits!$A:$A,1,false)</f>
        <v>conventional value of farad-90</v>
      </c>
    </row>
    <row r="62">
      <c r="A62" s="1" t="s">
        <v>276</v>
      </c>
      <c r="B62" s="1" t="s">
        <v>1296</v>
      </c>
      <c r="C62" s="1" t="s">
        <v>1232</v>
      </c>
      <c r="D62" s="1" t="s">
        <v>277</v>
      </c>
      <c r="E62" s="15"/>
      <c r="F62" s="16" t="str">
        <f>VLOOKUP($A62,ConstantsUnits!$A:$C,3,false)</f>
        <v>ConventionalValueOfHenry-90</v>
      </c>
      <c r="G62" s="17" t="str">
        <f t="shared" si="1"/>
        <v>1.00000001779</v>
      </c>
      <c r="H62" s="17">
        <f t="shared" si="2"/>
        <v>1.000000018</v>
      </c>
      <c r="I62" s="17" t="str">
        <f t="shared" si="3"/>
        <v>(exact)</v>
      </c>
      <c r="J62" s="17" t="str">
        <f t="shared" si="4"/>
        <v/>
      </c>
      <c r="K62" s="17" t="b">
        <f t="shared" si="5"/>
        <v>1</v>
      </c>
      <c r="L62" s="16" t="str">
        <f>IFERROR(__xludf.DUMMYFUNCTION("if(regexmatch(B62,""e(.*)$""),regexextract(B62,""e(.*)$""),"""")"),"")</f>
        <v/>
      </c>
      <c r="M62" s="18"/>
      <c r="N62" s="18">
        <f>countif(ConstantsUnits!C:C,F62)</f>
        <v>1</v>
      </c>
      <c r="O62" s="16" t="str">
        <f>VLOOKUP($A62,ConstantsUnits!$A:$A,1,false)</f>
        <v>conventional value of henry-90</v>
      </c>
    </row>
    <row r="63">
      <c r="A63" s="1" t="s">
        <v>279</v>
      </c>
      <c r="B63" s="1" t="s">
        <v>1297</v>
      </c>
      <c r="C63" s="1" t="s">
        <v>1232</v>
      </c>
      <c r="D63" s="1" t="s">
        <v>280</v>
      </c>
      <c r="E63" s="15"/>
      <c r="F63" s="16" t="str">
        <f>VLOOKUP($A63,ConstantsUnits!$A:$C,3,false)</f>
        <v>ConventionalValueOfJosephsonConstant</v>
      </c>
      <c r="G63" s="17" t="str">
        <f t="shared" si="1"/>
        <v>483597.9e9</v>
      </c>
      <c r="H63" s="17">
        <f t="shared" si="2"/>
        <v>483597900000000</v>
      </c>
      <c r="I63" s="17" t="str">
        <f t="shared" si="3"/>
        <v>(exact)</v>
      </c>
      <c r="J63" s="17" t="str">
        <f t="shared" si="4"/>
        <v/>
      </c>
      <c r="K63" s="17" t="b">
        <f t="shared" si="5"/>
        <v>0</v>
      </c>
      <c r="L63" s="16" t="str">
        <f>IFERROR(__xludf.DUMMYFUNCTION("if(regexmatch(B63,""e(.*)$""),regexextract(B63,""e(.*)$""),"""")"),"9")</f>
        <v>9</v>
      </c>
      <c r="M63" s="18"/>
      <c r="N63" s="18">
        <f>countif(ConstantsUnits!C:C,F63)</f>
        <v>1</v>
      </c>
      <c r="O63" s="16" t="str">
        <f>VLOOKUP($A63,ConstantsUnits!$A:$A,1,false)</f>
        <v>conventional value of Josephson constant</v>
      </c>
    </row>
    <row r="64">
      <c r="A64" s="1" t="s">
        <v>284</v>
      </c>
      <c r="B64" s="1" t="s">
        <v>1296</v>
      </c>
      <c r="C64" s="1" t="s">
        <v>1232</v>
      </c>
      <c r="D64" s="1" t="s">
        <v>252</v>
      </c>
      <c r="E64" s="15"/>
      <c r="F64" s="16" t="str">
        <f>VLOOKUP($A64,ConstantsUnits!$A:$C,3,false)</f>
        <v>ConventionalValueOfOhm-90</v>
      </c>
      <c r="G64" s="17" t="str">
        <f t="shared" si="1"/>
        <v>1.00000001779</v>
      </c>
      <c r="H64" s="17">
        <f t="shared" si="2"/>
        <v>1.000000018</v>
      </c>
      <c r="I64" s="17" t="str">
        <f t="shared" si="3"/>
        <v>(exact)</v>
      </c>
      <c r="J64" s="17" t="str">
        <f t="shared" si="4"/>
        <v/>
      </c>
      <c r="K64" s="17" t="b">
        <f t="shared" si="5"/>
        <v>1</v>
      </c>
      <c r="L64" s="16" t="str">
        <f>IFERROR(__xludf.DUMMYFUNCTION("if(regexmatch(B64,""e(.*)$""),regexextract(B64,""e(.*)$""),"""")"),"")</f>
        <v/>
      </c>
      <c r="M64" s="18"/>
      <c r="N64" s="18">
        <f>countif(ConstantsUnits!C:C,F64)</f>
        <v>1</v>
      </c>
      <c r="O64" s="16" t="str">
        <f>VLOOKUP($A64,ConstantsUnits!$A:$A,1,false)</f>
        <v>conventional value of ohm-90</v>
      </c>
    </row>
    <row r="65">
      <c r="A65" s="1" t="s">
        <v>286</v>
      </c>
      <c r="B65" s="1" t="s">
        <v>1298</v>
      </c>
      <c r="C65" s="1" t="s">
        <v>1232</v>
      </c>
      <c r="D65" s="1" t="s">
        <v>146</v>
      </c>
      <c r="E65" s="15"/>
      <c r="F65" s="16" t="str">
        <f>VLOOKUP($A65,ConstantsUnits!$A:$C,3,false)</f>
        <v>ConventionalValueOfVolt-90</v>
      </c>
      <c r="G65" s="17" t="str">
        <f t="shared" si="1"/>
        <v>1.00000010666</v>
      </c>
      <c r="H65" s="17">
        <f t="shared" si="2"/>
        <v>1.000000107</v>
      </c>
      <c r="I65" s="17" t="str">
        <f t="shared" si="3"/>
        <v>(exact)</v>
      </c>
      <c r="J65" s="17" t="str">
        <f t="shared" si="4"/>
        <v/>
      </c>
      <c r="K65" s="17" t="b">
        <f t="shared" si="5"/>
        <v>1</v>
      </c>
      <c r="L65" s="16" t="str">
        <f>IFERROR(__xludf.DUMMYFUNCTION("if(regexmatch(B65,""e(.*)$""),regexextract(B65,""e(.*)$""),"""")"),"")</f>
        <v/>
      </c>
      <c r="M65" s="18"/>
      <c r="N65" s="18">
        <f>countif(ConstantsUnits!C:C,F65)</f>
        <v>1</v>
      </c>
      <c r="O65" s="16" t="str">
        <f>VLOOKUP($A65,ConstantsUnits!$A:$A,1,false)</f>
        <v>conventional value of volt-90</v>
      </c>
    </row>
    <row r="66">
      <c r="A66" s="1" t="s">
        <v>288</v>
      </c>
      <c r="B66" s="1" t="s">
        <v>1299</v>
      </c>
      <c r="C66" s="1" t="s">
        <v>1232</v>
      </c>
      <c r="D66" s="1" t="s">
        <v>252</v>
      </c>
      <c r="E66" s="15"/>
      <c r="F66" s="16" t="str">
        <f>VLOOKUP($A66,ConstantsUnits!$A:$C,3,false)</f>
        <v>ConventionalValueOfVonKlitzingConstant</v>
      </c>
      <c r="G66" s="17" t="str">
        <f t="shared" si="1"/>
        <v>25812.807</v>
      </c>
      <c r="H66" s="17">
        <f t="shared" si="2"/>
        <v>25812.807</v>
      </c>
      <c r="I66" s="17" t="str">
        <f t="shared" si="3"/>
        <v>(exact)</v>
      </c>
      <c r="J66" s="17" t="str">
        <f t="shared" si="4"/>
        <v/>
      </c>
      <c r="K66" s="17" t="b">
        <f t="shared" si="5"/>
        <v>0</v>
      </c>
      <c r="L66" s="16" t="str">
        <f>IFERROR(__xludf.DUMMYFUNCTION("if(regexmatch(B66,""e(.*)$""),regexextract(B66,""e(.*)$""),"""")"),"")</f>
        <v/>
      </c>
      <c r="M66" s="18"/>
      <c r="N66" s="18">
        <f>countif(ConstantsUnits!C:C,F66)</f>
        <v>1</v>
      </c>
      <c r="O66" s="16" t="str">
        <f>VLOOKUP($A66,ConstantsUnits!$A:$A,1,false)</f>
        <v>conventional value of von Klitzing constant</v>
      </c>
    </row>
    <row r="67">
      <c r="A67" s="1" t="s">
        <v>291</v>
      </c>
      <c r="B67" s="1" t="s">
        <v>1300</v>
      </c>
      <c r="C67" s="1" t="s">
        <v>1232</v>
      </c>
      <c r="D67" s="1" t="s">
        <v>292</v>
      </c>
      <c r="E67" s="15"/>
      <c r="F67" s="16" t="str">
        <f>VLOOKUP($A67,ConstantsUnits!$A:$C,3,false)</f>
        <v>ConventionalValueOfWatt-90</v>
      </c>
      <c r="G67" s="17" t="str">
        <f t="shared" si="1"/>
        <v>1.00000019553</v>
      </c>
      <c r="H67" s="17">
        <f t="shared" si="2"/>
        <v>1.000000196</v>
      </c>
      <c r="I67" s="17" t="str">
        <f t="shared" si="3"/>
        <v>(exact)</v>
      </c>
      <c r="J67" s="17" t="str">
        <f t="shared" si="4"/>
        <v/>
      </c>
      <c r="K67" s="17" t="b">
        <f t="shared" si="5"/>
        <v>1</v>
      </c>
      <c r="L67" s="16" t="str">
        <f>IFERROR(__xludf.DUMMYFUNCTION("if(regexmatch(B67,""e(.*)$""),regexextract(B67,""e(.*)$""),"""")"),"")</f>
        <v/>
      </c>
      <c r="M67" s="18"/>
      <c r="N67" s="18">
        <f>countif(ConstantsUnits!C:C,F67)</f>
        <v>1</v>
      </c>
      <c r="O67" s="16" t="str">
        <f>VLOOKUP($A67,ConstantsUnits!$A:$A,1,false)</f>
        <v>conventional value of watt-90</v>
      </c>
    </row>
    <row r="68">
      <c r="A68" s="1" t="s">
        <v>294</v>
      </c>
      <c r="B68" s="1" t="s">
        <v>1301</v>
      </c>
      <c r="C68" s="1" t="s">
        <v>1302</v>
      </c>
      <c r="D68" s="1" t="s">
        <v>59</v>
      </c>
      <c r="E68" s="15"/>
      <c r="F68" s="16" t="str">
        <f>VLOOKUP($A68,ConstantsUnits!$A:$C,3,false)</f>
        <v>CuXUnit</v>
      </c>
      <c r="G68" s="17" t="str">
        <f t="shared" si="1"/>
        <v>1.00207697e-13</v>
      </c>
      <c r="H68" s="17">
        <f t="shared" si="2"/>
        <v>0</v>
      </c>
      <c r="I68" s="17" t="str">
        <f t="shared" si="3"/>
        <v>0.00000028e-13</v>
      </c>
      <c r="J68" s="17">
        <f t="shared" si="4"/>
        <v>0</v>
      </c>
      <c r="K68" s="17" t="b">
        <f t="shared" si="5"/>
        <v>0</v>
      </c>
      <c r="L68" s="16" t="str">
        <f>IFERROR(__xludf.DUMMYFUNCTION("if(regexmatch(B68,""e(.*)$""),regexextract(B68,""e(.*)$""),"""")"),"-13")</f>
        <v>-13</v>
      </c>
      <c r="M68" s="18"/>
      <c r="N68" s="18">
        <f>countif(ConstantsUnits!C:C,F68)</f>
        <v>1</v>
      </c>
      <c r="O68" s="16" t="str">
        <f>VLOOKUP($A68,ConstantsUnits!$A:$A,1,false)</f>
        <v>Copper x unit</v>
      </c>
    </row>
    <row r="69">
      <c r="A69" s="1" t="s">
        <v>297</v>
      </c>
      <c r="B69" s="1" t="s">
        <v>1303</v>
      </c>
      <c r="C69" s="1" t="s">
        <v>1304</v>
      </c>
      <c r="E69" s="15"/>
      <c r="F69" s="16" t="str">
        <f>VLOOKUP($A69,ConstantsUnits!$A:$C,3,false)</f>
        <v>DeuteronElectronMagneticMomentRatio</v>
      </c>
      <c r="G69" s="17" t="str">
        <f t="shared" si="1"/>
        <v>-4.664345551e-4</v>
      </c>
      <c r="H69" s="17">
        <f t="shared" si="2"/>
        <v>-0.0004664345551</v>
      </c>
      <c r="I69" s="17" t="str">
        <f t="shared" si="3"/>
        <v>0.000000012e-4</v>
      </c>
      <c r="J69" s="17">
        <f t="shared" si="4"/>
        <v>0</v>
      </c>
      <c r="K69" s="17" t="b">
        <f t="shared" si="5"/>
        <v>0</v>
      </c>
      <c r="L69" s="16" t="str">
        <f>IFERROR(__xludf.DUMMYFUNCTION("if(regexmatch(B69,""e(.*)$""),regexextract(B69,""e(.*)$""),"""")"),"-4")</f>
        <v>-4</v>
      </c>
      <c r="M69" s="18"/>
      <c r="N69" s="18">
        <f>countif(ConstantsUnits!C:C,F69)</f>
        <v>1</v>
      </c>
      <c r="O69" s="16" t="str">
        <f>VLOOKUP($A69,ConstantsUnits!$A:$A,1,false)</f>
        <v>deuteron-electron mag. mom. ratio</v>
      </c>
    </row>
    <row r="70">
      <c r="A70" s="1" t="s">
        <v>300</v>
      </c>
      <c r="B70" s="1" t="s">
        <v>1305</v>
      </c>
      <c r="C70" s="1" t="s">
        <v>1306</v>
      </c>
      <c r="E70" s="15"/>
      <c r="F70" s="16" t="str">
        <f>VLOOKUP($A70,ConstantsUnits!$A:$C,3,false)</f>
        <v>DeuteronElectronMassRatio</v>
      </c>
      <c r="G70" s="17" t="str">
        <f t="shared" si="1"/>
        <v>3670.48296788</v>
      </c>
      <c r="H70" s="17">
        <f t="shared" si="2"/>
        <v>3670.482968</v>
      </c>
      <c r="I70" s="17" t="str">
        <f t="shared" si="3"/>
        <v>0.00000013</v>
      </c>
      <c r="J70" s="17">
        <f t="shared" si="4"/>
        <v>0.00000013</v>
      </c>
      <c r="K70" s="17" t="b">
        <f t="shared" si="5"/>
        <v>0</v>
      </c>
      <c r="L70" s="16" t="str">
        <f>IFERROR(__xludf.DUMMYFUNCTION("if(regexmatch(B70,""e(.*)$""),regexextract(B70,""e(.*)$""),"""")"),"")</f>
        <v/>
      </c>
      <c r="M70" s="18"/>
      <c r="N70" s="18">
        <f>countif(ConstantsUnits!C:C,F70)</f>
        <v>1</v>
      </c>
      <c r="O70" s="16" t="str">
        <f>VLOOKUP($A70,ConstantsUnits!$A:$A,1,false)</f>
        <v>deuteron-electron mass ratio</v>
      </c>
    </row>
    <row r="71">
      <c r="A71" s="1" t="s">
        <v>303</v>
      </c>
      <c r="B71" s="1" t="s">
        <v>1307</v>
      </c>
      <c r="C71" s="1" t="s">
        <v>1308</v>
      </c>
      <c r="E71" s="15"/>
      <c r="F71" s="16" t="str">
        <f>VLOOKUP($A71,ConstantsUnits!$A:$C,3,false)</f>
        <v>DeuteronGFactor</v>
      </c>
      <c r="G71" s="17" t="str">
        <f t="shared" si="1"/>
        <v>0.8574382338</v>
      </c>
      <c r="H71" s="17">
        <f t="shared" si="2"/>
        <v>0.8574382338</v>
      </c>
      <c r="I71" s="17" t="str">
        <f t="shared" si="3"/>
        <v>0.0000000022</v>
      </c>
      <c r="J71" s="17">
        <f t="shared" si="4"/>
        <v>0.0000000022</v>
      </c>
      <c r="K71" s="17" t="b">
        <f t="shared" si="5"/>
        <v>0</v>
      </c>
      <c r="L71" s="16" t="str">
        <f>IFERROR(__xludf.DUMMYFUNCTION("if(regexmatch(B71,""e(.*)$""),regexextract(B71,""e(.*)$""),"""")"),"")</f>
        <v/>
      </c>
      <c r="M71" s="18"/>
      <c r="N71" s="18">
        <f>countif(ConstantsUnits!C:C,F71)</f>
        <v>1</v>
      </c>
      <c r="O71" s="16" t="str">
        <f>VLOOKUP($A71,ConstantsUnits!$A:$A,1,false)</f>
        <v>deuteron g factor</v>
      </c>
    </row>
    <row r="72">
      <c r="A72" s="1" t="s">
        <v>306</v>
      </c>
      <c r="B72" s="1" t="s">
        <v>1309</v>
      </c>
      <c r="C72" s="1" t="s">
        <v>1310</v>
      </c>
      <c r="D72" s="1" t="s">
        <v>165</v>
      </c>
      <c r="E72" s="15"/>
      <c r="F72" s="16" t="str">
        <f>VLOOKUP($A72,ConstantsUnits!$A:$C,3,false)</f>
        <v>DeuteronMagneticMoment</v>
      </c>
      <c r="G72" s="17" t="str">
        <f t="shared" si="1"/>
        <v>4.330735094e-27</v>
      </c>
      <c r="H72" s="17">
        <f t="shared" si="2"/>
        <v>0</v>
      </c>
      <c r="I72" s="17" t="str">
        <f t="shared" si="3"/>
        <v>0.000000011e-27</v>
      </c>
      <c r="J72" s="17">
        <f t="shared" si="4"/>
        <v>0</v>
      </c>
      <c r="K72" s="17" t="b">
        <f t="shared" si="5"/>
        <v>0</v>
      </c>
      <c r="L72" s="16" t="str">
        <f>IFERROR(__xludf.DUMMYFUNCTION("if(regexmatch(B72,""e(.*)$""),regexextract(B72,""e(.*)$""),"""")"),"-27")</f>
        <v>-27</v>
      </c>
      <c r="M72" s="18"/>
      <c r="N72" s="18">
        <f>countif(ConstantsUnits!C:C,F72)</f>
        <v>1</v>
      </c>
      <c r="O72" s="16" t="str">
        <f>VLOOKUP($A72,ConstantsUnits!$A:$A,1,false)</f>
        <v>deuteron mag. mom.</v>
      </c>
    </row>
    <row r="73">
      <c r="A73" s="1" t="s">
        <v>309</v>
      </c>
      <c r="B73" s="1" t="s">
        <v>1311</v>
      </c>
      <c r="C73" s="1" t="s">
        <v>1304</v>
      </c>
      <c r="E73" s="15"/>
      <c r="F73" s="16" t="str">
        <f>VLOOKUP($A73,ConstantsUnits!$A:$C,3,false)</f>
        <v>DeuteronMagneticMomentToBohrMagnetonRatio</v>
      </c>
      <c r="G73" s="17" t="str">
        <f t="shared" si="1"/>
        <v>4.669754570e-4</v>
      </c>
      <c r="H73" s="17">
        <f t="shared" si="2"/>
        <v>0.000466975457</v>
      </c>
      <c r="I73" s="17" t="str">
        <f t="shared" si="3"/>
        <v>0.000000012e-4</v>
      </c>
      <c r="J73" s="17">
        <f t="shared" si="4"/>
        <v>0</v>
      </c>
      <c r="K73" s="17" t="b">
        <f t="shared" si="5"/>
        <v>0</v>
      </c>
      <c r="L73" s="16" t="str">
        <f>IFERROR(__xludf.DUMMYFUNCTION("if(regexmatch(B73,""e(.*)$""),regexextract(B73,""e(.*)$""),"""")"),"-4")</f>
        <v>-4</v>
      </c>
      <c r="M73" s="18"/>
      <c r="N73" s="18">
        <f>countif(ConstantsUnits!C:C,F73)</f>
        <v>1</v>
      </c>
      <c r="O73" s="16" t="str">
        <f>VLOOKUP($A73,ConstantsUnits!$A:$A,1,false)</f>
        <v>deuteron mag. mom. to Bohr magneton ratio</v>
      </c>
    </row>
    <row r="74">
      <c r="A74" s="1" t="s">
        <v>312</v>
      </c>
      <c r="B74" s="1" t="s">
        <v>1307</v>
      </c>
      <c r="C74" s="1" t="s">
        <v>1308</v>
      </c>
      <c r="E74" s="15"/>
      <c r="F74" s="16" t="str">
        <f>VLOOKUP($A74,ConstantsUnits!$A:$C,3,false)</f>
        <v>DeuteronMagneticMomentToNuclearMagnetonRatio</v>
      </c>
      <c r="G74" s="17" t="str">
        <f t="shared" si="1"/>
        <v>0.8574382338</v>
      </c>
      <c r="H74" s="17">
        <f t="shared" si="2"/>
        <v>0.8574382338</v>
      </c>
      <c r="I74" s="17" t="str">
        <f t="shared" si="3"/>
        <v>0.0000000022</v>
      </c>
      <c r="J74" s="17">
        <f t="shared" si="4"/>
        <v>0.0000000022</v>
      </c>
      <c r="K74" s="17" t="b">
        <f t="shared" si="5"/>
        <v>0</v>
      </c>
      <c r="L74" s="16" t="str">
        <f>IFERROR(__xludf.DUMMYFUNCTION("if(regexmatch(B74,""e(.*)$""),regexextract(B74,""e(.*)$""),"""")"),"")</f>
        <v/>
      </c>
      <c r="M74" s="18"/>
      <c r="N74" s="18">
        <f>countif(ConstantsUnits!C:C,F74)</f>
        <v>1</v>
      </c>
      <c r="O74" s="16" t="str">
        <f>VLOOKUP($A74,ConstantsUnits!$A:$A,1,false)</f>
        <v>deuteron mag. mom. to nuclear magneton ratio</v>
      </c>
    </row>
    <row r="75">
      <c r="A75" s="1" t="s">
        <v>315</v>
      </c>
      <c r="B75" s="1" t="s">
        <v>1312</v>
      </c>
      <c r="C75" s="1" t="s">
        <v>1313</v>
      </c>
      <c r="D75" s="1" t="s">
        <v>38</v>
      </c>
      <c r="E75" s="15"/>
      <c r="F75" s="16" t="str">
        <f>VLOOKUP($A75,ConstantsUnits!$A:$C,3,false)</f>
        <v>DeuteronMass</v>
      </c>
      <c r="G75" s="17" t="str">
        <f t="shared" si="1"/>
        <v>3.3435837724e-27</v>
      </c>
      <c r="H75" s="17">
        <f t="shared" si="2"/>
        <v>0</v>
      </c>
      <c r="I75" s="17" t="str">
        <f t="shared" si="3"/>
        <v>0.0000000010e-27</v>
      </c>
      <c r="J75" s="17">
        <f t="shared" si="4"/>
        <v>0</v>
      </c>
      <c r="K75" s="17" t="b">
        <f t="shared" si="5"/>
        <v>0</v>
      </c>
      <c r="L75" s="16" t="str">
        <f>IFERROR(__xludf.DUMMYFUNCTION("if(regexmatch(B75,""e(.*)$""),regexextract(B75,""e(.*)$""),"""")"),"-27")</f>
        <v>-27</v>
      </c>
      <c r="M75" s="18"/>
      <c r="N75" s="18">
        <f>countif(ConstantsUnits!C:C,F75)</f>
        <v>1</v>
      </c>
      <c r="O75" s="16" t="str">
        <f>VLOOKUP($A75,ConstantsUnits!$A:$A,1,false)</f>
        <v>deuteron mass</v>
      </c>
    </row>
    <row r="76">
      <c r="A76" s="1" t="s">
        <v>318</v>
      </c>
      <c r="B76" s="1" t="s">
        <v>1314</v>
      </c>
      <c r="C76" s="1" t="s">
        <v>1315</v>
      </c>
      <c r="D76" s="1" t="s">
        <v>41</v>
      </c>
      <c r="E76" s="15"/>
      <c r="F76" s="16" t="str">
        <f>VLOOKUP($A76,ConstantsUnits!$A:$C,3,false)</f>
        <v>DeuteronMassEnergyEquivalent</v>
      </c>
      <c r="G76" s="17" t="str">
        <f t="shared" si="1"/>
        <v>3.00506323102e-10</v>
      </c>
      <c r="H76" s="17">
        <f t="shared" si="2"/>
        <v>0.0000000003005063231</v>
      </c>
      <c r="I76" s="17" t="str">
        <f t="shared" si="3"/>
        <v>0.00000000091e-10</v>
      </c>
      <c r="J76" s="17">
        <f t="shared" si="4"/>
        <v>0</v>
      </c>
      <c r="K76" s="17" t="b">
        <f t="shared" si="5"/>
        <v>0</v>
      </c>
      <c r="L76" s="16" t="str">
        <f>IFERROR(__xludf.DUMMYFUNCTION("if(regexmatch(B76,""e(.*)$""),regexextract(B76,""e(.*)$""),"""")"),"-10")</f>
        <v>-10</v>
      </c>
      <c r="M76" s="18"/>
      <c r="N76" s="18">
        <f>countif(ConstantsUnits!C:C,F76)</f>
        <v>1</v>
      </c>
      <c r="O76" s="16" t="str">
        <f>VLOOKUP($A76,ConstantsUnits!$A:$A,1,false)</f>
        <v>deuteron mass energy equivalent</v>
      </c>
    </row>
    <row r="77">
      <c r="A77" s="1" t="s">
        <v>321</v>
      </c>
      <c r="B77" s="1" t="s">
        <v>1316</v>
      </c>
      <c r="C77" s="1" t="s">
        <v>1317</v>
      </c>
      <c r="D77" s="1" t="s">
        <v>45</v>
      </c>
      <c r="E77" s="15"/>
      <c r="F77" s="16" t="str">
        <f>VLOOKUP($A77,ConstantsUnits!$A:$C,3,false)</f>
        <v>DeuteronMassEnergyEquivalentInMeV</v>
      </c>
      <c r="G77" s="17" t="str">
        <f t="shared" si="1"/>
        <v>1875.61294257</v>
      </c>
      <c r="H77" s="17">
        <f t="shared" si="2"/>
        <v>1875.612943</v>
      </c>
      <c r="I77" s="17" t="str">
        <f t="shared" si="3"/>
        <v>0.00000057</v>
      </c>
      <c r="J77" s="17">
        <f t="shared" si="4"/>
        <v>0.00000057</v>
      </c>
      <c r="K77" s="17" t="b">
        <f t="shared" si="5"/>
        <v>0</v>
      </c>
      <c r="L77" s="16" t="str">
        <f>IFERROR(__xludf.DUMMYFUNCTION("if(regexmatch(B77,""e(.*)$""),regexextract(B77,""e(.*)$""),"""")"),"")</f>
        <v/>
      </c>
      <c r="M77" s="18"/>
      <c r="N77" s="18">
        <f>countif(ConstantsUnits!C:C,F77)</f>
        <v>1</v>
      </c>
      <c r="O77" s="16" t="str">
        <f>VLOOKUP($A77,ConstantsUnits!$A:$A,1,false)</f>
        <v>deuteron mass energy equivalent in MeV</v>
      </c>
    </row>
    <row r="78">
      <c r="A78" s="1" t="s">
        <v>323</v>
      </c>
      <c r="B78" s="1" t="s">
        <v>1318</v>
      </c>
      <c r="C78" s="1" t="s">
        <v>1319</v>
      </c>
      <c r="D78" s="1" t="s">
        <v>48</v>
      </c>
      <c r="E78" s="15"/>
      <c r="F78" s="16" t="str">
        <f>VLOOKUP($A78,ConstantsUnits!$A:$C,3,false)</f>
        <v>DeuteronMassInAtomicMassUnit</v>
      </c>
      <c r="G78" s="17" t="str">
        <f t="shared" si="1"/>
        <v>2.013553212745</v>
      </c>
      <c r="H78" s="17">
        <f t="shared" si="2"/>
        <v>2.013553213</v>
      </c>
      <c r="I78" s="17" t="str">
        <f t="shared" si="3"/>
        <v>0.000000000040</v>
      </c>
      <c r="J78" s="17">
        <f t="shared" si="4"/>
        <v>0</v>
      </c>
      <c r="K78" s="17" t="b">
        <f t="shared" si="5"/>
        <v>0</v>
      </c>
      <c r="L78" s="16" t="str">
        <f>IFERROR(__xludf.DUMMYFUNCTION("if(regexmatch(B78,""e(.*)$""),regexextract(B78,""e(.*)$""),"""")"),"")</f>
        <v/>
      </c>
      <c r="M78" s="18"/>
      <c r="N78" s="18">
        <f>countif(ConstantsUnits!C:C,F78)</f>
        <v>1</v>
      </c>
      <c r="O78" s="16" t="str">
        <f>VLOOKUP($A78,ConstantsUnits!$A:$A,1,false)</f>
        <v>deuteron mass in u</v>
      </c>
    </row>
    <row r="79">
      <c r="A79" s="1" t="s">
        <v>326</v>
      </c>
      <c r="B79" s="1" t="s">
        <v>1320</v>
      </c>
      <c r="C79" s="1" t="s">
        <v>1321</v>
      </c>
      <c r="D79" s="1" t="s">
        <v>51</v>
      </c>
      <c r="E79" s="15"/>
      <c r="F79" s="16" t="str">
        <f>VLOOKUP($A79,ConstantsUnits!$A:$C,3,false)</f>
        <v>DeuteronMolarMass</v>
      </c>
      <c r="G79" s="17" t="str">
        <f t="shared" si="1"/>
        <v>2.01355321205e-3</v>
      </c>
      <c r="H79" s="17">
        <f t="shared" si="2"/>
        <v>0.002013553212</v>
      </c>
      <c r="I79" s="17" t="str">
        <f t="shared" si="3"/>
        <v>0.00000000061e-3</v>
      </c>
      <c r="J79" s="17">
        <f t="shared" si="4"/>
        <v>0</v>
      </c>
      <c r="K79" s="17" t="b">
        <f t="shared" si="5"/>
        <v>0</v>
      </c>
      <c r="L79" s="16" t="str">
        <f>IFERROR(__xludf.DUMMYFUNCTION("if(regexmatch(B79,""e(.*)$""),regexextract(B79,""e(.*)$""),"""")"),"-3")</f>
        <v>-3</v>
      </c>
      <c r="M79" s="18"/>
      <c r="N79" s="18">
        <f>countif(ConstantsUnits!C:C,F79)</f>
        <v>1</v>
      </c>
      <c r="O79" s="16" t="str">
        <f>VLOOKUP($A79,ConstantsUnits!$A:$A,1,false)</f>
        <v>deuteron molar mass</v>
      </c>
    </row>
    <row r="80">
      <c r="A80" s="1" t="s">
        <v>330</v>
      </c>
      <c r="B80" s="1" t="s">
        <v>1322</v>
      </c>
      <c r="C80" s="1" t="s">
        <v>1323</v>
      </c>
      <c r="E80" s="15"/>
      <c r="F80" s="16" t="str">
        <f>VLOOKUP($A80,ConstantsUnits!$A:$C,3,false)</f>
        <v>DeuteronNeutronMagneticMomentRatio</v>
      </c>
      <c r="G80" s="17" t="str">
        <f t="shared" si="1"/>
        <v>-0.44820653</v>
      </c>
      <c r="H80" s="17">
        <f t="shared" si="2"/>
        <v>-0.44820653</v>
      </c>
      <c r="I80" s="17" t="str">
        <f t="shared" si="3"/>
        <v>0.00000011</v>
      </c>
      <c r="J80" s="17">
        <f t="shared" si="4"/>
        <v>0.00000011</v>
      </c>
      <c r="K80" s="17" t="b">
        <f t="shared" si="5"/>
        <v>0</v>
      </c>
      <c r="L80" s="16" t="str">
        <f>IFERROR(__xludf.DUMMYFUNCTION("if(regexmatch(B80,""e(.*)$""),regexextract(B80,""e(.*)$""),"""")"),"")</f>
        <v/>
      </c>
      <c r="M80" s="18"/>
      <c r="N80" s="18">
        <f>countif(ConstantsUnits!C:C,F80)</f>
        <v>1</v>
      </c>
      <c r="O80" s="16" t="str">
        <f>VLOOKUP($A80,ConstantsUnits!$A:$A,1,false)</f>
        <v>deuteron-neutron mag. mom. ratio</v>
      </c>
    </row>
    <row r="81">
      <c r="A81" s="1" t="s">
        <v>333</v>
      </c>
      <c r="B81" s="1" t="s">
        <v>1324</v>
      </c>
      <c r="C81" s="1" t="s">
        <v>1325</v>
      </c>
      <c r="E81" s="15"/>
      <c r="F81" s="16" t="str">
        <f>VLOOKUP($A81,ConstantsUnits!$A:$C,3,false)</f>
        <v>DeuteronProtonMagneticMomentRatio</v>
      </c>
      <c r="G81" s="17" t="str">
        <f t="shared" si="1"/>
        <v>0.30701220939</v>
      </c>
      <c r="H81" s="17">
        <f t="shared" si="2"/>
        <v>0.3070122094</v>
      </c>
      <c r="I81" s="17" t="str">
        <f t="shared" si="3"/>
        <v>0.00000000079</v>
      </c>
      <c r="J81" s="17">
        <f t="shared" si="4"/>
        <v>0.00000000079</v>
      </c>
      <c r="K81" s="17" t="b">
        <f t="shared" si="5"/>
        <v>0</v>
      </c>
      <c r="L81" s="16" t="str">
        <f>IFERROR(__xludf.DUMMYFUNCTION("if(regexmatch(B81,""e(.*)$""),regexextract(B81,""e(.*)$""),"""")"),"")</f>
        <v/>
      </c>
      <c r="M81" s="18"/>
      <c r="N81" s="18">
        <f>countif(ConstantsUnits!C:C,F81)</f>
        <v>1</v>
      </c>
      <c r="O81" s="16" t="str">
        <f>VLOOKUP($A81,ConstantsUnits!$A:$A,1,false)</f>
        <v>deuteron-proton mag. mom. ratio</v>
      </c>
    </row>
    <row r="82">
      <c r="A82" s="1" t="s">
        <v>336</v>
      </c>
      <c r="B82" s="1" t="s">
        <v>1326</v>
      </c>
      <c r="C82" s="1" t="s">
        <v>1327</v>
      </c>
      <c r="E82" s="15"/>
      <c r="F82" s="16" t="str">
        <f>VLOOKUP($A82,ConstantsUnits!$A:$C,3,false)</f>
        <v>DeuteronProtonMassRatio</v>
      </c>
      <c r="G82" s="17" t="str">
        <f t="shared" si="1"/>
        <v>1.99900750139</v>
      </c>
      <c r="H82" s="17">
        <f t="shared" si="2"/>
        <v>1.999007501</v>
      </c>
      <c r="I82" s="17" t="str">
        <f t="shared" si="3"/>
        <v>0.00000000011</v>
      </c>
      <c r="J82" s="17">
        <f t="shared" si="4"/>
        <v>0.00000000011</v>
      </c>
      <c r="K82" s="17" t="b">
        <f t="shared" si="5"/>
        <v>0</v>
      </c>
      <c r="L82" s="16" t="str">
        <f>IFERROR(__xludf.DUMMYFUNCTION("if(regexmatch(B82,""e(.*)$""),regexextract(B82,""e(.*)$""),"""")"),"")</f>
        <v/>
      </c>
      <c r="M82" s="18"/>
      <c r="N82" s="18">
        <f>countif(ConstantsUnits!C:C,F82)</f>
        <v>1</v>
      </c>
      <c r="O82" s="16" t="str">
        <f>VLOOKUP($A82,ConstantsUnits!$A:$A,1,false)</f>
        <v>deuteron-proton mass ratio</v>
      </c>
    </row>
    <row r="83">
      <c r="A83" s="1" t="s">
        <v>339</v>
      </c>
      <c r="B83" s="1" t="s">
        <v>1318</v>
      </c>
      <c r="C83" s="1" t="s">
        <v>1319</v>
      </c>
      <c r="E83" s="15"/>
      <c r="F83" s="16" t="str">
        <f>VLOOKUP($A83,ConstantsUnits!$A:$C,3,false)</f>
        <v>DeuteronRelativeAtomicMass</v>
      </c>
      <c r="G83" s="17" t="str">
        <f t="shared" si="1"/>
        <v>2.013553212745</v>
      </c>
      <c r="H83" s="17">
        <f t="shared" si="2"/>
        <v>2.013553213</v>
      </c>
      <c r="I83" s="17" t="str">
        <f t="shared" si="3"/>
        <v>0.000000000040</v>
      </c>
      <c r="J83" s="17">
        <f t="shared" si="4"/>
        <v>0</v>
      </c>
      <c r="K83" s="17" t="b">
        <f t="shared" si="5"/>
        <v>0</v>
      </c>
      <c r="L83" s="16" t="str">
        <f>IFERROR(__xludf.DUMMYFUNCTION("if(regexmatch(B83,""e(.*)$""),regexextract(B83,""e(.*)$""),"""")"),"")</f>
        <v/>
      </c>
      <c r="M83" s="18"/>
      <c r="N83" s="18">
        <f>countif(ConstantsUnits!C:C,F83)</f>
        <v>1</v>
      </c>
      <c r="O83" s="16" t="str">
        <f>VLOOKUP($A83,ConstantsUnits!$A:$A,1,false)</f>
        <v>deuteron relative atomic mass</v>
      </c>
    </row>
    <row r="84">
      <c r="A84" s="1" t="s">
        <v>341</v>
      </c>
      <c r="B84" s="1" t="s">
        <v>1328</v>
      </c>
      <c r="C84" s="1" t="s">
        <v>1329</v>
      </c>
      <c r="D84" s="1" t="s">
        <v>59</v>
      </c>
      <c r="E84" s="15"/>
      <c r="F84" s="16" t="str">
        <f>VLOOKUP($A84,ConstantsUnits!$A:$C,3,false)</f>
        <v>DeuteronRmsChargeRadius</v>
      </c>
      <c r="G84" s="17" t="str">
        <f t="shared" si="1"/>
        <v>2.12799e-15</v>
      </c>
      <c r="H84" s="17">
        <f t="shared" si="2"/>
        <v>0</v>
      </c>
      <c r="I84" s="17" t="str">
        <f t="shared" si="3"/>
        <v>0.00074e-15</v>
      </c>
      <c r="J84" s="17">
        <f t="shared" si="4"/>
        <v>0</v>
      </c>
      <c r="K84" s="17" t="b">
        <f t="shared" si="5"/>
        <v>0</v>
      </c>
      <c r="L84" s="16" t="str">
        <f>IFERROR(__xludf.DUMMYFUNCTION("if(regexmatch(B84,""e(.*)$""),regexextract(B84,""e(.*)$""),"""")"),"-15")</f>
        <v>-15</v>
      </c>
      <c r="M84" s="18"/>
      <c r="N84" s="18">
        <f>countif(ConstantsUnits!C:C,F84)</f>
        <v>1</v>
      </c>
      <c r="O84" s="16" t="str">
        <f>VLOOKUP($A84,ConstantsUnits!$A:$A,1,false)</f>
        <v>deuteron rms charge radius</v>
      </c>
    </row>
    <row r="85">
      <c r="A85" s="1" t="s">
        <v>346</v>
      </c>
      <c r="B85" s="1" t="s">
        <v>1330</v>
      </c>
      <c r="C85" s="1" t="s">
        <v>1331</v>
      </c>
      <c r="D85" s="1" t="s">
        <v>347</v>
      </c>
      <c r="E85" s="15"/>
      <c r="F85" s="16" t="str">
        <f>VLOOKUP($A85,ConstantsUnits!$A:$C,3,false)</f>
        <v>ElectronChargeToMassQuotient</v>
      </c>
      <c r="G85" s="17" t="str">
        <f t="shared" si="1"/>
        <v>-1.75882001076e11</v>
      </c>
      <c r="H85" s="17">
        <f t="shared" si="2"/>
        <v>-175882001076</v>
      </c>
      <c r="I85" s="17" t="str">
        <f t="shared" si="3"/>
        <v>0.00000000053e11</v>
      </c>
      <c r="J85" s="17">
        <f t="shared" si="4"/>
        <v>53</v>
      </c>
      <c r="K85" s="17" t="b">
        <f t="shared" si="5"/>
        <v>0</v>
      </c>
      <c r="L85" s="16" t="str">
        <f>IFERROR(__xludf.DUMMYFUNCTION("if(regexmatch(B85,""e(.*)$""),regexextract(B85,""e(.*)$""),"""")"),"11")</f>
        <v>11</v>
      </c>
      <c r="M85" s="18"/>
      <c r="N85" s="18">
        <f>countif(ConstantsUnits!C:C,F85)</f>
        <v>1</v>
      </c>
      <c r="O85" s="16" t="str">
        <f>VLOOKUP($A85,ConstantsUnits!$A:$A,1,false)</f>
        <v>electron charge to mass quotient</v>
      </c>
    </row>
    <row r="86">
      <c r="A86" s="1" t="s">
        <v>351</v>
      </c>
      <c r="B86" s="1" t="s">
        <v>1332</v>
      </c>
      <c r="C86" s="1" t="s">
        <v>1333</v>
      </c>
      <c r="E86" s="15"/>
      <c r="F86" s="16" t="str">
        <f>VLOOKUP($A86,ConstantsUnits!$A:$C,3,false)</f>
        <v>ElectronDeuteronMagneticMomentRatio</v>
      </c>
      <c r="G86" s="17" t="str">
        <f t="shared" si="1"/>
        <v>-2143.9234915</v>
      </c>
      <c r="H86" s="17">
        <f t="shared" si="2"/>
        <v>-2143.923492</v>
      </c>
      <c r="I86" s="17" t="str">
        <f t="shared" si="3"/>
        <v>0.0000056</v>
      </c>
      <c r="J86" s="17">
        <f t="shared" si="4"/>
        <v>0.0000056</v>
      </c>
      <c r="K86" s="17" t="b">
        <f t="shared" si="5"/>
        <v>0</v>
      </c>
      <c r="L86" s="16" t="str">
        <f>IFERROR(__xludf.DUMMYFUNCTION("if(regexmatch(B86,""e(.*)$""),regexextract(B86,""e(.*)$""),"""")"),"")</f>
        <v/>
      </c>
      <c r="M86" s="18"/>
      <c r="N86" s="18">
        <f>countif(ConstantsUnits!C:C,F86)</f>
        <v>1</v>
      </c>
      <c r="O86" s="16" t="str">
        <f>VLOOKUP($A86,ConstantsUnits!$A:$A,1,false)</f>
        <v>electron-deuteron mag. mom. ratio</v>
      </c>
    </row>
    <row r="87">
      <c r="A87" s="1" t="s">
        <v>354</v>
      </c>
      <c r="B87" s="1" t="s">
        <v>1334</v>
      </c>
      <c r="C87" s="1" t="s">
        <v>1335</v>
      </c>
      <c r="E87" s="15"/>
      <c r="F87" s="16" t="str">
        <f>VLOOKUP($A87,ConstantsUnits!$A:$C,3,false)</f>
        <v>ElectronDeuteronMassRatio</v>
      </c>
      <c r="G87" s="17" t="str">
        <f t="shared" si="1"/>
        <v>2.724437107462e-4</v>
      </c>
      <c r="H87" s="17">
        <f t="shared" si="2"/>
        <v>0.0002724437107</v>
      </c>
      <c r="I87" s="17" t="str">
        <f t="shared" si="3"/>
        <v>0.000000000096e-4</v>
      </c>
      <c r="J87" s="17">
        <f t="shared" si="4"/>
        <v>0</v>
      </c>
      <c r="K87" s="17" t="b">
        <f t="shared" si="5"/>
        <v>0</v>
      </c>
      <c r="L87" s="16" t="str">
        <f>IFERROR(__xludf.DUMMYFUNCTION("if(regexmatch(B87,""e(.*)$""),regexextract(B87,""e(.*)$""),"""")"),"-4")</f>
        <v>-4</v>
      </c>
      <c r="M87" s="18"/>
      <c r="N87" s="18">
        <f>countif(ConstantsUnits!C:C,F87)</f>
        <v>1</v>
      </c>
      <c r="O87" s="16" t="str">
        <f>VLOOKUP($A87,ConstantsUnits!$A:$A,1,false)</f>
        <v>electron-deuteron mass ratio</v>
      </c>
    </row>
    <row r="88">
      <c r="A88" s="1" t="s">
        <v>357</v>
      </c>
      <c r="B88" s="1" t="s">
        <v>1336</v>
      </c>
      <c r="C88" s="1" t="s">
        <v>1337</v>
      </c>
      <c r="E88" s="15"/>
      <c r="F88" s="16" t="str">
        <f>VLOOKUP($A88,ConstantsUnits!$A:$C,3,false)</f>
        <v>ElectronGFactor</v>
      </c>
      <c r="G88" s="17" t="str">
        <f t="shared" si="1"/>
        <v>-2.00231930436256</v>
      </c>
      <c r="H88" s="17">
        <f t="shared" si="2"/>
        <v>-2.002319304</v>
      </c>
      <c r="I88" s="17" t="str">
        <f t="shared" si="3"/>
        <v>0.00000000000035</v>
      </c>
      <c r="J88" s="17">
        <f t="shared" si="4"/>
        <v>0</v>
      </c>
      <c r="K88" s="17" t="b">
        <f t="shared" si="5"/>
        <v>0</v>
      </c>
      <c r="L88" s="16" t="str">
        <f>IFERROR(__xludf.DUMMYFUNCTION("if(regexmatch(B88,""e(.*)$""),regexextract(B88,""e(.*)$""),"""")"),"")</f>
        <v/>
      </c>
      <c r="M88" s="18"/>
      <c r="N88" s="18">
        <f>countif(ConstantsUnits!C:C,F88)</f>
        <v>1</v>
      </c>
      <c r="O88" s="16" t="str">
        <f>VLOOKUP($A88,ConstantsUnits!$A:$A,1,false)</f>
        <v>electron g factor</v>
      </c>
    </row>
    <row r="89">
      <c r="A89" s="1" t="s">
        <v>360</v>
      </c>
      <c r="B89" s="1" t="s">
        <v>1338</v>
      </c>
      <c r="C89" s="1" t="s">
        <v>1331</v>
      </c>
      <c r="D89" s="1" t="s">
        <v>361</v>
      </c>
      <c r="E89" s="15"/>
      <c r="F89" s="16" t="str">
        <f>VLOOKUP($A89,ConstantsUnits!$A:$C,3,false)</f>
        <v>ElectronGyromagneticRatio</v>
      </c>
      <c r="G89" s="17" t="str">
        <f t="shared" si="1"/>
        <v>1.76085963023e11</v>
      </c>
      <c r="H89" s="17">
        <f t="shared" si="2"/>
        <v>176085963023</v>
      </c>
      <c r="I89" s="17" t="str">
        <f t="shared" si="3"/>
        <v>0.00000000053e11</v>
      </c>
      <c r="J89" s="17">
        <f t="shared" si="4"/>
        <v>53</v>
      </c>
      <c r="K89" s="17" t="b">
        <f t="shared" si="5"/>
        <v>0</v>
      </c>
      <c r="L89" s="16" t="str">
        <f>IFERROR(__xludf.DUMMYFUNCTION("if(regexmatch(B89,""e(.*)$""),regexextract(B89,""e(.*)$""),"""")"),"11")</f>
        <v>11</v>
      </c>
      <c r="M89" s="18"/>
      <c r="N89" s="18">
        <f>countif(ConstantsUnits!C:C,F89)</f>
        <v>1</v>
      </c>
      <c r="O89" s="16" t="str">
        <f>VLOOKUP($A89,ConstantsUnits!$A:$A,1,false)</f>
        <v>electron gyromag. ratio</v>
      </c>
    </row>
    <row r="90">
      <c r="A90" s="1" t="s">
        <v>366</v>
      </c>
      <c r="B90" s="1" t="s">
        <v>1339</v>
      </c>
      <c r="C90" s="1" t="s">
        <v>1340</v>
      </c>
      <c r="D90" s="1" t="s">
        <v>367</v>
      </c>
      <c r="E90" s="15"/>
      <c r="F90" s="16" t="str">
        <f>VLOOKUP($A90,ConstantsUnits!$A:$C,3,false)</f>
        <v>ElectronGyromagneticRatioInMHzPerT</v>
      </c>
      <c r="G90" s="17" t="str">
        <f t="shared" si="1"/>
        <v>28024.9514242</v>
      </c>
      <c r="H90" s="17">
        <f t="shared" si="2"/>
        <v>28024.95142</v>
      </c>
      <c r="I90" s="17" t="str">
        <f t="shared" si="3"/>
        <v>0.0000085</v>
      </c>
      <c r="J90" s="17">
        <f t="shared" si="4"/>
        <v>0.0000085</v>
      </c>
      <c r="K90" s="17" t="b">
        <f t="shared" si="5"/>
        <v>0</v>
      </c>
      <c r="L90" s="16" t="str">
        <f>IFERROR(__xludf.DUMMYFUNCTION("if(regexmatch(B90,""e(.*)$""),regexextract(B90,""e(.*)$""),"""")"),"")</f>
        <v/>
      </c>
      <c r="M90" s="18"/>
      <c r="N90" s="18">
        <f>countif(ConstantsUnits!C:C,F90)</f>
        <v>1</v>
      </c>
      <c r="O90" s="16" t="str">
        <f>VLOOKUP($A90,ConstantsUnits!$A:$A,1,false)</f>
        <v>electron gyromag. ratio in MHz/T</v>
      </c>
    </row>
    <row r="91">
      <c r="A91" s="1" t="s">
        <v>370</v>
      </c>
      <c r="B91" s="1" t="s">
        <v>1341</v>
      </c>
      <c r="C91" s="1" t="s">
        <v>1342</v>
      </c>
      <c r="E91" s="15"/>
      <c r="F91" s="16" t="str">
        <f>VLOOKUP($A91,ConstantsUnits!$A:$C,3,false)</f>
        <v>Electron-HelionMassRatio</v>
      </c>
      <c r="G91" s="17" t="str">
        <f t="shared" si="1"/>
        <v>1.819543074573e-4</v>
      </c>
      <c r="H91" s="17">
        <f t="shared" si="2"/>
        <v>0.0001819543075</v>
      </c>
      <c r="I91" s="17" t="str">
        <f t="shared" si="3"/>
        <v>0.000000000079e-4</v>
      </c>
      <c r="J91" s="17">
        <f t="shared" si="4"/>
        <v>0</v>
      </c>
      <c r="K91" s="17" t="b">
        <f t="shared" si="5"/>
        <v>0</v>
      </c>
      <c r="L91" s="16" t="str">
        <f>IFERROR(__xludf.DUMMYFUNCTION("if(regexmatch(B91,""e(.*)$""),regexextract(B91,""e(.*)$""),"""")"),"-4")</f>
        <v>-4</v>
      </c>
      <c r="M91" s="18"/>
      <c r="N91" s="18">
        <f>countif(ConstantsUnits!C:C,F91)</f>
        <v>1</v>
      </c>
      <c r="O91" s="16" t="str">
        <f>VLOOKUP($A91,ConstantsUnits!$A:$A,1,false)</f>
        <v>electron-helion mass ratio</v>
      </c>
    </row>
    <row r="92">
      <c r="A92" s="1" t="s">
        <v>372</v>
      </c>
      <c r="B92" s="1" t="s">
        <v>1343</v>
      </c>
      <c r="C92" s="1" t="s">
        <v>1274</v>
      </c>
      <c r="D92" s="1" t="s">
        <v>165</v>
      </c>
      <c r="E92" s="15"/>
      <c r="F92" s="16" t="str">
        <f>VLOOKUP($A92,ConstantsUnits!$A:$C,3,false)</f>
        <v>ElectronMagneticMoment</v>
      </c>
      <c r="G92" s="17" t="str">
        <f t="shared" si="1"/>
        <v>-9.2847647043e-24</v>
      </c>
      <c r="H92" s="17">
        <f t="shared" si="2"/>
        <v>0</v>
      </c>
      <c r="I92" s="17" t="str">
        <f t="shared" si="3"/>
        <v>0.0000000028e-24</v>
      </c>
      <c r="J92" s="17">
        <f t="shared" si="4"/>
        <v>0</v>
      </c>
      <c r="K92" s="17" t="b">
        <f t="shared" si="5"/>
        <v>0</v>
      </c>
      <c r="L92" s="16" t="str">
        <f>IFERROR(__xludf.DUMMYFUNCTION("if(regexmatch(B92,""e(.*)$""),regexextract(B92,""e(.*)$""),"""")"),"-24")</f>
        <v>-24</v>
      </c>
      <c r="M92" s="18"/>
      <c r="N92" s="18">
        <f>countif(ConstantsUnits!C:C,F92)</f>
        <v>1</v>
      </c>
      <c r="O92" s="16" t="str">
        <f>VLOOKUP($A92,ConstantsUnits!$A:$A,1,false)</f>
        <v>electron mag. mom.</v>
      </c>
    </row>
    <row r="93">
      <c r="A93" s="1" t="s">
        <v>375</v>
      </c>
      <c r="B93" s="1" t="s">
        <v>1344</v>
      </c>
      <c r="C93" s="1" t="s">
        <v>1345</v>
      </c>
      <c r="E93" s="15"/>
      <c r="F93" s="16" t="str">
        <f>VLOOKUP($A93,ConstantsUnits!$A:$C,3,false)</f>
        <v>ElectronMagneticMomentAnomaly</v>
      </c>
      <c r="G93" s="17" t="str">
        <f t="shared" si="1"/>
        <v>1.15965218128e-3</v>
      </c>
      <c r="H93" s="17">
        <f t="shared" si="2"/>
        <v>0.001159652181</v>
      </c>
      <c r="I93" s="17" t="str">
        <f t="shared" si="3"/>
        <v>0.00000000018e-3</v>
      </c>
      <c r="J93" s="17">
        <f t="shared" si="4"/>
        <v>0</v>
      </c>
      <c r="K93" s="17" t="b">
        <f t="shared" si="5"/>
        <v>0</v>
      </c>
      <c r="L93" s="16" t="str">
        <f>IFERROR(__xludf.DUMMYFUNCTION("if(regexmatch(B93,""e(.*)$""),regexextract(B93,""e(.*)$""),"""")"),"-3")</f>
        <v>-3</v>
      </c>
      <c r="M93" s="18"/>
      <c r="N93" s="18">
        <f>countif(ConstantsUnits!C:C,F93)</f>
        <v>1</v>
      </c>
      <c r="O93" s="16" t="str">
        <f>VLOOKUP($A93,ConstantsUnits!$A:$A,1,false)</f>
        <v>electron mag. mom. anomaly</v>
      </c>
    </row>
    <row r="94">
      <c r="A94" s="1" t="s">
        <v>378</v>
      </c>
      <c r="B94" s="1" t="s">
        <v>1346</v>
      </c>
      <c r="C94" s="1" t="s">
        <v>1347</v>
      </c>
      <c r="E94" s="15"/>
      <c r="F94" s="16" t="str">
        <f>VLOOKUP($A94,ConstantsUnits!$A:$C,3,false)</f>
        <v>ElectronMagneticMomentToBohrMagnetonRatio</v>
      </c>
      <c r="G94" s="17" t="str">
        <f t="shared" si="1"/>
        <v>-1.00115965218128</v>
      </c>
      <c r="H94" s="17">
        <f t="shared" si="2"/>
        <v>-1.001159652</v>
      </c>
      <c r="I94" s="17" t="str">
        <f t="shared" si="3"/>
        <v>0.00000000000018</v>
      </c>
      <c r="J94" s="17">
        <f t="shared" si="4"/>
        <v>0</v>
      </c>
      <c r="K94" s="17" t="b">
        <f t="shared" si="5"/>
        <v>0</v>
      </c>
      <c r="L94" s="16" t="str">
        <f>IFERROR(__xludf.DUMMYFUNCTION("if(regexmatch(B94,""e(.*)$""),regexextract(B94,""e(.*)$""),"""")"),"")</f>
        <v/>
      </c>
      <c r="M94" s="18"/>
      <c r="N94" s="18">
        <f>countif(ConstantsUnits!C:C,F94)</f>
        <v>1</v>
      </c>
      <c r="O94" s="16" t="str">
        <f>VLOOKUP($A94,ConstantsUnits!$A:$A,1,false)</f>
        <v>electron mag. mom. to Bohr magneton ratio</v>
      </c>
    </row>
    <row r="95">
      <c r="A95" s="1" t="s">
        <v>381</v>
      </c>
      <c r="B95" s="1" t="s">
        <v>1348</v>
      </c>
      <c r="C95" s="1" t="s">
        <v>1323</v>
      </c>
      <c r="E95" s="15"/>
      <c r="F95" s="16" t="str">
        <f>VLOOKUP($A95,ConstantsUnits!$A:$C,3,false)</f>
        <v>ElectronMagneticMomentToNuclearMagnetonRatio</v>
      </c>
      <c r="G95" s="17" t="str">
        <f t="shared" si="1"/>
        <v>-1838.28197188</v>
      </c>
      <c r="H95" s="17">
        <f t="shared" si="2"/>
        <v>-1838.281972</v>
      </c>
      <c r="I95" s="17" t="str">
        <f t="shared" si="3"/>
        <v>0.00000011</v>
      </c>
      <c r="J95" s="17">
        <f t="shared" si="4"/>
        <v>0.00000011</v>
      </c>
      <c r="K95" s="17" t="b">
        <f t="shared" si="5"/>
        <v>0</v>
      </c>
      <c r="L95" s="16" t="str">
        <f>IFERROR(__xludf.DUMMYFUNCTION("if(regexmatch(B95,""e(.*)$""),regexextract(B95,""e(.*)$""),"""")"),"")</f>
        <v/>
      </c>
      <c r="M95" s="18"/>
      <c r="N95" s="18">
        <f>countif(ConstantsUnits!C:C,F95)</f>
        <v>1</v>
      </c>
      <c r="O95" s="16" t="str">
        <f>VLOOKUP($A95,ConstantsUnits!$A:$A,1,false)</f>
        <v>electron mag. mom. to nuclear magneton ratio</v>
      </c>
    </row>
    <row r="96">
      <c r="A96" s="1" t="s">
        <v>384</v>
      </c>
      <c r="B96" s="1" t="s">
        <v>1262</v>
      </c>
      <c r="C96" s="1" t="s">
        <v>1263</v>
      </c>
      <c r="D96" s="1" t="s">
        <v>38</v>
      </c>
      <c r="E96" s="15"/>
      <c r="F96" s="16" t="str">
        <f>VLOOKUP($A96,ConstantsUnits!$A:$C,3,false)</f>
        <v>ElectronMass</v>
      </c>
      <c r="G96" s="17" t="str">
        <f t="shared" si="1"/>
        <v>9.1093837015e-31</v>
      </c>
      <c r="H96" s="17">
        <f t="shared" si="2"/>
        <v>0</v>
      </c>
      <c r="I96" s="17" t="str">
        <f t="shared" si="3"/>
        <v>0.0000000028e-31</v>
      </c>
      <c r="J96" s="17">
        <f t="shared" si="4"/>
        <v>0</v>
      </c>
      <c r="K96" s="17" t="b">
        <f t="shared" si="5"/>
        <v>0</v>
      </c>
      <c r="L96" s="16" t="str">
        <f>IFERROR(__xludf.DUMMYFUNCTION("if(regexmatch(B96,""e(.*)$""),regexextract(B96,""e(.*)$""),"""")"),"-31")</f>
        <v>-31</v>
      </c>
      <c r="M96" s="18"/>
      <c r="N96" s="18">
        <f>countif(ConstantsUnits!C:C,F96)</f>
        <v>1</v>
      </c>
      <c r="O96" s="16" t="str">
        <f>VLOOKUP($A96,ConstantsUnits!$A:$A,1,false)</f>
        <v>electron mass</v>
      </c>
    </row>
    <row r="97">
      <c r="A97" s="1" t="s">
        <v>387</v>
      </c>
      <c r="B97" s="1" t="s">
        <v>1349</v>
      </c>
      <c r="C97" s="1" t="s">
        <v>1350</v>
      </c>
      <c r="D97" s="1" t="s">
        <v>41</v>
      </c>
      <c r="E97" s="15"/>
      <c r="F97" s="16" t="str">
        <f>VLOOKUP($A97,ConstantsUnits!$A:$C,3,false)</f>
        <v>ElectronMassEnergyEquivalent</v>
      </c>
      <c r="G97" s="17" t="str">
        <f t="shared" si="1"/>
        <v>8.1871057769e-14</v>
      </c>
      <c r="H97" s="17">
        <f t="shared" si="2"/>
        <v>0</v>
      </c>
      <c r="I97" s="17" t="str">
        <f t="shared" si="3"/>
        <v>0.0000000025e-14</v>
      </c>
      <c r="J97" s="17">
        <f t="shared" si="4"/>
        <v>0</v>
      </c>
      <c r="K97" s="17" t="b">
        <f t="shared" si="5"/>
        <v>0</v>
      </c>
      <c r="L97" s="16" t="str">
        <f>IFERROR(__xludf.DUMMYFUNCTION("if(regexmatch(B97,""e(.*)$""),regexextract(B97,""e(.*)$""),"""")"),"-14")</f>
        <v>-14</v>
      </c>
      <c r="M97" s="18"/>
      <c r="N97" s="18">
        <f>countif(ConstantsUnits!C:C,F97)</f>
        <v>1</v>
      </c>
      <c r="O97" s="16" t="str">
        <f>VLOOKUP($A97,ConstantsUnits!$A:$A,1,false)</f>
        <v>electron mass energy equivalent</v>
      </c>
    </row>
    <row r="98">
      <c r="A98" s="1" t="s">
        <v>390</v>
      </c>
      <c r="B98" s="1" t="s">
        <v>1351</v>
      </c>
      <c r="C98" s="1" t="s">
        <v>1352</v>
      </c>
      <c r="D98" s="1" t="s">
        <v>45</v>
      </c>
      <c r="E98" s="15"/>
      <c r="F98" s="16" t="str">
        <f>VLOOKUP($A98,ConstantsUnits!$A:$C,3,false)</f>
        <v>ElectronMassEnergyEquivalentInMeV</v>
      </c>
      <c r="G98" s="17" t="str">
        <f t="shared" si="1"/>
        <v>0.51099895000</v>
      </c>
      <c r="H98" s="17">
        <f t="shared" si="2"/>
        <v>0.51099895</v>
      </c>
      <c r="I98" s="17" t="str">
        <f t="shared" si="3"/>
        <v>0.00000000015</v>
      </c>
      <c r="J98" s="17">
        <f t="shared" si="4"/>
        <v>0.00000000015</v>
      </c>
      <c r="K98" s="17" t="b">
        <f t="shared" si="5"/>
        <v>0</v>
      </c>
      <c r="L98" s="16" t="str">
        <f>IFERROR(__xludf.DUMMYFUNCTION("if(regexmatch(B98,""e(.*)$""),regexextract(B98,""e(.*)$""),"""")"),"")</f>
        <v/>
      </c>
      <c r="M98" s="18"/>
      <c r="N98" s="18">
        <f>countif(ConstantsUnits!C:C,F98)</f>
        <v>1</v>
      </c>
      <c r="O98" s="16" t="str">
        <f>VLOOKUP($A98,ConstantsUnits!$A:$A,1,false)</f>
        <v>electron mass energy equivalent in MeV</v>
      </c>
    </row>
    <row r="99">
      <c r="A99" s="1" t="s">
        <v>393</v>
      </c>
      <c r="B99" s="1" t="s">
        <v>1353</v>
      </c>
      <c r="C99" s="1" t="s">
        <v>1354</v>
      </c>
      <c r="D99" s="1" t="s">
        <v>48</v>
      </c>
      <c r="E99" s="15"/>
      <c r="F99" s="16" t="str">
        <f>VLOOKUP($A99,ConstantsUnits!$A:$C,3,false)</f>
        <v>ElectronMassInAtomicMassUnit</v>
      </c>
      <c r="G99" s="17" t="str">
        <f t="shared" si="1"/>
        <v>5.48579909065e-4</v>
      </c>
      <c r="H99" s="17">
        <f t="shared" si="2"/>
        <v>0.0005485799091</v>
      </c>
      <c r="I99" s="17" t="str">
        <f t="shared" si="3"/>
        <v>0.00000000016e-4</v>
      </c>
      <c r="J99" s="17">
        <f t="shared" si="4"/>
        <v>0</v>
      </c>
      <c r="K99" s="17" t="b">
        <f t="shared" si="5"/>
        <v>0</v>
      </c>
      <c r="L99" s="16" t="str">
        <f>IFERROR(__xludf.DUMMYFUNCTION("if(regexmatch(B99,""e(.*)$""),regexextract(B99,""e(.*)$""),"""")"),"-4")</f>
        <v>-4</v>
      </c>
      <c r="M99" s="18"/>
      <c r="N99" s="18">
        <f>countif(ConstantsUnits!C:C,F99)</f>
        <v>1</v>
      </c>
      <c r="O99" s="16" t="str">
        <f>VLOOKUP($A99,ConstantsUnits!$A:$A,1,false)</f>
        <v>electron mass in u</v>
      </c>
    </row>
    <row r="100">
      <c r="A100" s="1" t="s">
        <v>396</v>
      </c>
      <c r="B100" s="1" t="s">
        <v>1355</v>
      </c>
      <c r="C100" s="1" t="s">
        <v>1356</v>
      </c>
      <c r="D100" s="1" t="s">
        <v>51</v>
      </c>
      <c r="E100" s="15"/>
      <c r="F100" s="16" t="str">
        <f>VLOOKUP($A100,ConstantsUnits!$A:$C,3,false)</f>
        <v>ElectronMolarMass</v>
      </c>
      <c r="G100" s="17" t="str">
        <f t="shared" si="1"/>
        <v>5.4857990888e-7</v>
      </c>
      <c r="H100" s="17">
        <f t="shared" si="2"/>
        <v>0.0000005485799089</v>
      </c>
      <c r="I100" s="17" t="str">
        <f t="shared" si="3"/>
        <v>0.0000000017e-7</v>
      </c>
      <c r="J100" s="17">
        <f t="shared" si="4"/>
        <v>0</v>
      </c>
      <c r="K100" s="17" t="b">
        <f t="shared" si="5"/>
        <v>0</v>
      </c>
      <c r="L100" s="16" t="str">
        <f>IFERROR(__xludf.DUMMYFUNCTION("if(regexmatch(B100,""e(.*)$""),regexextract(B100,""e(.*)$""),"""")"),"-7")</f>
        <v>-7</v>
      </c>
      <c r="M100" s="18"/>
      <c r="N100" s="18">
        <f>countif(ConstantsUnits!C:C,F100)</f>
        <v>1</v>
      </c>
      <c r="O100" s="16" t="str">
        <f>VLOOKUP($A100,ConstantsUnits!$A:$A,1,false)</f>
        <v>electron molar mass</v>
      </c>
    </row>
    <row r="101">
      <c r="A101" s="1" t="s">
        <v>399</v>
      </c>
      <c r="B101" s="1" t="s">
        <v>1357</v>
      </c>
      <c r="C101" s="1" t="s">
        <v>1358</v>
      </c>
      <c r="E101" s="15"/>
      <c r="F101" s="16" t="str">
        <f>VLOOKUP($A101,ConstantsUnits!$A:$C,3,false)</f>
        <v>ElectronMuonMagneticMomentRatio</v>
      </c>
      <c r="G101" s="17" t="str">
        <f t="shared" si="1"/>
        <v>206.7669883</v>
      </c>
      <c r="H101" s="17">
        <f t="shared" si="2"/>
        <v>206.7669883</v>
      </c>
      <c r="I101" s="17" t="str">
        <f t="shared" si="3"/>
        <v>0.0000046</v>
      </c>
      <c r="J101" s="17">
        <f t="shared" si="4"/>
        <v>0.0000046</v>
      </c>
      <c r="K101" s="17" t="b">
        <f t="shared" si="5"/>
        <v>0</v>
      </c>
      <c r="L101" s="16" t="str">
        <f>IFERROR(__xludf.DUMMYFUNCTION("if(regexmatch(B101,""e(.*)$""),regexextract(B101,""e(.*)$""),"""")"),"")</f>
        <v/>
      </c>
      <c r="M101" s="18"/>
      <c r="N101" s="18">
        <f>countif(ConstantsUnits!C:C,F101)</f>
        <v>1</v>
      </c>
      <c r="O101" s="16" t="str">
        <f>VLOOKUP($A101,ConstantsUnits!$A:$A,1,false)</f>
        <v>electron-muon mag. mom. ratio</v>
      </c>
    </row>
    <row r="102">
      <c r="A102" s="1" t="s">
        <v>402</v>
      </c>
      <c r="B102" s="1" t="s">
        <v>1359</v>
      </c>
      <c r="C102" s="1" t="s">
        <v>1360</v>
      </c>
      <c r="E102" s="15"/>
      <c r="F102" s="16" t="str">
        <f>VLOOKUP($A102,ConstantsUnits!$A:$C,3,false)</f>
        <v>ElectronMuonMassRatio</v>
      </c>
      <c r="G102" s="17" t="str">
        <f t="shared" si="1"/>
        <v>4.83633169e-3</v>
      </c>
      <c r="H102" s="17">
        <f t="shared" si="2"/>
        <v>0.00483633169</v>
      </c>
      <c r="I102" s="17" t="str">
        <f t="shared" si="3"/>
        <v>0.00000011e-3</v>
      </c>
      <c r="J102" s="17">
        <f t="shared" si="4"/>
        <v>0.00000000011</v>
      </c>
      <c r="K102" s="17" t="b">
        <f t="shared" si="5"/>
        <v>0</v>
      </c>
      <c r="L102" s="16" t="str">
        <f>IFERROR(__xludf.DUMMYFUNCTION("if(regexmatch(B102,""e(.*)$""),regexextract(B102,""e(.*)$""),"""")"),"-3")</f>
        <v>-3</v>
      </c>
      <c r="M102" s="18"/>
      <c r="N102" s="18">
        <f>countif(ConstantsUnits!C:C,F102)</f>
        <v>1</v>
      </c>
      <c r="O102" s="16" t="str">
        <f>VLOOKUP($A102,ConstantsUnits!$A:$A,1,false)</f>
        <v>electron-muon mass ratio</v>
      </c>
    </row>
    <row r="103">
      <c r="A103" s="1" t="s">
        <v>405</v>
      </c>
      <c r="B103" s="1" t="s">
        <v>1361</v>
      </c>
      <c r="C103" s="1" t="s">
        <v>1362</v>
      </c>
      <c r="E103" s="15"/>
      <c r="F103" s="16" t="str">
        <f>VLOOKUP($A103,ConstantsUnits!$A:$C,3,false)</f>
        <v>ElectronNeutronMagneticMomentRatio</v>
      </c>
      <c r="G103" s="17" t="str">
        <f t="shared" si="1"/>
        <v>960.92050</v>
      </c>
      <c r="H103" s="17">
        <f t="shared" si="2"/>
        <v>960.9205</v>
      </c>
      <c r="I103" s="17" t="str">
        <f t="shared" si="3"/>
        <v>0.00023</v>
      </c>
      <c r="J103" s="17">
        <f t="shared" si="4"/>
        <v>0.00023</v>
      </c>
      <c r="K103" s="17" t="b">
        <f t="shared" si="5"/>
        <v>0</v>
      </c>
      <c r="L103" s="16" t="str">
        <f>IFERROR(__xludf.DUMMYFUNCTION("if(regexmatch(B103,""e(.*)$""),regexextract(B103,""e(.*)$""),"""")"),"")</f>
        <v/>
      </c>
      <c r="M103" s="18"/>
      <c r="N103" s="18">
        <f>countif(ConstantsUnits!C:C,F103)</f>
        <v>1</v>
      </c>
      <c r="O103" s="16" t="str">
        <f>VLOOKUP($A103,ConstantsUnits!$A:$A,1,false)</f>
        <v>electron-neutron mag. mom. ratio</v>
      </c>
    </row>
    <row r="104">
      <c r="A104" s="1" t="s">
        <v>408</v>
      </c>
      <c r="B104" s="1" t="s">
        <v>1363</v>
      </c>
      <c r="C104" s="1" t="s">
        <v>1364</v>
      </c>
      <c r="E104" s="15"/>
      <c r="F104" s="16" t="str">
        <f>VLOOKUP($A104,ConstantsUnits!$A:$C,3,false)</f>
        <v>ElectronNeutronMassRatio</v>
      </c>
      <c r="G104" s="17" t="str">
        <f t="shared" si="1"/>
        <v>5.4386734424e-4</v>
      </c>
      <c r="H104" s="17">
        <f t="shared" si="2"/>
        <v>0.0005438673442</v>
      </c>
      <c r="I104" s="17" t="str">
        <f t="shared" si="3"/>
        <v>0.0000000026e-4</v>
      </c>
      <c r="J104" s="17">
        <f t="shared" si="4"/>
        <v>0</v>
      </c>
      <c r="K104" s="17" t="b">
        <f t="shared" si="5"/>
        <v>0</v>
      </c>
      <c r="L104" s="16" t="str">
        <f>IFERROR(__xludf.DUMMYFUNCTION("if(regexmatch(B104,""e(.*)$""),regexextract(B104,""e(.*)$""),"""")"),"-4")</f>
        <v>-4</v>
      </c>
      <c r="M104" s="18"/>
      <c r="N104" s="18">
        <f>countif(ConstantsUnits!C:C,F104)</f>
        <v>1</v>
      </c>
      <c r="O104" s="16" t="str">
        <f>VLOOKUP($A104,ConstantsUnits!$A:$A,1,false)</f>
        <v>electron-neutron mass ratio</v>
      </c>
    </row>
    <row r="105">
      <c r="A105" s="1" t="s">
        <v>411</v>
      </c>
      <c r="B105" s="1" t="s">
        <v>1365</v>
      </c>
      <c r="C105" s="1" t="s">
        <v>1366</v>
      </c>
      <c r="E105" s="15"/>
      <c r="F105" s="16" t="str">
        <f>VLOOKUP($A105,ConstantsUnits!$A:$C,3,false)</f>
        <v>ElectronProtonMagneticMomentRatio</v>
      </c>
      <c r="G105" s="17" t="str">
        <f t="shared" si="1"/>
        <v>-658.21068789</v>
      </c>
      <c r="H105" s="17">
        <f t="shared" si="2"/>
        <v>-658.2106879</v>
      </c>
      <c r="I105" s="17" t="str">
        <f t="shared" si="3"/>
        <v>0.00000020</v>
      </c>
      <c r="J105" s="17">
        <f t="shared" si="4"/>
        <v>0.0000002</v>
      </c>
      <c r="K105" s="17" t="b">
        <f t="shared" si="5"/>
        <v>0</v>
      </c>
      <c r="L105" s="16" t="str">
        <f>IFERROR(__xludf.DUMMYFUNCTION("if(regexmatch(B105,""e(.*)$""),regexextract(B105,""e(.*)$""),"""")"),"")</f>
        <v/>
      </c>
      <c r="M105" s="18"/>
      <c r="N105" s="18">
        <f>countif(ConstantsUnits!C:C,F105)</f>
        <v>1</v>
      </c>
      <c r="O105" s="16" t="str">
        <f>VLOOKUP($A105,ConstantsUnits!$A:$A,1,false)</f>
        <v>electron-proton mag. mom. ratio</v>
      </c>
    </row>
    <row r="106">
      <c r="A106" s="1" t="s">
        <v>414</v>
      </c>
      <c r="B106" s="1" t="s">
        <v>1367</v>
      </c>
      <c r="C106" s="1" t="s">
        <v>1368</v>
      </c>
      <c r="E106" s="15"/>
      <c r="F106" s="16" t="str">
        <f>VLOOKUP($A106,ConstantsUnits!$A:$C,3,false)</f>
        <v>ElectronProtonMassRatio</v>
      </c>
      <c r="G106" s="17" t="str">
        <f t="shared" si="1"/>
        <v>5.44617021487e-4</v>
      </c>
      <c r="H106" s="17">
        <f t="shared" si="2"/>
        <v>0.0005446170215</v>
      </c>
      <c r="I106" s="17" t="str">
        <f t="shared" si="3"/>
        <v>0.00000000033e-4</v>
      </c>
      <c r="J106" s="17">
        <f t="shared" si="4"/>
        <v>0</v>
      </c>
      <c r="K106" s="17" t="b">
        <f t="shared" si="5"/>
        <v>0</v>
      </c>
      <c r="L106" s="16" t="str">
        <f>IFERROR(__xludf.DUMMYFUNCTION("if(regexmatch(B106,""e(.*)$""),regexextract(B106,""e(.*)$""),"""")"),"-4")</f>
        <v>-4</v>
      </c>
      <c r="M106" s="18"/>
      <c r="N106" s="18">
        <f>countif(ConstantsUnits!C:C,F106)</f>
        <v>1</v>
      </c>
      <c r="O106" s="16" t="str">
        <f>VLOOKUP($A106,ConstantsUnits!$A:$A,1,false)</f>
        <v>electron-proton mass ratio</v>
      </c>
    </row>
    <row r="107">
      <c r="A107" s="1" t="s">
        <v>417</v>
      </c>
      <c r="B107" s="1" t="s">
        <v>1353</v>
      </c>
      <c r="C107" s="1" t="s">
        <v>1354</v>
      </c>
      <c r="E107" s="15"/>
      <c r="F107" s="16" t="str">
        <f>VLOOKUP($A107,ConstantsUnits!$A:$C,3,false)</f>
        <v>ElectronRelativeAtomicMass</v>
      </c>
      <c r="G107" s="17" t="str">
        <f t="shared" si="1"/>
        <v>5.48579909065e-4</v>
      </c>
      <c r="H107" s="17">
        <f t="shared" si="2"/>
        <v>0.0005485799091</v>
      </c>
      <c r="I107" s="17" t="str">
        <f t="shared" si="3"/>
        <v>0.00000000016e-4</v>
      </c>
      <c r="J107" s="17">
        <f t="shared" si="4"/>
        <v>0</v>
      </c>
      <c r="K107" s="17" t="b">
        <f t="shared" si="5"/>
        <v>0</v>
      </c>
      <c r="L107" s="16" t="str">
        <f>IFERROR(__xludf.DUMMYFUNCTION("if(regexmatch(B107,""e(.*)$""),regexextract(B107,""e(.*)$""),"""")"),"-4")</f>
        <v>-4</v>
      </c>
      <c r="M107" s="18"/>
      <c r="N107" s="18">
        <f>countif(ConstantsUnits!C:C,F107)</f>
        <v>1</v>
      </c>
      <c r="O107" s="16" t="str">
        <f>VLOOKUP($A107,ConstantsUnits!$A:$A,1,false)</f>
        <v>electron relative atomic mass</v>
      </c>
    </row>
    <row r="108">
      <c r="A108" s="1" t="s">
        <v>419</v>
      </c>
      <c r="B108" s="1" t="s">
        <v>1369</v>
      </c>
      <c r="C108" s="1" t="s">
        <v>1370</v>
      </c>
      <c r="E108" s="15"/>
      <c r="F108" s="16" t="str">
        <f>VLOOKUP($A108,ConstantsUnits!$A:$C,3,false)</f>
        <v>ElectronTauMassRatio</v>
      </c>
      <c r="G108" s="17" t="str">
        <f t="shared" si="1"/>
        <v>2.87585e-4</v>
      </c>
      <c r="H108" s="17">
        <f t="shared" si="2"/>
        <v>0.000287585</v>
      </c>
      <c r="I108" s="17" t="str">
        <f t="shared" si="3"/>
        <v>0.00019e-4</v>
      </c>
      <c r="J108" s="17">
        <f t="shared" si="4"/>
        <v>0.000000019</v>
      </c>
      <c r="K108" s="17" t="b">
        <f t="shared" si="5"/>
        <v>0</v>
      </c>
      <c r="L108" s="16" t="str">
        <f>IFERROR(__xludf.DUMMYFUNCTION("if(regexmatch(B108,""e(.*)$""),regexextract(B108,""e(.*)$""),"""")"),"-4")</f>
        <v>-4</v>
      </c>
      <c r="M108" s="18"/>
      <c r="N108" s="18">
        <f>countif(ConstantsUnits!C:C,F108)</f>
        <v>1</v>
      </c>
      <c r="O108" s="16" t="str">
        <f>VLOOKUP($A108,ConstantsUnits!$A:$A,1,false)</f>
        <v>electron-tau mass ratio</v>
      </c>
    </row>
    <row r="109">
      <c r="A109" s="1" t="s">
        <v>422</v>
      </c>
      <c r="B109" s="1" t="s">
        <v>1371</v>
      </c>
      <c r="C109" s="1" t="s">
        <v>1372</v>
      </c>
      <c r="E109" s="15"/>
      <c r="F109" s="16" t="str">
        <f>VLOOKUP($A109,ConstantsUnits!$A:$C,3,false)</f>
        <v>ElectronToAlphaParticleMassRatio</v>
      </c>
      <c r="G109" s="17" t="str">
        <f t="shared" si="1"/>
        <v>1.370933554787e-4</v>
      </c>
      <c r="H109" s="17">
        <f t="shared" si="2"/>
        <v>0.0001370933555</v>
      </c>
      <c r="I109" s="17" t="str">
        <f t="shared" si="3"/>
        <v>0.000000000045e-4</v>
      </c>
      <c r="J109" s="17">
        <f t="shared" si="4"/>
        <v>0</v>
      </c>
      <c r="K109" s="17" t="b">
        <f t="shared" si="5"/>
        <v>0</v>
      </c>
      <c r="L109" s="16" t="str">
        <f>IFERROR(__xludf.DUMMYFUNCTION("if(regexmatch(B109,""e(.*)$""),regexextract(B109,""e(.*)$""),"""")"),"-4")</f>
        <v>-4</v>
      </c>
      <c r="M109" s="18"/>
      <c r="N109" s="18">
        <f>countif(ConstantsUnits!C:C,F109)</f>
        <v>1</v>
      </c>
      <c r="O109" s="16" t="str">
        <f>VLOOKUP($A109,ConstantsUnits!$A:$A,1,false)</f>
        <v>electron to alpha particle mass ratio</v>
      </c>
    </row>
    <row r="110">
      <c r="A110" s="1" t="s">
        <v>425</v>
      </c>
      <c r="B110" s="1" t="s">
        <v>1373</v>
      </c>
      <c r="C110" s="1" t="s">
        <v>1374</v>
      </c>
      <c r="E110" s="15"/>
      <c r="F110" s="16" t="str">
        <f>VLOOKUP($A110,ConstantsUnits!$A:$C,3,false)</f>
        <v>ElectronToShieldedHelionMagneticMomentRatio</v>
      </c>
      <c r="G110" s="17" t="str">
        <f t="shared" si="1"/>
        <v>864.058257</v>
      </c>
      <c r="H110" s="17">
        <f t="shared" si="2"/>
        <v>864.058257</v>
      </c>
      <c r="I110" s="17" t="str">
        <f t="shared" si="3"/>
        <v>0.000010</v>
      </c>
      <c r="J110" s="17">
        <f t="shared" si="4"/>
        <v>0.00001</v>
      </c>
      <c r="K110" s="17" t="b">
        <f t="shared" si="5"/>
        <v>0</v>
      </c>
      <c r="L110" s="16" t="str">
        <f>IFERROR(__xludf.DUMMYFUNCTION("if(regexmatch(B110,""e(.*)$""),regexextract(B110,""e(.*)$""),"""")"),"")</f>
        <v/>
      </c>
      <c r="M110" s="18"/>
      <c r="N110" s="18">
        <f>countif(ConstantsUnits!C:C,F110)</f>
        <v>1</v>
      </c>
      <c r="O110" s="16" t="str">
        <f>VLOOKUP($A110,ConstantsUnits!$A:$A,1,false)</f>
        <v>electron to shielded helion mag. mom. ratio</v>
      </c>
    </row>
    <row r="111">
      <c r="A111" s="1" t="s">
        <v>428</v>
      </c>
      <c r="B111" s="1" t="s">
        <v>1375</v>
      </c>
      <c r="C111" s="1" t="s">
        <v>1376</v>
      </c>
      <c r="E111" s="15"/>
      <c r="F111" s="16" t="str">
        <f>VLOOKUP($A111,ConstantsUnits!$A:$C,3,false)</f>
        <v>ElectronToShieldedProtonMagneticMomentRatio</v>
      </c>
      <c r="G111" s="17" t="str">
        <f t="shared" si="1"/>
        <v>-658.2275971</v>
      </c>
      <c r="H111" s="17">
        <f t="shared" si="2"/>
        <v>-658.2275971</v>
      </c>
      <c r="I111" s="17" t="str">
        <f t="shared" si="3"/>
        <v>0.0000072</v>
      </c>
      <c r="J111" s="17">
        <f t="shared" si="4"/>
        <v>0.0000072</v>
      </c>
      <c r="K111" s="17" t="b">
        <f t="shared" si="5"/>
        <v>0</v>
      </c>
      <c r="L111" s="16" t="str">
        <f>IFERROR(__xludf.DUMMYFUNCTION("if(regexmatch(B111,""e(.*)$""),regexextract(B111,""e(.*)$""),"""")"),"")</f>
        <v/>
      </c>
      <c r="M111" s="18"/>
      <c r="N111" s="18">
        <f>countif(ConstantsUnits!C:C,F111)</f>
        <v>1</v>
      </c>
      <c r="O111" s="16" t="str">
        <f>VLOOKUP($A111,ConstantsUnits!$A:$A,1,false)</f>
        <v>electron to shielded proton mag. mom. ratio</v>
      </c>
    </row>
    <row r="112">
      <c r="A112" s="1" t="s">
        <v>431</v>
      </c>
      <c r="B112" s="1" t="s">
        <v>1377</v>
      </c>
      <c r="C112" s="1" t="s">
        <v>1378</v>
      </c>
      <c r="E112" s="15"/>
      <c r="F112" s="16" t="str">
        <f>VLOOKUP($A112,ConstantsUnits!$A:$C,3,false)</f>
        <v>Electron-TritonMassRatio</v>
      </c>
      <c r="G112" s="17" t="str">
        <f t="shared" si="1"/>
        <v>1.819200062251e-4</v>
      </c>
      <c r="H112" s="17">
        <f t="shared" si="2"/>
        <v>0.0001819200062</v>
      </c>
      <c r="I112" s="17" t="str">
        <f t="shared" si="3"/>
        <v>0.000000000090e-4</v>
      </c>
      <c r="J112" s="17">
        <f t="shared" si="4"/>
        <v>0</v>
      </c>
      <c r="K112" s="17" t="b">
        <f t="shared" si="5"/>
        <v>0</v>
      </c>
      <c r="L112" s="16" t="str">
        <f>IFERROR(__xludf.DUMMYFUNCTION("if(regexmatch(B112,""e(.*)$""),regexextract(B112,""e(.*)$""),"""")"),"-4")</f>
        <v>-4</v>
      </c>
      <c r="M112" s="18"/>
      <c r="N112" s="18">
        <f>countif(ConstantsUnits!C:C,F112)</f>
        <v>1</v>
      </c>
      <c r="O112" s="16" t="str">
        <f>VLOOKUP($A112,ConstantsUnits!$A:$A,1,false)</f>
        <v>electron-triton mass ratio</v>
      </c>
    </row>
    <row r="113">
      <c r="A113" s="1" t="s">
        <v>433</v>
      </c>
      <c r="B113" s="1" t="s">
        <v>1233</v>
      </c>
      <c r="C113" s="1" t="s">
        <v>1232</v>
      </c>
      <c r="D113" s="1" t="s">
        <v>41</v>
      </c>
      <c r="E113" s="15"/>
      <c r="F113" s="16" t="str">
        <f>VLOOKUP($A113,ConstantsUnits!$A:$C,3,false)</f>
        <v>ElectronVolt</v>
      </c>
      <c r="G113" s="17" t="str">
        <f t="shared" si="1"/>
        <v>1.602176634e-19</v>
      </c>
      <c r="H113" s="17">
        <f t="shared" si="2"/>
        <v>0</v>
      </c>
      <c r="I113" s="17" t="str">
        <f t="shared" si="3"/>
        <v>(exact)</v>
      </c>
      <c r="J113" s="17" t="str">
        <f t="shared" si="4"/>
        <v/>
      </c>
      <c r="K113" s="17" t="b">
        <f t="shared" si="5"/>
        <v>0</v>
      </c>
      <c r="L113" s="16" t="str">
        <f>IFERROR(__xludf.DUMMYFUNCTION("if(regexmatch(B113,""e(.*)$""),regexextract(B113,""e(.*)$""),"""")"),"-19")</f>
        <v>-19</v>
      </c>
      <c r="M113" s="18"/>
      <c r="N113" s="18">
        <f>countif(ConstantsUnits!C:C,F113)</f>
        <v>1</v>
      </c>
      <c r="O113" s="16" t="str">
        <f>VLOOKUP($A113,ConstantsUnits!$A:$A,1,false)</f>
        <v>electron volt</v>
      </c>
    </row>
    <row r="114">
      <c r="A114" s="1" t="s">
        <v>435</v>
      </c>
      <c r="B114" s="1" t="s">
        <v>1379</v>
      </c>
      <c r="C114" s="1" t="s">
        <v>1380</v>
      </c>
      <c r="D114" s="1" t="s">
        <v>48</v>
      </c>
      <c r="E114" s="15"/>
      <c r="F114" s="16" t="str">
        <f>VLOOKUP($A114,ConstantsUnits!$A:$C,3,false)</f>
        <v>ElectronVoltAtomicMassUnitRelationship</v>
      </c>
      <c r="G114" s="17" t="str">
        <f t="shared" si="1"/>
        <v>1.07354410233e-9</v>
      </c>
      <c r="H114" s="17">
        <f t="shared" si="2"/>
        <v>0.000000001073544102</v>
      </c>
      <c r="I114" s="17" t="str">
        <f t="shared" si="3"/>
        <v>0.00000000032e-9</v>
      </c>
      <c r="J114" s="17">
        <f t="shared" si="4"/>
        <v>0</v>
      </c>
      <c r="K114" s="17" t="b">
        <f t="shared" si="5"/>
        <v>0</v>
      </c>
      <c r="L114" s="16" t="str">
        <f>IFERROR(__xludf.DUMMYFUNCTION("if(regexmatch(B114,""e(.*)$""),regexextract(B114,""e(.*)$""),"""")"),"-9")</f>
        <v>-9</v>
      </c>
      <c r="M114" s="18"/>
      <c r="N114" s="18">
        <f>countif(ConstantsUnits!C:C,F114)</f>
        <v>1</v>
      </c>
      <c r="O114" s="16" t="str">
        <f>VLOOKUP($A114,ConstantsUnits!$A:$A,1,false)</f>
        <v>electron volt-atomic mass unit relationship</v>
      </c>
    </row>
    <row r="115">
      <c r="A115" s="1" t="s">
        <v>438</v>
      </c>
      <c r="B115" s="1" t="s">
        <v>1381</v>
      </c>
      <c r="C115" s="1" t="s">
        <v>1382</v>
      </c>
      <c r="D115" s="1" t="s">
        <v>74</v>
      </c>
      <c r="E115" s="15"/>
      <c r="F115" s="16" t="str">
        <f>VLOOKUP($A115,ConstantsUnits!$A:$C,3,false)</f>
        <v>ElectronVoltHartreeRelationship</v>
      </c>
      <c r="G115" s="17" t="str">
        <f t="shared" si="1"/>
        <v>3.6749322175655e-2</v>
      </c>
      <c r="H115" s="17">
        <f t="shared" si="2"/>
        <v>0.03674932218</v>
      </c>
      <c r="I115" s="17" t="str">
        <f t="shared" si="3"/>
        <v>0.0000000000071e-2</v>
      </c>
      <c r="J115" s="17">
        <f t="shared" si="4"/>
        <v>0</v>
      </c>
      <c r="K115" s="17" t="b">
        <f t="shared" si="5"/>
        <v>0</v>
      </c>
      <c r="L115" s="16" t="str">
        <f>IFERROR(__xludf.DUMMYFUNCTION("if(regexmatch(B115,""e(.*)$""),regexextract(B115,""e(.*)$""),"""")"),"-2")</f>
        <v>-2</v>
      </c>
      <c r="M115" s="18"/>
      <c r="N115" s="18">
        <f>countif(ConstantsUnits!C:C,F115)</f>
        <v>1</v>
      </c>
      <c r="O115" s="16" t="str">
        <f>VLOOKUP($A115,ConstantsUnits!$A:$A,1,false)</f>
        <v>electron volt-hartree relationship</v>
      </c>
    </row>
    <row r="116">
      <c r="A116" s="1" t="s">
        <v>441</v>
      </c>
      <c r="B116" s="1" t="s">
        <v>1383</v>
      </c>
      <c r="C116" s="1" t="s">
        <v>1232</v>
      </c>
      <c r="D116" s="1" t="s">
        <v>79</v>
      </c>
      <c r="E116" s="15"/>
      <c r="F116" s="16" t="str">
        <f>VLOOKUP($A116,ConstantsUnits!$A:$C,3,false)</f>
        <v>ElectronVoltHertzRelationship</v>
      </c>
      <c r="G116" s="17" t="str">
        <f t="shared" si="1"/>
        <v>2.417989242e14</v>
      </c>
      <c r="H116" s="17">
        <f t="shared" si="2"/>
        <v>241798924200000</v>
      </c>
      <c r="I116" s="17" t="str">
        <f t="shared" si="3"/>
        <v>(exact)</v>
      </c>
      <c r="J116" s="17" t="str">
        <f t="shared" si="4"/>
        <v/>
      </c>
      <c r="K116" s="17" t="b">
        <f t="shared" si="5"/>
        <v>1</v>
      </c>
      <c r="L116" s="16" t="str">
        <f>IFERROR(__xludf.DUMMYFUNCTION("if(regexmatch(B116,""e(.*)$""),regexextract(B116,""e(.*)$""),"""")"),"14")</f>
        <v>14</v>
      </c>
      <c r="M116" s="18"/>
      <c r="N116" s="18">
        <f>countif(ConstantsUnits!C:C,F116)</f>
        <v>1</v>
      </c>
      <c r="O116" s="16" t="str">
        <f>VLOOKUP($A116,ConstantsUnits!$A:$A,1,false)</f>
        <v>electron volt-hertz relationship</v>
      </c>
    </row>
    <row r="117">
      <c r="A117" s="1" t="s">
        <v>444</v>
      </c>
      <c r="B117" s="1" t="s">
        <v>1384</v>
      </c>
      <c r="C117" s="1" t="s">
        <v>1232</v>
      </c>
      <c r="D117" s="1" t="s">
        <v>83</v>
      </c>
      <c r="E117" s="15"/>
      <c r="F117" s="16" t="str">
        <f>VLOOKUP($A117,ConstantsUnits!$A:$C,3,false)</f>
        <v>ElectronVoltInverseMeterRelationship</v>
      </c>
      <c r="G117" s="17" t="str">
        <f t="shared" si="1"/>
        <v>8.065543937e5</v>
      </c>
      <c r="H117" s="17">
        <f t="shared" si="2"/>
        <v>806554.3937</v>
      </c>
      <c r="I117" s="17" t="str">
        <f t="shared" si="3"/>
        <v>(exact)</v>
      </c>
      <c r="J117" s="17" t="str">
        <f t="shared" si="4"/>
        <v/>
      </c>
      <c r="K117" s="17" t="b">
        <f t="shared" si="5"/>
        <v>1</v>
      </c>
      <c r="L117" s="16" t="str">
        <f>IFERROR(__xludf.DUMMYFUNCTION("if(regexmatch(B117,""e(.*)$""),regexextract(B117,""e(.*)$""),"""")"),"5")</f>
        <v>5</v>
      </c>
      <c r="M117" s="18"/>
      <c r="N117" s="18">
        <f>countif(ConstantsUnits!C:C,F117)</f>
        <v>1</v>
      </c>
      <c r="O117" s="16" t="str">
        <f>VLOOKUP($A117,ConstantsUnits!$A:$A,1,false)</f>
        <v>electron volt-inverse meter relationship</v>
      </c>
    </row>
    <row r="118">
      <c r="A118" s="1" t="s">
        <v>447</v>
      </c>
      <c r="B118" s="1" t="s">
        <v>1233</v>
      </c>
      <c r="C118" s="1" t="s">
        <v>1232</v>
      </c>
      <c r="D118" s="1" t="s">
        <v>41</v>
      </c>
      <c r="E118" s="15"/>
      <c r="F118" s="16" t="str">
        <f>VLOOKUP($A118,ConstantsUnits!$A:$C,3,false)</f>
        <v>ElectronVoltJouleRelationship</v>
      </c>
      <c r="G118" s="17" t="str">
        <f t="shared" si="1"/>
        <v>1.602176634e-19</v>
      </c>
      <c r="H118" s="17">
        <f t="shared" si="2"/>
        <v>0</v>
      </c>
      <c r="I118" s="17" t="str">
        <f t="shared" si="3"/>
        <v>(exact)</v>
      </c>
      <c r="J118" s="17" t="str">
        <f t="shared" si="4"/>
        <v/>
      </c>
      <c r="K118" s="17" t="b">
        <f t="shared" si="5"/>
        <v>0</v>
      </c>
      <c r="L118" s="16" t="str">
        <f>IFERROR(__xludf.DUMMYFUNCTION("if(regexmatch(B118,""e(.*)$""),regexextract(B118,""e(.*)$""),"""")"),"-19")</f>
        <v>-19</v>
      </c>
      <c r="M118" s="18"/>
      <c r="N118" s="18">
        <f>countif(ConstantsUnits!C:C,F118)</f>
        <v>1</v>
      </c>
      <c r="O118" s="16" t="str">
        <f>VLOOKUP($A118,ConstantsUnits!$A:$A,1,false)</f>
        <v>electron volt-joule relationship</v>
      </c>
    </row>
    <row r="119">
      <c r="A119" s="1" t="s">
        <v>450</v>
      </c>
      <c r="B119" s="1" t="s">
        <v>1385</v>
      </c>
      <c r="C119" s="1" t="s">
        <v>1232</v>
      </c>
      <c r="D119" s="1" t="s">
        <v>91</v>
      </c>
      <c r="E119" s="15"/>
      <c r="F119" s="16" t="str">
        <f>VLOOKUP($A119,ConstantsUnits!$A:$C,3,false)</f>
        <v>ElectronVoltKelvinRelationship</v>
      </c>
      <c r="G119" s="17" t="str">
        <f t="shared" si="1"/>
        <v>1.160451812e4</v>
      </c>
      <c r="H119" s="17">
        <f t="shared" si="2"/>
        <v>11604.51812</v>
      </c>
      <c r="I119" s="17" t="str">
        <f t="shared" si="3"/>
        <v>(exact)</v>
      </c>
      <c r="J119" s="17" t="str">
        <f t="shared" si="4"/>
        <v/>
      </c>
      <c r="K119" s="17" t="b">
        <f t="shared" si="5"/>
        <v>1</v>
      </c>
      <c r="L119" s="16" t="str">
        <f>IFERROR(__xludf.DUMMYFUNCTION("if(regexmatch(B119,""e(.*)$""),regexextract(B119,""e(.*)$""),"""")"),"4")</f>
        <v>4</v>
      </c>
      <c r="M119" s="18"/>
      <c r="N119" s="18">
        <f>countif(ConstantsUnits!C:C,F119)</f>
        <v>1</v>
      </c>
      <c r="O119" s="16" t="str">
        <f>VLOOKUP($A119,ConstantsUnits!$A:$A,1,false)</f>
        <v>electron volt-kelvin relationship</v>
      </c>
    </row>
    <row r="120">
      <c r="A120" s="1" t="s">
        <v>453</v>
      </c>
      <c r="B120" s="1" t="s">
        <v>1386</v>
      </c>
      <c r="C120" s="1" t="s">
        <v>1232</v>
      </c>
      <c r="D120" s="1" t="s">
        <v>38</v>
      </c>
      <c r="E120" s="15"/>
      <c r="F120" s="16" t="str">
        <f>VLOOKUP($A120,ConstantsUnits!$A:$C,3,false)</f>
        <v>ElectronVoltKilogramRelationship</v>
      </c>
      <c r="G120" s="17" t="str">
        <f t="shared" si="1"/>
        <v>1.782661921e-36</v>
      </c>
      <c r="H120" s="17">
        <f t="shared" si="2"/>
        <v>0</v>
      </c>
      <c r="I120" s="17" t="str">
        <f t="shared" si="3"/>
        <v>(exact)</v>
      </c>
      <c r="J120" s="17" t="str">
        <f t="shared" si="4"/>
        <v/>
      </c>
      <c r="K120" s="17" t="b">
        <f t="shared" si="5"/>
        <v>1</v>
      </c>
      <c r="L120" s="16" t="str">
        <f>IFERROR(__xludf.DUMMYFUNCTION("if(regexmatch(B120,""e(.*)$""),regexextract(B120,""e(.*)$""),"""")"),"-36")</f>
        <v>-36</v>
      </c>
      <c r="M120" s="18"/>
      <c r="N120" s="18">
        <f>countif(ConstantsUnits!C:C,F120)</f>
        <v>1</v>
      </c>
      <c r="O120" s="16" t="str">
        <f>VLOOKUP($A120,ConstantsUnits!$A:$A,1,false)</f>
        <v>electron volt-kilogram relationship</v>
      </c>
    </row>
    <row r="121">
      <c r="A121" s="1" t="s">
        <v>456</v>
      </c>
      <c r="B121" s="1" t="s">
        <v>1233</v>
      </c>
      <c r="C121" s="1" t="s">
        <v>1232</v>
      </c>
      <c r="D121" s="1" t="s">
        <v>113</v>
      </c>
      <c r="E121" s="15"/>
      <c r="F121" s="16" t="str">
        <f>VLOOKUP($A121,ConstantsUnits!$A:$C,3,false)</f>
        <v>ElementaryCharge</v>
      </c>
      <c r="G121" s="17" t="str">
        <f t="shared" si="1"/>
        <v>1.602176634e-19</v>
      </c>
      <c r="H121" s="17">
        <f t="shared" si="2"/>
        <v>0</v>
      </c>
      <c r="I121" s="17" t="str">
        <f t="shared" si="3"/>
        <v>(exact)</v>
      </c>
      <c r="J121" s="17" t="str">
        <f t="shared" si="4"/>
        <v/>
      </c>
      <c r="K121" s="17" t="b">
        <f t="shared" si="5"/>
        <v>0</v>
      </c>
      <c r="L121" s="16" t="str">
        <f>IFERROR(__xludf.DUMMYFUNCTION("if(regexmatch(B121,""e(.*)$""),regexextract(B121,""e(.*)$""),"""")"),"-19")</f>
        <v>-19</v>
      </c>
      <c r="M121" s="18"/>
      <c r="N121" s="18">
        <f>countif(ConstantsUnits!C:C,F121)</f>
        <v>1</v>
      </c>
      <c r="O121" s="16" t="str">
        <f>VLOOKUP($A121,ConstantsUnits!$A:$A,1,false)</f>
        <v>elementary charge</v>
      </c>
    </row>
    <row r="122">
      <c r="A122" s="1" t="s">
        <v>459</v>
      </c>
      <c r="B122" s="1" t="s">
        <v>1387</v>
      </c>
      <c r="C122" s="1" t="s">
        <v>1232</v>
      </c>
      <c r="D122" s="1" t="s">
        <v>460</v>
      </c>
      <c r="E122" s="15"/>
      <c r="F122" s="16" t="str">
        <f>VLOOKUP($A122,ConstantsUnits!$A:$C,3,false)</f>
        <v>ElementaryChargeOverH</v>
      </c>
      <c r="G122" s="17" t="str">
        <f t="shared" si="1"/>
        <v>1.519267447e15</v>
      </c>
      <c r="H122" s="17">
        <f t="shared" si="2"/>
        <v>1.51927E+15</v>
      </c>
      <c r="I122" s="17" t="str">
        <f t="shared" si="3"/>
        <v>(exact)</v>
      </c>
      <c r="J122" s="17" t="str">
        <f t="shared" si="4"/>
        <v/>
      </c>
      <c r="K122" s="17" t="b">
        <f t="shared" si="5"/>
        <v>1</v>
      </c>
      <c r="L122" s="16" t="str">
        <f>IFERROR(__xludf.DUMMYFUNCTION("if(regexmatch(B122,""e(.*)$""),regexextract(B122,""e(.*)$""),"""")"),"15")</f>
        <v>15</v>
      </c>
      <c r="M122" s="18"/>
      <c r="N122" s="18">
        <f>countif(ConstantsUnits!C:C,F122)</f>
        <v>1</v>
      </c>
      <c r="O122" s="16" t="str">
        <f>VLOOKUP($A122,ConstantsUnits!$A:$A,1,false)</f>
        <v>elementary charge over h-bar</v>
      </c>
    </row>
    <row r="123">
      <c r="A123" s="1" t="s">
        <v>464</v>
      </c>
      <c r="B123" s="1" t="s">
        <v>1388</v>
      </c>
      <c r="C123" s="1" t="s">
        <v>1232</v>
      </c>
      <c r="D123" s="1" t="s">
        <v>465</v>
      </c>
      <c r="E123" s="15"/>
      <c r="F123" s="16" t="str">
        <f>VLOOKUP($A123,ConstantsUnits!$A:$C,3,false)</f>
        <v>FaradayConstant</v>
      </c>
      <c r="G123" s="17" t="str">
        <f t="shared" si="1"/>
        <v>96485.33212</v>
      </c>
      <c r="H123" s="17">
        <f t="shared" si="2"/>
        <v>96485.33212</v>
      </c>
      <c r="I123" s="17" t="str">
        <f t="shared" si="3"/>
        <v>(exact)</v>
      </c>
      <c r="J123" s="17" t="str">
        <f t="shared" si="4"/>
        <v/>
      </c>
      <c r="K123" s="17" t="b">
        <f t="shared" si="5"/>
        <v>1</v>
      </c>
      <c r="L123" s="16" t="str">
        <f>IFERROR(__xludf.DUMMYFUNCTION("if(regexmatch(B123,""e(.*)$""),regexextract(B123,""e(.*)$""),"""")"),"")</f>
        <v/>
      </c>
      <c r="M123" s="18"/>
      <c r="N123" s="18">
        <f>countif(ConstantsUnits!C:C,F123)</f>
        <v>1</v>
      </c>
      <c r="O123" s="16" t="str">
        <f>VLOOKUP($A123,ConstantsUnits!$A:$A,1,false)</f>
        <v>Faraday constant</v>
      </c>
    </row>
    <row r="124">
      <c r="A124" s="1" t="s">
        <v>472</v>
      </c>
      <c r="B124" s="1" t="s">
        <v>1389</v>
      </c>
      <c r="C124" s="1" t="s">
        <v>1390</v>
      </c>
      <c r="D124" s="1" t="s">
        <v>473</v>
      </c>
      <c r="E124" s="15"/>
      <c r="F124" s="16" t="str">
        <f>VLOOKUP($A124,ConstantsUnits!$A:$C,3,false)</f>
        <v>FermiCouplingConstant</v>
      </c>
      <c r="G124" s="17" t="str">
        <f t="shared" si="1"/>
        <v>1.1663787e-5</v>
      </c>
      <c r="H124" s="17">
        <f t="shared" si="2"/>
        <v>0.000011663787</v>
      </c>
      <c r="I124" s="17" t="str">
        <f t="shared" si="3"/>
        <v>0.0000006e-5</v>
      </c>
      <c r="J124" s="17">
        <f t="shared" si="4"/>
        <v>0</v>
      </c>
      <c r="K124" s="17" t="b">
        <f t="shared" si="5"/>
        <v>0</v>
      </c>
      <c r="L124" s="16" t="str">
        <f>IFERROR(__xludf.DUMMYFUNCTION("if(regexmatch(B124,""e(.*)$""),regexextract(B124,""e(.*)$""),"""")"),"-5")</f>
        <v>-5</v>
      </c>
      <c r="M124" s="18"/>
      <c r="N124" s="18">
        <f>countif(ConstantsUnits!C:C,F124)</f>
        <v>1</v>
      </c>
      <c r="O124" s="16" t="str">
        <f>VLOOKUP($A124,ConstantsUnits!$A:$A,1,false)</f>
        <v>Fermi coupling constant</v>
      </c>
    </row>
    <row r="125">
      <c r="A125" s="1" t="s">
        <v>477</v>
      </c>
      <c r="B125" s="1" t="s">
        <v>1391</v>
      </c>
      <c r="C125" s="1" t="s">
        <v>1392</v>
      </c>
      <c r="E125" s="15"/>
      <c r="F125" s="16" t="str">
        <f>VLOOKUP($A125,ConstantsUnits!$A:$C,3,false)</f>
        <v>FineStructureConstant</v>
      </c>
      <c r="G125" s="17" t="str">
        <f t="shared" si="1"/>
        <v>7.2973525693e-3</v>
      </c>
      <c r="H125" s="17">
        <f t="shared" si="2"/>
        <v>0.007297352569</v>
      </c>
      <c r="I125" s="17" t="str">
        <f t="shared" si="3"/>
        <v>0.0000000011e-3</v>
      </c>
      <c r="J125" s="17">
        <f t="shared" si="4"/>
        <v>0</v>
      </c>
      <c r="K125" s="17" t="b">
        <f t="shared" si="5"/>
        <v>0</v>
      </c>
      <c r="L125" s="16" t="str">
        <f>IFERROR(__xludf.DUMMYFUNCTION("if(regexmatch(B125,""e(.*)$""),regexextract(B125,""e(.*)$""),"""")"),"-3")</f>
        <v>-3</v>
      </c>
      <c r="M125" s="18"/>
      <c r="N125" s="18">
        <f>countif(ConstantsUnits!C:C,F125)</f>
        <v>1</v>
      </c>
      <c r="O125" s="16" t="str">
        <f>VLOOKUP($A125,ConstantsUnits!$A:$A,1,false)</f>
        <v>fine-structure constant</v>
      </c>
    </row>
    <row r="126">
      <c r="A126" s="1" t="s">
        <v>480</v>
      </c>
      <c r="B126" s="1" t="s">
        <v>1393</v>
      </c>
      <c r="C126" s="1" t="s">
        <v>1232</v>
      </c>
      <c r="D126" s="1" t="s">
        <v>481</v>
      </c>
      <c r="E126" s="15"/>
      <c r="F126" s="16" t="str">
        <f>VLOOKUP($A126,ConstantsUnits!$A:$C,3,false)</f>
        <v>FirstRadiationConstant</v>
      </c>
      <c r="G126" s="17" t="str">
        <f t="shared" si="1"/>
        <v>3.741771852e-16</v>
      </c>
      <c r="H126" s="17">
        <f t="shared" si="2"/>
        <v>0</v>
      </c>
      <c r="I126" s="17" t="str">
        <f t="shared" si="3"/>
        <v>(exact)</v>
      </c>
      <c r="J126" s="17" t="str">
        <f t="shared" si="4"/>
        <v/>
      </c>
      <c r="K126" s="17" t="b">
        <f t="shared" si="5"/>
        <v>1</v>
      </c>
      <c r="L126" s="16" t="str">
        <f>IFERROR(__xludf.DUMMYFUNCTION("if(regexmatch(B126,""e(.*)$""),regexextract(B126,""e(.*)$""),"""")"),"-16")</f>
        <v>-16</v>
      </c>
      <c r="M126" s="18"/>
      <c r="N126" s="18">
        <f>countif(ConstantsUnits!C:C,F126)</f>
        <v>1</v>
      </c>
      <c r="O126" s="16" t="str">
        <f>VLOOKUP($A126,ConstantsUnits!$A:$A,1,false)</f>
        <v>first radiation constant</v>
      </c>
    </row>
    <row r="127">
      <c r="A127" s="1" t="s">
        <v>485</v>
      </c>
      <c r="B127" s="1" t="s">
        <v>1394</v>
      </c>
      <c r="C127" s="1" t="s">
        <v>1232</v>
      </c>
      <c r="D127" s="1" t="s">
        <v>486</v>
      </c>
      <c r="E127" s="15"/>
      <c r="F127" s="16" t="str">
        <f>VLOOKUP($A127,ConstantsUnits!$A:$C,3,false)</f>
        <v>FirstRadiationConstantForSpectralRadiance</v>
      </c>
      <c r="G127" s="17" t="str">
        <f t="shared" si="1"/>
        <v>1.191042972e-16</v>
      </c>
      <c r="H127" s="17">
        <f t="shared" si="2"/>
        <v>0</v>
      </c>
      <c r="I127" s="17" t="str">
        <f t="shared" si="3"/>
        <v>(exact)</v>
      </c>
      <c r="J127" s="17" t="str">
        <f t="shared" si="4"/>
        <v/>
      </c>
      <c r="K127" s="17" t="b">
        <f t="shared" si="5"/>
        <v>1</v>
      </c>
      <c r="L127" s="16" t="str">
        <f>IFERROR(__xludf.DUMMYFUNCTION("if(regexmatch(B127,""e(.*)$""),regexextract(B127,""e(.*)$""),"""")"),"-16")</f>
        <v>-16</v>
      </c>
      <c r="M127" s="18"/>
      <c r="N127" s="18">
        <f>countif(ConstantsUnits!C:C,F127)</f>
        <v>1</v>
      </c>
      <c r="O127" s="16" t="str">
        <f>VLOOKUP($A127,ConstantsUnits!$A:$A,1,false)</f>
        <v>first radiation constant for spectral radiance</v>
      </c>
    </row>
    <row r="128">
      <c r="A128" s="1" t="s">
        <v>492</v>
      </c>
      <c r="B128" s="1" t="s">
        <v>1395</v>
      </c>
      <c r="C128" s="1" t="s">
        <v>1396</v>
      </c>
      <c r="D128" s="1" t="s">
        <v>48</v>
      </c>
      <c r="E128" s="15"/>
      <c r="F128" s="16" t="str">
        <f>VLOOKUP($A128,ConstantsUnits!$A:$C,3,false)</f>
        <v>HartreeAtomicMassUnitRelationship</v>
      </c>
      <c r="G128" s="17" t="str">
        <f t="shared" si="1"/>
        <v>2.92126232205e-8</v>
      </c>
      <c r="H128" s="17">
        <f t="shared" si="2"/>
        <v>0.00000002921262322</v>
      </c>
      <c r="I128" s="17" t="str">
        <f t="shared" si="3"/>
        <v>0.00000000088e-8</v>
      </c>
      <c r="J128" s="17">
        <f t="shared" si="4"/>
        <v>0</v>
      </c>
      <c r="K128" s="17" t="b">
        <f t="shared" si="5"/>
        <v>0</v>
      </c>
      <c r="L128" s="16" t="str">
        <f>IFERROR(__xludf.DUMMYFUNCTION("if(regexmatch(B128,""e(.*)$""),regexextract(B128,""e(.*)$""),"""")"),"-8")</f>
        <v>-8</v>
      </c>
      <c r="M128" s="18"/>
      <c r="N128" s="18">
        <f>countif(ConstantsUnits!C:C,F128)</f>
        <v>1</v>
      </c>
      <c r="O128" s="16" t="str">
        <f>VLOOKUP($A128,ConstantsUnits!$A:$A,1,false)</f>
        <v>hartree-atomic mass unit relationship</v>
      </c>
    </row>
    <row r="129">
      <c r="A129" s="1" t="s">
        <v>495</v>
      </c>
      <c r="B129" s="1" t="s">
        <v>1246</v>
      </c>
      <c r="C129" s="1" t="s">
        <v>1247</v>
      </c>
      <c r="D129" s="1" t="s">
        <v>70</v>
      </c>
      <c r="E129" s="15"/>
      <c r="F129" s="16" t="str">
        <f>VLOOKUP($A129,ConstantsUnits!$A:$C,3,false)</f>
        <v>HartreeElectronVoltRelationship</v>
      </c>
      <c r="G129" s="17" t="str">
        <f t="shared" si="1"/>
        <v>27.211386245988</v>
      </c>
      <c r="H129" s="17">
        <f t="shared" si="2"/>
        <v>27.21138625</v>
      </c>
      <c r="I129" s="17" t="str">
        <f t="shared" si="3"/>
        <v>0.000000000053</v>
      </c>
      <c r="J129" s="17">
        <f t="shared" si="4"/>
        <v>0</v>
      </c>
      <c r="K129" s="17" t="b">
        <f t="shared" si="5"/>
        <v>0</v>
      </c>
      <c r="L129" s="16" t="str">
        <f>IFERROR(__xludf.DUMMYFUNCTION("if(regexmatch(B129,""e(.*)$""),regexextract(B129,""e(.*)$""),"""")"),"")</f>
        <v/>
      </c>
      <c r="M129" s="18"/>
      <c r="N129" s="18">
        <f>countif(ConstantsUnits!C:C,F129)</f>
        <v>1</v>
      </c>
      <c r="O129" s="16" t="str">
        <f>VLOOKUP($A129,ConstantsUnits!$A:$A,1,false)</f>
        <v>hartree-electron volt relationship</v>
      </c>
    </row>
    <row r="130">
      <c r="A130" s="1" t="s">
        <v>498</v>
      </c>
      <c r="B130" s="1" t="s">
        <v>1250</v>
      </c>
      <c r="C130" s="1" t="s">
        <v>1251</v>
      </c>
      <c r="D130" s="1" t="s">
        <v>41</v>
      </c>
      <c r="E130" s="15"/>
      <c r="F130" s="16" t="str">
        <f>VLOOKUP($A130,ConstantsUnits!$A:$C,3,false)</f>
        <v>HartreeEnergy</v>
      </c>
      <c r="G130" s="17" t="str">
        <f t="shared" si="1"/>
        <v>4.3597447222071e-18</v>
      </c>
      <c r="H130" s="17">
        <f t="shared" si="2"/>
        <v>0</v>
      </c>
      <c r="I130" s="17" t="str">
        <f t="shared" si="3"/>
        <v>0.0000000000085e-18</v>
      </c>
      <c r="J130" s="17">
        <f t="shared" si="4"/>
        <v>0</v>
      </c>
      <c r="K130" s="17" t="b">
        <f t="shared" si="5"/>
        <v>0</v>
      </c>
      <c r="L130" s="16" t="str">
        <f>IFERROR(__xludf.DUMMYFUNCTION("if(regexmatch(B130,""e(.*)$""),regexextract(B130,""e(.*)$""),"""")"),"-18")</f>
        <v>-18</v>
      </c>
      <c r="M130" s="18"/>
      <c r="N130" s="18">
        <f>countif(ConstantsUnits!C:C,F130)</f>
        <v>1</v>
      </c>
      <c r="O130" s="16" t="str">
        <f>VLOOKUP($A130,ConstantsUnits!$A:$A,1,false)</f>
        <v>Hartree energy</v>
      </c>
    </row>
    <row r="131">
      <c r="A131" s="1" t="s">
        <v>501</v>
      </c>
      <c r="B131" s="1" t="s">
        <v>1246</v>
      </c>
      <c r="C131" s="1" t="s">
        <v>1247</v>
      </c>
      <c r="D131" s="1" t="s">
        <v>70</v>
      </c>
      <c r="E131" s="15"/>
      <c r="F131" s="16" t="str">
        <f>VLOOKUP($A131,ConstantsUnits!$A:$C,3,false)</f>
        <v>HartreeEnergyInEV</v>
      </c>
      <c r="G131" s="17" t="str">
        <f t="shared" si="1"/>
        <v>27.211386245988</v>
      </c>
      <c r="H131" s="17">
        <f t="shared" si="2"/>
        <v>27.21138625</v>
      </c>
      <c r="I131" s="17" t="str">
        <f t="shared" si="3"/>
        <v>0.000000000053</v>
      </c>
      <c r="J131" s="17">
        <f t="shared" si="4"/>
        <v>0</v>
      </c>
      <c r="K131" s="17" t="b">
        <f t="shared" si="5"/>
        <v>0</v>
      </c>
      <c r="L131" s="16" t="str">
        <f>IFERROR(__xludf.DUMMYFUNCTION("if(regexmatch(B131,""e(.*)$""),regexextract(B131,""e(.*)$""),"""")"),"")</f>
        <v/>
      </c>
      <c r="M131" s="18"/>
      <c r="N131" s="18">
        <f>countif(ConstantsUnits!C:C,F131)</f>
        <v>1</v>
      </c>
      <c r="O131" s="16" t="str">
        <f>VLOOKUP($A131,ConstantsUnits!$A:$A,1,false)</f>
        <v>Hartree energy in eV</v>
      </c>
    </row>
    <row r="132">
      <c r="A132" s="1" t="s">
        <v>504</v>
      </c>
      <c r="B132" s="1" t="s">
        <v>1397</v>
      </c>
      <c r="C132" s="1" t="s">
        <v>1398</v>
      </c>
      <c r="D132" s="1" t="s">
        <v>79</v>
      </c>
      <c r="E132" s="15"/>
      <c r="F132" s="16" t="str">
        <f>VLOOKUP($A132,ConstantsUnits!$A:$C,3,false)</f>
        <v>HartreeHertzRelationship</v>
      </c>
      <c r="G132" s="17" t="str">
        <f t="shared" si="1"/>
        <v>6.579683920502e15</v>
      </c>
      <c r="H132" s="17">
        <f t="shared" si="2"/>
        <v>6.57968E+15</v>
      </c>
      <c r="I132" s="17" t="str">
        <f t="shared" si="3"/>
        <v>0.000000000013e15</v>
      </c>
      <c r="J132" s="17">
        <f t="shared" si="4"/>
        <v>13000</v>
      </c>
      <c r="K132" s="17" t="b">
        <f t="shared" si="5"/>
        <v>0</v>
      </c>
      <c r="L132" s="16" t="str">
        <f>IFERROR(__xludf.DUMMYFUNCTION("if(regexmatch(B132,""e(.*)$""),regexextract(B132,""e(.*)$""),"""")"),"15")</f>
        <v>15</v>
      </c>
      <c r="M132" s="18"/>
      <c r="N132" s="18">
        <f>countif(ConstantsUnits!C:C,F132)</f>
        <v>1</v>
      </c>
      <c r="O132" s="16" t="str">
        <f>VLOOKUP($A132,ConstantsUnits!$A:$A,1,false)</f>
        <v>hartree-hertz relationship</v>
      </c>
    </row>
    <row r="133">
      <c r="A133" s="1" t="s">
        <v>507</v>
      </c>
      <c r="B133" s="1" t="s">
        <v>1399</v>
      </c>
      <c r="C133" s="1" t="s">
        <v>1400</v>
      </c>
      <c r="D133" s="1" t="s">
        <v>83</v>
      </c>
      <c r="E133" s="15"/>
      <c r="F133" s="16" t="str">
        <f>VLOOKUP($A133,ConstantsUnits!$A:$C,3,false)</f>
        <v>HartreeInverseMeterRelationship</v>
      </c>
      <c r="G133" s="17" t="str">
        <f t="shared" si="1"/>
        <v>2.1947463136320e7</v>
      </c>
      <c r="H133" s="17">
        <f t="shared" si="2"/>
        <v>21947463.14</v>
      </c>
      <c r="I133" s="17" t="str">
        <f t="shared" si="3"/>
        <v>0.0000000000043e7</v>
      </c>
      <c r="J133" s="17">
        <f t="shared" si="4"/>
        <v>0.000043</v>
      </c>
      <c r="K133" s="17" t="b">
        <f t="shared" si="5"/>
        <v>0</v>
      </c>
      <c r="L133" s="16" t="str">
        <f>IFERROR(__xludf.DUMMYFUNCTION("if(regexmatch(B133,""e(.*)$""),regexextract(B133,""e(.*)$""),"""")"),"7")</f>
        <v>7</v>
      </c>
      <c r="M133" s="18"/>
      <c r="N133" s="18">
        <f>countif(ConstantsUnits!C:C,F133)</f>
        <v>1</v>
      </c>
      <c r="O133" s="16" t="str">
        <f>VLOOKUP($A133,ConstantsUnits!$A:$A,1,false)</f>
        <v>hartree-inverse meter relationship</v>
      </c>
    </row>
    <row r="134">
      <c r="A134" s="1" t="s">
        <v>510</v>
      </c>
      <c r="B134" s="1" t="s">
        <v>1250</v>
      </c>
      <c r="C134" s="1" t="s">
        <v>1251</v>
      </c>
      <c r="D134" s="1" t="s">
        <v>41</v>
      </c>
      <c r="E134" s="15"/>
      <c r="F134" s="16" t="str">
        <f>VLOOKUP($A134,ConstantsUnits!$A:$C,3,false)</f>
        <v>HartreeJouleRelationship</v>
      </c>
      <c r="G134" s="17" t="str">
        <f t="shared" si="1"/>
        <v>4.3597447222071e-18</v>
      </c>
      <c r="H134" s="17">
        <f t="shared" si="2"/>
        <v>0</v>
      </c>
      <c r="I134" s="17" t="str">
        <f t="shared" si="3"/>
        <v>0.0000000000085e-18</v>
      </c>
      <c r="J134" s="17">
        <f t="shared" si="4"/>
        <v>0</v>
      </c>
      <c r="K134" s="17" t="b">
        <f t="shared" si="5"/>
        <v>0</v>
      </c>
      <c r="L134" s="16" t="str">
        <f>IFERROR(__xludf.DUMMYFUNCTION("if(regexmatch(B134,""e(.*)$""),regexextract(B134,""e(.*)$""),"""")"),"-18")</f>
        <v>-18</v>
      </c>
      <c r="M134" s="18"/>
      <c r="N134" s="18">
        <f>countif(ConstantsUnits!C:C,F134)</f>
        <v>1</v>
      </c>
      <c r="O134" s="16" t="str">
        <f>VLOOKUP($A134,ConstantsUnits!$A:$A,1,false)</f>
        <v>hartree-joule relationship</v>
      </c>
    </row>
    <row r="135">
      <c r="A135" s="1" t="s">
        <v>513</v>
      </c>
      <c r="B135" s="1" t="s">
        <v>1401</v>
      </c>
      <c r="C135" s="1" t="s">
        <v>1402</v>
      </c>
      <c r="D135" s="1" t="s">
        <v>91</v>
      </c>
      <c r="E135" s="15"/>
      <c r="F135" s="16" t="str">
        <f>VLOOKUP($A135,ConstantsUnits!$A:$C,3,false)</f>
        <v>HartreeKelvinRelationship</v>
      </c>
      <c r="G135" s="17" t="str">
        <f t="shared" si="1"/>
        <v>3.1577502480407e5</v>
      </c>
      <c r="H135" s="17">
        <f t="shared" si="2"/>
        <v>315775.0248</v>
      </c>
      <c r="I135" s="17" t="str">
        <f t="shared" si="3"/>
        <v>0.0000000000061e5</v>
      </c>
      <c r="J135" s="17">
        <f t="shared" si="4"/>
        <v>0.00000061</v>
      </c>
      <c r="K135" s="17" t="b">
        <f t="shared" si="5"/>
        <v>0</v>
      </c>
      <c r="L135" s="16" t="str">
        <f>IFERROR(__xludf.DUMMYFUNCTION("if(regexmatch(B135,""e(.*)$""),regexextract(B135,""e(.*)$""),"""")"),"5")</f>
        <v>5</v>
      </c>
      <c r="M135" s="18"/>
      <c r="N135" s="18">
        <f>countif(ConstantsUnits!C:C,F135)</f>
        <v>1</v>
      </c>
      <c r="O135" s="16" t="str">
        <f>VLOOKUP($A135,ConstantsUnits!$A:$A,1,false)</f>
        <v>hartree-kelvin relationship</v>
      </c>
    </row>
    <row r="136">
      <c r="A136" s="1" t="s">
        <v>516</v>
      </c>
      <c r="B136" s="1" t="s">
        <v>1403</v>
      </c>
      <c r="C136" s="1" t="s">
        <v>1404</v>
      </c>
      <c r="D136" s="1" t="s">
        <v>38</v>
      </c>
      <c r="E136" s="15"/>
      <c r="F136" s="16" t="str">
        <f>VLOOKUP($A136,ConstantsUnits!$A:$C,3,false)</f>
        <v>HartreeKilogramRelationship</v>
      </c>
      <c r="G136" s="17" t="str">
        <f t="shared" si="1"/>
        <v>4.8508702095432e-35</v>
      </c>
      <c r="H136" s="17">
        <f t="shared" si="2"/>
        <v>0</v>
      </c>
      <c r="I136" s="17" t="str">
        <f t="shared" si="3"/>
        <v>0.0000000000094e-35</v>
      </c>
      <c r="J136" s="17">
        <f t="shared" si="4"/>
        <v>0</v>
      </c>
      <c r="K136" s="17" t="b">
        <f t="shared" si="5"/>
        <v>0</v>
      </c>
      <c r="L136" s="16" t="str">
        <f>IFERROR(__xludf.DUMMYFUNCTION("if(regexmatch(B136,""e(.*)$""),regexextract(B136,""e(.*)$""),"""")"),"-35")</f>
        <v>-35</v>
      </c>
      <c r="M136" s="18"/>
      <c r="N136" s="18">
        <f>countif(ConstantsUnits!C:C,F136)</f>
        <v>1</v>
      </c>
      <c r="O136" s="16" t="str">
        <f>VLOOKUP($A136,ConstantsUnits!$A:$A,1,false)</f>
        <v>hartree-kilogram relationship</v>
      </c>
    </row>
    <row r="137">
      <c r="A137" s="1" t="s">
        <v>519</v>
      </c>
      <c r="B137" s="1" t="s">
        <v>1405</v>
      </c>
      <c r="C137" s="1" t="s">
        <v>1196</v>
      </c>
      <c r="E137" s="15"/>
      <c r="F137" s="16" t="str">
        <f>VLOOKUP($A137,ConstantsUnits!$A:$C,3,false)</f>
        <v>HelionElectronMassRatio</v>
      </c>
      <c r="G137" s="17" t="str">
        <f t="shared" si="1"/>
        <v>5495.88528007</v>
      </c>
      <c r="H137" s="17">
        <f t="shared" si="2"/>
        <v>5495.88528</v>
      </c>
      <c r="I137" s="17" t="str">
        <f t="shared" si="3"/>
        <v>0.00000024</v>
      </c>
      <c r="J137" s="17">
        <f t="shared" si="4"/>
        <v>0.00000024</v>
      </c>
      <c r="K137" s="17" t="b">
        <f t="shared" si="5"/>
        <v>0</v>
      </c>
      <c r="L137" s="16" t="str">
        <f>IFERROR(__xludf.DUMMYFUNCTION("if(regexmatch(B137,""e(.*)$""),regexextract(B137,""e(.*)$""),"""")"),"")</f>
        <v/>
      </c>
      <c r="M137" s="18"/>
      <c r="N137" s="18">
        <f>countif(ConstantsUnits!C:C,F137)</f>
        <v>1</v>
      </c>
      <c r="O137" s="16" t="str">
        <f>VLOOKUP($A137,ConstantsUnits!$A:$A,1,false)</f>
        <v>helion-electron mass ratio</v>
      </c>
    </row>
    <row r="138">
      <c r="A138" s="1" t="s">
        <v>522</v>
      </c>
      <c r="B138" s="1" t="s">
        <v>1406</v>
      </c>
      <c r="C138" s="1" t="s">
        <v>1407</v>
      </c>
      <c r="E138" s="15"/>
      <c r="F138" s="16" t="str">
        <f>VLOOKUP($A138,ConstantsUnits!$A:$C,3,false)</f>
        <v>HelionGFactor</v>
      </c>
      <c r="G138" s="17" t="str">
        <f t="shared" si="1"/>
        <v>-4.255250615</v>
      </c>
      <c r="H138" s="17">
        <f t="shared" si="2"/>
        <v>-4.255250615</v>
      </c>
      <c r="I138" s="17" t="str">
        <f t="shared" si="3"/>
        <v>0.000000050</v>
      </c>
      <c r="J138" s="17">
        <f t="shared" si="4"/>
        <v>0.00000005</v>
      </c>
      <c r="K138" s="17" t="b">
        <f t="shared" si="5"/>
        <v>0</v>
      </c>
      <c r="L138" s="16" t="str">
        <f>IFERROR(__xludf.DUMMYFUNCTION("if(regexmatch(B138,""e(.*)$""),regexextract(B138,""e(.*)$""),"""")"),"")</f>
        <v/>
      </c>
      <c r="M138" s="18"/>
      <c r="N138" s="18">
        <f>countif(ConstantsUnits!C:C,F138)</f>
        <v>1</v>
      </c>
      <c r="O138" s="16" t="str">
        <f>VLOOKUP($A138,ConstantsUnits!$A:$A,1,false)</f>
        <v>helion g factor</v>
      </c>
    </row>
    <row r="139">
      <c r="A139" s="1" t="s">
        <v>524</v>
      </c>
      <c r="B139" s="1" t="s">
        <v>1408</v>
      </c>
      <c r="C139" s="1" t="s">
        <v>1409</v>
      </c>
      <c r="D139" s="1" t="s">
        <v>165</v>
      </c>
      <c r="E139" s="15"/>
      <c r="F139" s="16" t="str">
        <f>VLOOKUP($A139,ConstantsUnits!$A:$C,3,false)</f>
        <v>HelionMag.Mom.</v>
      </c>
      <c r="G139" s="17" t="str">
        <f t="shared" si="1"/>
        <v>-1.074617532e-26</v>
      </c>
      <c r="H139" s="17">
        <f t="shared" si="2"/>
        <v>0</v>
      </c>
      <c r="I139" s="17" t="str">
        <f t="shared" si="3"/>
        <v>0.000000013e-26</v>
      </c>
      <c r="J139" s="17">
        <f t="shared" si="4"/>
        <v>0</v>
      </c>
      <c r="K139" s="17" t="b">
        <f t="shared" si="5"/>
        <v>0</v>
      </c>
      <c r="L139" s="16" t="str">
        <f>IFERROR(__xludf.DUMMYFUNCTION("if(regexmatch(B139,""e(.*)$""),regexextract(B139,""e(.*)$""),"""")"),"-26")</f>
        <v>-26</v>
      </c>
      <c r="M139" s="18"/>
      <c r="N139" s="18">
        <f>countif(ConstantsUnits!C:C,F139)</f>
        <v>1</v>
      </c>
      <c r="O139" s="16" t="str">
        <f>VLOOKUP($A139,ConstantsUnits!$A:$A,1,false)</f>
        <v>helion mag. mom.</v>
      </c>
    </row>
    <row r="140">
      <c r="A140" s="1" t="s">
        <v>526</v>
      </c>
      <c r="B140" s="1" t="s">
        <v>1410</v>
      </c>
      <c r="C140" s="1" t="s">
        <v>1411</v>
      </c>
      <c r="E140" s="15"/>
      <c r="F140" s="16" t="str">
        <f>VLOOKUP($A140,ConstantsUnits!$A:$C,3,false)</f>
        <v>HelionMag.Mom.ToBohrMagnetonRatio</v>
      </c>
      <c r="G140" s="17" t="str">
        <f t="shared" si="1"/>
        <v>-1.158740958e-3</v>
      </c>
      <c r="H140" s="17">
        <f t="shared" si="2"/>
        <v>-0.001158740958</v>
      </c>
      <c r="I140" s="17" t="str">
        <f t="shared" si="3"/>
        <v>0.000000014e-3</v>
      </c>
      <c r="J140" s="17">
        <f t="shared" si="4"/>
        <v>0</v>
      </c>
      <c r="K140" s="17" t="b">
        <f t="shared" si="5"/>
        <v>0</v>
      </c>
      <c r="L140" s="16" t="str">
        <f>IFERROR(__xludf.DUMMYFUNCTION("if(regexmatch(B140,""e(.*)$""),regexextract(B140,""e(.*)$""),"""")"),"-3")</f>
        <v>-3</v>
      </c>
      <c r="M140" s="18"/>
      <c r="N140" s="18">
        <f>countif(ConstantsUnits!C:C,F140)</f>
        <v>1</v>
      </c>
      <c r="O140" s="16" t="str">
        <f>VLOOKUP($A140,ConstantsUnits!$A:$A,1,false)</f>
        <v>helion mag. mom. to Bohr magneton ratio</v>
      </c>
    </row>
    <row r="141">
      <c r="A141" s="1" t="s">
        <v>528</v>
      </c>
      <c r="B141" s="1" t="s">
        <v>1412</v>
      </c>
      <c r="C141" s="1" t="s">
        <v>1413</v>
      </c>
      <c r="E141" s="15"/>
      <c r="F141" s="16" t="str">
        <f>VLOOKUP($A141,ConstantsUnits!$A:$C,3,false)</f>
        <v>HelionMag.Mom.ToNuclearMagnetonRatio</v>
      </c>
      <c r="G141" s="17" t="str">
        <f t="shared" si="1"/>
        <v>-2.127625307</v>
      </c>
      <c r="H141" s="17">
        <f t="shared" si="2"/>
        <v>-2.127625307</v>
      </c>
      <c r="I141" s="17" t="str">
        <f t="shared" si="3"/>
        <v>0.000000025</v>
      </c>
      <c r="J141" s="17">
        <f t="shared" si="4"/>
        <v>0.000000025</v>
      </c>
      <c r="K141" s="17" t="b">
        <f t="shared" si="5"/>
        <v>0</v>
      </c>
      <c r="L141" s="16" t="str">
        <f>IFERROR(__xludf.DUMMYFUNCTION("if(regexmatch(B141,""e(.*)$""),regexextract(B141,""e(.*)$""),"""")"),"")</f>
        <v/>
      </c>
      <c r="M141" s="18"/>
      <c r="N141" s="18">
        <f>countif(ConstantsUnits!C:C,F141)</f>
        <v>1</v>
      </c>
      <c r="O141" s="16" t="str">
        <f>VLOOKUP($A141,ConstantsUnits!$A:$A,1,false)</f>
        <v>helion mag. mom. to nuclear magneton ratio</v>
      </c>
    </row>
    <row r="142">
      <c r="A142" s="1" t="s">
        <v>530</v>
      </c>
      <c r="B142" s="1" t="s">
        <v>1414</v>
      </c>
      <c r="C142" s="1" t="s">
        <v>1415</v>
      </c>
      <c r="D142" s="1" t="s">
        <v>38</v>
      </c>
      <c r="E142" s="15"/>
      <c r="F142" s="16" t="str">
        <f>VLOOKUP($A142,ConstantsUnits!$A:$C,3,false)</f>
        <v>HelionMass</v>
      </c>
      <c r="G142" s="17" t="str">
        <f t="shared" si="1"/>
        <v>5.0064127796e-27</v>
      </c>
      <c r="H142" s="17">
        <f t="shared" si="2"/>
        <v>0</v>
      </c>
      <c r="I142" s="17" t="str">
        <f t="shared" si="3"/>
        <v>0.0000000015e-27</v>
      </c>
      <c r="J142" s="17">
        <f t="shared" si="4"/>
        <v>0</v>
      </c>
      <c r="K142" s="17" t="b">
        <f t="shared" si="5"/>
        <v>0</v>
      </c>
      <c r="L142" s="16" t="str">
        <f>IFERROR(__xludf.DUMMYFUNCTION("if(regexmatch(B142,""e(.*)$""),regexextract(B142,""e(.*)$""),"""")"),"-27")</f>
        <v>-27</v>
      </c>
      <c r="M142" s="18"/>
      <c r="N142" s="18">
        <f>countif(ConstantsUnits!C:C,F142)</f>
        <v>1</v>
      </c>
      <c r="O142" s="16" t="str">
        <f>VLOOKUP($A142,ConstantsUnits!$A:$A,1,false)</f>
        <v>helion mass</v>
      </c>
    </row>
    <row r="143">
      <c r="A143" s="1" t="s">
        <v>533</v>
      </c>
      <c r="B143" s="1" t="s">
        <v>1416</v>
      </c>
      <c r="C143" s="1" t="s">
        <v>1417</v>
      </c>
      <c r="D143" s="1" t="s">
        <v>41</v>
      </c>
      <c r="E143" s="15"/>
      <c r="F143" s="16" t="str">
        <f>VLOOKUP($A143,ConstantsUnits!$A:$C,3,false)</f>
        <v>HelionMassEnergyEquivalent</v>
      </c>
      <c r="G143" s="17" t="str">
        <f t="shared" si="1"/>
        <v>4.4995394125e-10</v>
      </c>
      <c r="H143" s="17">
        <f t="shared" si="2"/>
        <v>0.0000000004499539413</v>
      </c>
      <c r="I143" s="17" t="str">
        <f t="shared" si="3"/>
        <v>0.0000000014e-10</v>
      </c>
      <c r="J143" s="17">
        <f t="shared" si="4"/>
        <v>0</v>
      </c>
      <c r="K143" s="17" t="b">
        <f t="shared" si="5"/>
        <v>0</v>
      </c>
      <c r="L143" s="16" t="str">
        <f>IFERROR(__xludf.DUMMYFUNCTION("if(regexmatch(B143,""e(.*)$""),regexextract(B143,""e(.*)$""),"""")"),"-10")</f>
        <v>-10</v>
      </c>
      <c r="M143" s="18"/>
      <c r="N143" s="18">
        <f>countif(ConstantsUnits!C:C,F143)</f>
        <v>1</v>
      </c>
      <c r="O143" s="16" t="str">
        <f>VLOOKUP($A143,ConstantsUnits!$A:$A,1,false)</f>
        <v>helion mass energy equivalent</v>
      </c>
    </row>
    <row r="144">
      <c r="A144" s="1" t="s">
        <v>536</v>
      </c>
      <c r="B144" s="1" t="s">
        <v>1418</v>
      </c>
      <c r="C144" s="1" t="s">
        <v>1419</v>
      </c>
      <c r="D144" s="1" t="s">
        <v>45</v>
      </c>
      <c r="E144" s="15"/>
      <c r="F144" s="16" t="str">
        <f>VLOOKUP($A144,ConstantsUnits!$A:$C,3,false)</f>
        <v>HelionMassEnergyEquivalentInMeV</v>
      </c>
      <c r="G144" s="17" t="str">
        <f t="shared" si="1"/>
        <v>2808.39160743</v>
      </c>
      <c r="H144" s="17">
        <f t="shared" si="2"/>
        <v>2808.391607</v>
      </c>
      <c r="I144" s="17" t="str">
        <f t="shared" si="3"/>
        <v>0.00000085</v>
      </c>
      <c r="J144" s="17">
        <f t="shared" si="4"/>
        <v>0.00000085</v>
      </c>
      <c r="K144" s="17" t="b">
        <f t="shared" si="5"/>
        <v>0</v>
      </c>
      <c r="L144" s="16" t="str">
        <f>IFERROR(__xludf.DUMMYFUNCTION("if(regexmatch(B144,""e(.*)$""),regexextract(B144,""e(.*)$""),"""")"),"")</f>
        <v/>
      </c>
      <c r="M144" s="18"/>
      <c r="N144" s="18">
        <f>countif(ConstantsUnits!C:C,F144)</f>
        <v>1</v>
      </c>
      <c r="O144" s="16" t="str">
        <f>VLOOKUP($A144,ConstantsUnits!$A:$A,1,false)</f>
        <v>helion mass energy equivalent in MeV</v>
      </c>
    </row>
    <row r="145">
      <c r="A145" s="1" t="s">
        <v>538</v>
      </c>
      <c r="B145" s="1" t="s">
        <v>1420</v>
      </c>
      <c r="C145" s="1" t="s">
        <v>1421</v>
      </c>
      <c r="D145" s="1" t="s">
        <v>48</v>
      </c>
      <c r="E145" s="15"/>
      <c r="F145" s="16" t="str">
        <f>VLOOKUP($A145,ConstantsUnits!$A:$C,3,false)</f>
        <v>HelionMassInAtomicMassUnit</v>
      </c>
      <c r="G145" s="17" t="str">
        <f t="shared" si="1"/>
        <v>3.014932247175</v>
      </c>
      <c r="H145" s="17">
        <f t="shared" si="2"/>
        <v>3.014932247</v>
      </c>
      <c r="I145" s="17" t="str">
        <f t="shared" si="3"/>
        <v>0.000000000097</v>
      </c>
      <c r="J145" s="17">
        <f t="shared" si="4"/>
        <v>0</v>
      </c>
      <c r="K145" s="17" t="b">
        <f t="shared" si="5"/>
        <v>0</v>
      </c>
      <c r="L145" s="16" t="str">
        <f>IFERROR(__xludf.DUMMYFUNCTION("if(regexmatch(B145,""e(.*)$""),regexextract(B145,""e(.*)$""),"""")"),"")</f>
        <v/>
      </c>
      <c r="M145" s="18"/>
      <c r="N145" s="18">
        <f>countif(ConstantsUnits!C:C,F145)</f>
        <v>1</v>
      </c>
      <c r="O145" s="16" t="str">
        <f>VLOOKUP($A145,ConstantsUnits!$A:$A,1,false)</f>
        <v>helion mass in u</v>
      </c>
    </row>
    <row r="146">
      <c r="A146" s="1" t="s">
        <v>541</v>
      </c>
      <c r="B146" s="1" t="s">
        <v>1422</v>
      </c>
      <c r="C146" s="1" t="s">
        <v>1423</v>
      </c>
      <c r="D146" s="1" t="s">
        <v>51</v>
      </c>
      <c r="E146" s="15"/>
      <c r="F146" s="16" t="str">
        <f>VLOOKUP($A146,ConstantsUnits!$A:$C,3,false)</f>
        <v>HelionMolarMass</v>
      </c>
      <c r="G146" s="17" t="str">
        <f t="shared" si="1"/>
        <v>3.01493224613e-3</v>
      </c>
      <c r="H146" s="17">
        <f t="shared" si="2"/>
        <v>0.003014932246</v>
      </c>
      <c r="I146" s="17" t="str">
        <f t="shared" si="3"/>
        <v>0.00000000091e-3</v>
      </c>
      <c r="J146" s="17">
        <f t="shared" si="4"/>
        <v>0</v>
      </c>
      <c r="K146" s="17" t="b">
        <f t="shared" si="5"/>
        <v>0</v>
      </c>
      <c r="L146" s="16" t="str">
        <f>IFERROR(__xludf.DUMMYFUNCTION("if(regexmatch(B146,""e(.*)$""),regexextract(B146,""e(.*)$""),"""")"),"-3")</f>
        <v>-3</v>
      </c>
      <c r="M146" s="18"/>
      <c r="N146" s="18">
        <f>countif(ConstantsUnits!C:C,F146)</f>
        <v>1</v>
      </c>
      <c r="O146" s="16" t="str">
        <f>VLOOKUP($A146,ConstantsUnits!$A:$A,1,false)</f>
        <v>helion molar mass</v>
      </c>
    </row>
    <row r="147">
      <c r="A147" s="1" t="s">
        <v>544</v>
      </c>
      <c r="B147" s="1" t="s">
        <v>1424</v>
      </c>
      <c r="C147" s="1" t="s">
        <v>1425</v>
      </c>
      <c r="E147" s="15"/>
      <c r="F147" s="16" t="str">
        <f>VLOOKUP($A147,ConstantsUnits!$A:$C,3,false)</f>
        <v>HelionProtonMassRatio</v>
      </c>
      <c r="G147" s="17" t="str">
        <f t="shared" si="1"/>
        <v>2.99315267167</v>
      </c>
      <c r="H147" s="17">
        <f t="shared" si="2"/>
        <v>2.993152672</v>
      </c>
      <c r="I147" s="17" t="str">
        <f t="shared" si="3"/>
        <v>0.00000000013</v>
      </c>
      <c r="J147" s="17">
        <f t="shared" si="4"/>
        <v>0.00000000013</v>
      </c>
      <c r="K147" s="17" t="b">
        <f t="shared" si="5"/>
        <v>0</v>
      </c>
      <c r="L147" s="16" t="str">
        <f>IFERROR(__xludf.DUMMYFUNCTION("if(regexmatch(B147,""e(.*)$""),regexextract(B147,""e(.*)$""),"""")"),"")</f>
        <v/>
      </c>
      <c r="M147" s="18"/>
      <c r="N147" s="18">
        <f>countif(ConstantsUnits!C:C,F147)</f>
        <v>1</v>
      </c>
      <c r="O147" s="16" t="str">
        <f>VLOOKUP($A147,ConstantsUnits!$A:$A,1,false)</f>
        <v>helion-proton mass ratio</v>
      </c>
    </row>
    <row r="148">
      <c r="A148" s="1" t="s">
        <v>547</v>
      </c>
      <c r="B148" s="1" t="s">
        <v>1420</v>
      </c>
      <c r="C148" s="1" t="s">
        <v>1421</v>
      </c>
      <c r="E148" s="15"/>
      <c r="F148" s="16" t="str">
        <f>VLOOKUP($A148,ConstantsUnits!$A:$C,3,false)</f>
        <v>HelionRelativeAtomicMass</v>
      </c>
      <c r="G148" s="17" t="str">
        <f t="shared" si="1"/>
        <v>3.014932247175</v>
      </c>
      <c r="H148" s="17">
        <f t="shared" si="2"/>
        <v>3.014932247</v>
      </c>
      <c r="I148" s="17" t="str">
        <f t="shared" si="3"/>
        <v>0.000000000097</v>
      </c>
      <c r="J148" s="17">
        <f t="shared" si="4"/>
        <v>0</v>
      </c>
      <c r="K148" s="17" t="b">
        <f t="shared" si="5"/>
        <v>0</v>
      </c>
      <c r="L148" s="16" t="str">
        <f>IFERROR(__xludf.DUMMYFUNCTION("if(regexmatch(B148,""e(.*)$""),regexextract(B148,""e(.*)$""),"""")"),"")</f>
        <v/>
      </c>
      <c r="M148" s="18"/>
      <c r="N148" s="18">
        <f>countif(ConstantsUnits!C:C,F148)</f>
        <v>1</v>
      </c>
      <c r="O148" s="16" t="str">
        <f>VLOOKUP($A148,ConstantsUnits!$A:$A,1,false)</f>
        <v>helion relative atomic mass</v>
      </c>
    </row>
    <row r="149">
      <c r="A149" s="1" t="s">
        <v>549</v>
      </c>
      <c r="B149" s="1" t="s">
        <v>1426</v>
      </c>
      <c r="C149" s="1" t="s">
        <v>1427</v>
      </c>
      <c r="E149" s="15"/>
      <c r="F149" s="16" t="str">
        <f>VLOOKUP($A149,ConstantsUnits!$A:$C,3,false)</f>
        <v>HelionShieldingShift</v>
      </c>
      <c r="G149" s="17" t="str">
        <f t="shared" si="1"/>
        <v>5.996743e-5</v>
      </c>
      <c r="H149" s="17">
        <f t="shared" si="2"/>
        <v>0.00005996743</v>
      </c>
      <c r="I149" s="17" t="str">
        <f t="shared" si="3"/>
        <v>0.000010e-5</v>
      </c>
      <c r="J149" s="17">
        <f t="shared" si="4"/>
        <v>0.0000000001</v>
      </c>
      <c r="K149" s="17" t="b">
        <f t="shared" si="5"/>
        <v>0</v>
      </c>
      <c r="L149" s="16" t="str">
        <f>IFERROR(__xludf.DUMMYFUNCTION("if(regexmatch(B149,""e(.*)$""),regexextract(B149,""e(.*)$""),"""")"),"-5")</f>
        <v>-5</v>
      </c>
      <c r="M149" s="18"/>
      <c r="N149" s="18">
        <f>countif(ConstantsUnits!C:C,F149)</f>
        <v>1</v>
      </c>
      <c r="O149" s="16" t="str">
        <f>VLOOKUP($A149,ConstantsUnits!$A:$A,1,false)</f>
        <v>helion shielding shift</v>
      </c>
    </row>
    <row r="150">
      <c r="A150" s="1" t="s">
        <v>551</v>
      </c>
      <c r="B150" s="1" t="s">
        <v>1428</v>
      </c>
      <c r="C150" s="1" t="s">
        <v>1429</v>
      </c>
      <c r="D150" s="1" t="s">
        <v>48</v>
      </c>
      <c r="E150" s="15"/>
      <c r="F150" s="16" t="str">
        <f>VLOOKUP($A150,ConstantsUnits!$A:$C,3,false)</f>
        <v>HertzAtomicMassUnitRelationship</v>
      </c>
      <c r="G150" s="17" t="str">
        <f t="shared" si="1"/>
        <v>4.4398216652e-24</v>
      </c>
      <c r="H150" s="17">
        <f t="shared" si="2"/>
        <v>0</v>
      </c>
      <c r="I150" s="17" t="str">
        <f t="shared" si="3"/>
        <v>0.0000000013e-24</v>
      </c>
      <c r="J150" s="17">
        <f t="shared" si="4"/>
        <v>0</v>
      </c>
      <c r="K150" s="17" t="b">
        <f t="shared" si="5"/>
        <v>0</v>
      </c>
      <c r="L150" s="16" t="str">
        <f>IFERROR(__xludf.DUMMYFUNCTION("if(regexmatch(B150,""e(.*)$""),regexextract(B150,""e(.*)$""),"""")"),"-24")</f>
        <v>-24</v>
      </c>
      <c r="M150" s="18"/>
      <c r="N150" s="18">
        <f>countif(ConstantsUnits!C:C,F150)</f>
        <v>1</v>
      </c>
      <c r="O150" s="16" t="str">
        <f>VLOOKUP($A150,ConstantsUnits!$A:$A,1,false)</f>
        <v>hertz-atomic mass unit relationship</v>
      </c>
    </row>
    <row r="151">
      <c r="A151" s="1" t="s">
        <v>554</v>
      </c>
      <c r="B151" s="1" t="s">
        <v>1430</v>
      </c>
      <c r="C151" s="1" t="s">
        <v>1232</v>
      </c>
      <c r="D151" s="1" t="s">
        <v>70</v>
      </c>
      <c r="E151" s="15"/>
      <c r="F151" s="16" t="str">
        <f>VLOOKUP($A151,ConstantsUnits!$A:$C,3,false)</f>
        <v>HertzElectronVoltRelationship</v>
      </c>
      <c r="G151" s="17" t="str">
        <f t="shared" si="1"/>
        <v>4.135667696e-15</v>
      </c>
      <c r="H151" s="17">
        <f t="shared" si="2"/>
        <v>0</v>
      </c>
      <c r="I151" s="17" t="str">
        <f t="shared" si="3"/>
        <v>(exact)</v>
      </c>
      <c r="J151" s="17" t="str">
        <f t="shared" si="4"/>
        <v/>
      </c>
      <c r="K151" s="17" t="b">
        <f t="shared" si="5"/>
        <v>1</v>
      </c>
      <c r="L151" s="16" t="str">
        <f>IFERROR(__xludf.DUMMYFUNCTION("if(regexmatch(B151,""e(.*)$""),regexextract(B151,""e(.*)$""),"""")"),"-15")</f>
        <v>-15</v>
      </c>
      <c r="M151" s="18"/>
      <c r="N151" s="18">
        <f>countif(ConstantsUnits!C:C,F151)</f>
        <v>1</v>
      </c>
      <c r="O151" s="16" t="str">
        <f>VLOOKUP($A151,ConstantsUnits!$A:$A,1,false)</f>
        <v>hertz-electron volt relationship</v>
      </c>
    </row>
    <row r="152">
      <c r="A152" s="1" t="s">
        <v>557</v>
      </c>
      <c r="B152" s="1" t="s">
        <v>1431</v>
      </c>
      <c r="C152" s="1" t="s">
        <v>1432</v>
      </c>
      <c r="D152" s="1" t="s">
        <v>74</v>
      </c>
      <c r="E152" s="15"/>
      <c r="F152" s="16" t="str">
        <f>VLOOKUP($A152,ConstantsUnits!$A:$C,3,false)</f>
        <v>HertzHartreeRelationship</v>
      </c>
      <c r="G152" s="17" t="str">
        <f t="shared" si="1"/>
        <v>1.5198298460570e-16</v>
      </c>
      <c r="H152" s="17">
        <f t="shared" si="2"/>
        <v>0</v>
      </c>
      <c r="I152" s="17" t="str">
        <f t="shared" si="3"/>
        <v>0.0000000000029e-16</v>
      </c>
      <c r="J152" s="17">
        <f t="shared" si="4"/>
        <v>0</v>
      </c>
      <c r="K152" s="17" t="b">
        <f t="shared" si="5"/>
        <v>0</v>
      </c>
      <c r="L152" s="16" t="str">
        <f>IFERROR(__xludf.DUMMYFUNCTION("if(regexmatch(B152,""e(.*)$""),regexextract(B152,""e(.*)$""),"""")"),"-16")</f>
        <v>-16</v>
      </c>
      <c r="M152" s="18"/>
      <c r="N152" s="18">
        <f>countif(ConstantsUnits!C:C,F152)</f>
        <v>1</v>
      </c>
      <c r="O152" s="16" t="str">
        <f>VLOOKUP($A152,ConstantsUnits!$A:$A,1,false)</f>
        <v>hertz-hartree relationship</v>
      </c>
    </row>
    <row r="153">
      <c r="A153" s="1" t="s">
        <v>560</v>
      </c>
      <c r="B153" s="1" t="s">
        <v>1433</v>
      </c>
      <c r="C153" s="1" t="s">
        <v>1232</v>
      </c>
      <c r="D153" s="1" t="s">
        <v>83</v>
      </c>
      <c r="E153" s="15"/>
      <c r="F153" s="16" t="str">
        <f>VLOOKUP($A153,ConstantsUnits!$A:$C,3,false)</f>
        <v>HertzInverseMeterRelationship</v>
      </c>
      <c r="G153" s="17" t="str">
        <f t="shared" si="1"/>
        <v>3.335640951e-9</v>
      </c>
      <c r="H153" s="17">
        <f t="shared" si="2"/>
        <v>0.000000003335640951</v>
      </c>
      <c r="I153" s="17" t="str">
        <f t="shared" si="3"/>
        <v>(exact)</v>
      </c>
      <c r="J153" s="17" t="str">
        <f t="shared" si="4"/>
        <v/>
      </c>
      <c r="K153" s="17" t="b">
        <f t="shared" si="5"/>
        <v>1</v>
      </c>
      <c r="L153" s="16" t="str">
        <f>IFERROR(__xludf.DUMMYFUNCTION("if(regexmatch(B153,""e(.*)$""),regexextract(B153,""e(.*)$""),"""")"),"-9")</f>
        <v>-9</v>
      </c>
      <c r="M153" s="18"/>
      <c r="N153" s="18">
        <f>countif(ConstantsUnits!C:C,F153)</f>
        <v>1</v>
      </c>
      <c r="O153" s="16" t="str">
        <f>VLOOKUP($A153,ConstantsUnits!$A:$A,1,false)</f>
        <v>hertz-inverse meter relationship</v>
      </c>
    </row>
    <row r="154">
      <c r="A154" s="1" t="s">
        <v>563</v>
      </c>
      <c r="B154" s="1" t="s">
        <v>1434</v>
      </c>
      <c r="C154" s="1" t="s">
        <v>1232</v>
      </c>
      <c r="D154" s="1" t="s">
        <v>41</v>
      </c>
      <c r="E154" s="15"/>
      <c r="F154" s="16" t="str">
        <f>VLOOKUP($A154,ConstantsUnits!$A:$C,3,false)</f>
        <v>HertzJouleRelationship</v>
      </c>
      <c r="G154" s="17" t="str">
        <f t="shared" si="1"/>
        <v>6.62607015e-34</v>
      </c>
      <c r="H154" s="17">
        <f t="shared" si="2"/>
        <v>0</v>
      </c>
      <c r="I154" s="17" t="str">
        <f t="shared" si="3"/>
        <v>(exact)</v>
      </c>
      <c r="J154" s="17" t="str">
        <f t="shared" si="4"/>
        <v/>
      </c>
      <c r="K154" s="17" t="b">
        <f t="shared" si="5"/>
        <v>0</v>
      </c>
      <c r="L154" s="16" t="str">
        <f>IFERROR(__xludf.DUMMYFUNCTION("if(regexmatch(B154,""e(.*)$""),regexextract(B154,""e(.*)$""),"""")"),"-34")</f>
        <v>-34</v>
      </c>
      <c r="M154" s="18"/>
      <c r="N154" s="18">
        <f>countif(ConstantsUnits!C:C,F154)</f>
        <v>1</v>
      </c>
      <c r="O154" s="16" t="str">
        <f>VLOOKUP($A154,ConstantsUnits!$A:$A,1,false)</f>
        <v>hertz-joule relationship</v>
      </c>
    </row>
    <row r="155">
      <c r="A155" s="1" t="s">
        <v>566</v>
      </c>
      <c r="B155" s="1" t="s">
        <v>1435</v>
      </c>
      <c r="C155" s="1" t="s">
        <v>1232</v>
      </c>
      <c r="D155" s="1" t="s">
        <v>91</v>
      </c>
      <c r="E155" s="15"/>
      <c r="F155" s="16" t="str">
        <f>VLOOKUP($A155,ConstantsUnits!$A:$C,3,false)</f>
        <v>HertzKelvinRelationship</v>
      </c>
      <c r="G155" s="17" t="str">
        <f t="shared" si="1"/>
        <v>4.799243073e-11</v>
      </c>
      <c r="H155" s="17">
        <f t="shared" si="2"/>
        <v>0</v>
      </c>
      <c r="I155" s="17" t="str">
        <f t="shared" si="3"/>
        <v>(exact)</v>
      </c>
      <c r="J155" s="17" t="str">
        <f t="shared" si="4"/>
        <v/>
      </c>
      <c r="K155" s="17" t="b">
        <f t="shared" si="5"/>
        <v>1</v>
      </c>
      <c r="L155" s="16" t="str">
        <f>IFERROR(__xludf.DUMMYFUNCTION("if(regexmatch(B155,""e(.*)$""),regexextract(B155,""e(.*)$""),"""")"),"-11")</f>
        <v>-11</v>
      </c>
      <c r="M155" s="18"/>
      <c r="N155" s="18">
        <f>countif(ConstantsUnits!C:C,F155)</f>
        <v>1</v>
      </c>
      <c r="O155" s="16" t="str">
        <f>VLOOKUP($A155,ConstantsUnits!$A:$A,1,false)</f>
        <v>hertz-kelvin relationship</v>
      </c>
    </row>
    <row r="156">
      <c r="A156" s="1" t="s">
        <v>569</v>
      </c>
      <c r="B156" s="1" t="s">
        <v>1436</v>
      </c>
      <c r="C156" s="1" t="s">
        <v>1232</v>
      </c>
      <c r="D156" s="1" t="s">
        <v>38</v>
      </c>
      <c r="E156" s="15"/>
      <c r="F156" s="16" t="str">
        <f>VLOOKUP($A156,ConstantsUnits!$A:$C,3,false)</f>
        <v>HertzKilogramRelationship</v>
      </c>
      <c r="G156" s="17" t="str">
        <f t="shared" si="1"/>
        <v>7.372497323e-51</v>
      </c>
      <c r="H156" s="17">
        <f t="shared" si="2"/>
        <v>0</v>
      </c>
      <c r="I156" s="17" t="str">
        <f t="shared" si="3"/>
        <v>(exact)</v>
      </c>
      <c r="J156" s="17" t="str">
        <f t="shared" si="4"/>
        <v/>
      </c>
      <c r="K156" s="17" t="b">
        <f t="shared" si="5"/>
        <v>1</v>
      </c>
      <c r="L156" s="16" t="str">
        <f>IFERROR(__xludf.DUMMYFUNCTION("if(regexmatch(B156,""e(.*)$""),regexextract(B156,""e(.*)$""),"""")"),"-51")</f>
        <v>-51</v>
      </c>
      <c r="M156" s="18"/>
      <c r="N156" s="18">
        <f>countif(ConstantsUnits!C:C,F156)</f>
        <v>1</v>
      </c>
      <c r="O156" s="16" t="str">
        <f>VLOOKUP($A156,ConstantsUnits!$A:$A,1,false)</f>
        <v>hertz-kilogram relationship</v>
      </c>
    </row>
    <row r="157">
      <c r="A157" s="1" t="s">
        <v>572</v>
      </c>
      <c r="B157" s="1" t="s">
        <v>1437</v>
      </c>
      <c r="C157" s="1" t="s">
        <v>1232</v>
      </c>
      <c r="D157" s="1" t="s">
        <v>79</v>
      </c>
      <c r="E157" s="15"/>
      <c r="F157" s="16" t="str">
        <f>VLOOKUP($A157,ConstantsUnits!$A:$C,3,false)</f>
        <v>HyperfineTransitionFrequencyOfCs-133</v>
      </c>
      <c r="G157" s="17" t="str">
        <f t="shared" si="1"/>
        <v>9192631770</v>
      </c>
      <c r="H157" s="17">
        <f t="shared" si="2"/>
        <v>9192631770</v>
      </c>
      <c r="I157" s="17" t="str">
        <f t="shared" si="3"/>
        <v>(exact)</v>
      </c>
      <c r="J157" s="17" t="str">
        <f t="shared" si="4"/>
        <v/>
      </c>
      <c r="K157" s="17" t="b">
        <f t="shared" si="5"/>
        <v>0</v>
      </c>
      <c r="L157" s="16" t="str">
        <f>IFERROR(__xludf.DUMMYFUNCTION("if(regexmatch(B157,""e(.*)$""),regexextract(B157,""e(.*)$""),"""")"),"")</f>
        <v/>
      </c>
      <c r="M157" s="18"/>
      <c r="N157" s="18">
        <f>countif(ConstantsUnits!C:C,F157)</f>
        <v>1</v>
      </c>
      <c r="O157" s="16" t="str">
        <f>VLOOKUP($A157,ConstantsUnits!$A:$A,1,false)</f>
        <v>hyperfine transition frequency of Cs-133</v>
      </c>
    </row>
    <row r="158">
      <c r="A158" s="1" t="s">
        <v>574</v>
      </c>
      <c r="B158" s="1" t="s">
        <v>1438</v>
      </c>
      <c r="C158" s="1" t="s">
        <v>1439</v>
      </c>
      <c r="E158" s="15"/>
      <c r="F158" s="16" t="str">
        <f>VLOOKUP($A158,ConstantsUnits!$A:$C,3,false)</f>
        <v>InverseFineStructureConstant</v>
      </c>
      <c r="G158" s="17" t="str">
        <f t="shared" si="1"/>
        <v>137.035999084</v>
      </c>
      <c r="H158" s="17">
        <f t="shared" si="2"/>
        <v>137.0359991</v>
      </c>
      <c r="I158" s="17" t="str">
        <f t="shared" si="3"/>
        <v>0.000000021</v>
      </c>
      <c r="J158" s="17">
        <f t="shared" si="4"/>
        <v>0.000000021</v>
      </c>
      <c r="K158" s="17" t="b">
        <f t="shared" si="5"/>
        <v>0</v>
      </c>
      <c r="L158" s="16" t="str">
        <f>IFERROR(__xludf.DUMMYFUNCTION("if(regexmatch(B158,""e(.*)$""),regexextract(B158,""e(.*)$""),"""")"),"")</f>
        <v/>
      </c>
      <c r="M158" s="18"/>
      <c r="N158" s="18">
        <f>countif(ConstantsUnits!C:C,F158)</f>
        <v>1</v>
      </c>
      <c r="O158" s="16" t="str">
        <f>VLOOKUP($A158,ConstantsUnits!$A:$A,1,false)</f>
        <v>inverse fine-structure constant</v>
      </c>
    </row>
    <row r="159">
      <c r="A159" s="1" t="s">
        <v>577</v>
      </c>
      <c r="B159" s="1" t="s">
        <v>1440</v>
      </c>
      <c r="C159" s="1" t="s">
        <v>1441</v>
      </c>
      <c r="D159" s="1" t="s">
        <v>48</v>
      </c>
      <c r="E159" s="15"/>
      <c r="F159" s="16" t="str">
        <f>VLOOKUP($A159,ConstantsUnits!$A:$C,3,false)</f>
        <v>InverseMeterAtomicMassUnitRelationship</v>
      </c>
      <c r="G159" s="17" t="str">
        <f t="shared" si="1"/>
        <v>1.33102505010e-15</v>
      </c>
      <c r="H159" s="17">
        <f t="shared" si="2"/>
        <v>0</v>
      </c>
      <c r="I159" s="17" t="str">
        <f t="shared" si="3"/>
        <v>0.00000000040e-15</v>
      </c>
      <c r="J159" s="17">
        <f t="shared" si="4"/>
        <v>0</v>
      </c>
      <c r="K159" s="17" t="b">
        <f t="shared" si="5"/>
        <v>0</v>
      </c>
      <c r="L159" s="16" t="str">
        <f>IFERROR(__xludf.DUMMYFUNCTION("if(regexmatch(B159,""e(.*)$""),regexextract(B159,""e(.*)$""),"""")"),"-15")</f>
        <v>-15</v>
      </c>
      <c r="M159" s="18"/>
      <c r="N159" s="18">
        <f>countif(ConstantsUnits!C:C,F159)</f>
        <v>1</v>
      </c>
      <c r="O159" s="16" t="str">
        <f>VLOOKUP($A159,ConstantsUnits!$A:$A,1,false)</f>
        <v>inverse meter-atomic mass unit relationship</v>
      </c>
    </row>
    <row r="160">
      <c r="A160" s="1" t="s">
        <v>580</v>
      </c>
      <c r="B160" s="1" t="s">
        <v>1442</v>
      </c>
      <c r="C160" s="1" t="s">
        <v>1232</v>
      </c>
      <c r="D160" s="1" t="s">
        <v>70</v>
      </c>
      <c r="E160" s="15"/>
      <c r="F160" s="16" t="str">
        <f>VLOOKUP($A160,ConstantsUnits!$A:$C,3,false)</f>
        <v>InverseMeterElectronVoltRelationship</v>
      </c>
      <c r="G160" s="17" t="str">
        <f t="shared" si="1"/>
        <v>1.239841984e-6</v>
      </c>
      <c r="H160" s="17">
        <f t="shared" si="2"/>
        <v>0.000001239841984</v>
      </c>
      <c r="I160" s="17" t="str">
        <f t="shared" si="3"/>
        <v>(exact)</v>
      </c>
      <c r="J160" s="17" t="str">
        <f t="shared" si="4"/>
        <v/>
      </c>
      <c r="K160" s="17" t="b">
        <f t="shared" si="5"/>
        <v>1</v>
      </c>
      <c r="L160" s="16" t="str">
        <f>IFERROR(__xludf.DUMMYFUNCTION("if(regexmatch(B160,""e(.*)$""),regexextract(B160,""e(.*)$""),"""")"),"-6")</f>
        <v>-6</v>
      </c>
      <c r="M160" s="18"/>
      <c r="N160" s="18">
        <f>countif(ConstantsUnits!C:C,F160)</f>
        <v>1</v>
      </c>
      <c r="O160" s="16" t="str">
        <f>VLOOKUP($A160,ConstantsUnits!$A:$A,1,false)</f>
        <v>inverse meter-electron volt relationship</v>
      </c>
    </row>
    <row r="161">
      <c r="A161" s="1" t="s">
        <v>583</v>
      </c>
      <c r="B161" s="1" t="s">
        <v>1443</v>
      </c>
      <c r="C161" s="1" t="s">
        <v>1444</v>
      </c>
      <c r="D161" s="1" t="s">
        <v>74</v>
      </c>
      <c r="E161" s="15"/>
      <c r="F161" s="16" t="str">
        <f>VLOOKUP($A161,ConstantsUnits!$A:$C,3,false)</f>
        <v>InverseMeterHartreeRelationship</v>
      </c>
      <c r="G161" s="17" t="str">
        <f t="shared" si="1"/>
        <v>4.5563352529120e-8</v>
      </c>
      <c r="H161" s="17">
        <f t="shared" si="2"/>
        <v>0.00000004556335253</v>
      </c>
      <c r="I161" s="17" t="str">
        <f t="shared" si="3"/>
        <v>0.0000000000088e-8</v>
      </c>
      <c r="J161" s="17">
        <f t="shared" si="4"/>
        <v>0</v>
      </c>
      <c r="K161" s="17" t="b">
        <f t="shared" si="5"/>
        <v>0</v>
      </c>
      <c r="L161" s="16" t="str">
        <f>IFERROR(__xludf.DUMMYFUNCTION("if(regexmatch(B161,""e(.*)$""),regexextract(B161,""e(.*)$""),"""")"),"-8")</f>
        <v>-8</v>
      </c>
      <c r="M161" s="18"/>
      <c r="N161" s="18">
        <f>countif(ConstantsUnits!C:C,F161)</f>
        <v>1</v>
      </c>
      <c r="O161" s="16" t="str">
        <f>VLOOKUP($A161,ConstantsUnits!$A:$A,1,false)</f>
        <v>inverse meter-hartree relationship</v>
      </c>
    </row>
    <row r="162">
      <c r="A162" s="1" t="s">
        <v>586</v>
      </c>
      <c r="B162" s="1" t="s">
        <v>1445</v>
      </c>
      <c r="C162" s="1" t="s">
        <v>1232</v>
      </c>
      <c r="D162" s="1" t="s">
        <v>79</v>
      </c>
      <c r="E162" s="15"/>
      <c r="F162" s="16" t="str">
        <f>VLOOKUP($A162,ConstantsUnits!$A:$C,3,false)</f>
        <v>InverseMeterHertzRelationship</v>
      </c>
      <c r="G162" s="17" t="str">
        <f t="shared" si="1"/>
        <v>299792458</v>
      </c>
      <c r="H162" s="17">
        <f t="shared" si="2"/>
        <v>299792458</v>
      </c>
      <c r="I162" s="17" t="str">
        <f t="shared" si="3"/>
        <v>(exact)</v>
      </c>
      <c r="J162" s="17" t="str">
        <f t="shared" si="4"/>
        <v/>
      </c>
      <c r="K162" s="17" t="b">
        <f t="shared" si="5"/>
        <v>0</v>
      </c>
      <c r="L162" s="16" t="str">
        <f>IFERROR(__xludf.DUMMYFUNCTION("if(regexmatch(B162,""e(.*)$""),regexextract(B162,""e(.*)$""),"""")"),"")</f>
        <v/>
      </c>
      <c r="M162" s="18"/>
      <c r="N162" s="18">
        <f>countif(ConstantsUnits!C:C,F162)</f>
        <v>1</v>
      </c>
      <c r="O162" s="16" t="str">
        <f>VLOOKUP($A162,ConstantsUnits!$A:$A,1,false)</f>
        <v>inverse meter-hertz relationship</v>
      </c>
    </row>
    <row r="163">
      <c r="A163" s="1" t="s">
        <v>589</v>
      </c>
      <c r="B163" s="1" t="s">
        <v>1446</v>
      </c>
      <c r="C163" s="1" t="s">
        <v>1232</v>
      </c>
      <c r="D163" s="1" t="s">
        <v>41</v>
      </c>
      <c r="E163" s="15"/>
      <c r="F163" s="16" t="str">
        <f>VLOOKUP($A163,ConstantsUnits!$A:$C,3,false)</f>
        <v>InverseMeterJouleRelationship</v>
      </c>
      <c r="G163" s="17" t="str">
        <f t="shared" si="1"/>
        <v>1.986445857e-25</v>
      </c>
      <c r="H163" s="17">
        <f t="shared" si="2"/>
        <v>0</v>
      </c>
      <c r="I163" s="17" t="str">
        <f t="shared" si="3"/>
        <v>(exact)</v>
      </c>
      <c r="J163" s="17" t="str">
        <f t="shared" si="4"/>
        <v/>
      </c>
      <c r="K163" s="17" t="b">
        <f t="shared" si="5"/>
        <v>1</v>
      </c>
      <c r="L163" s="16" t="str">
        <f>IFERROR(__xludf.DUMMYFUNCTION("if(regexmatch(B163,""e(.*)$""),regexextract(B163,""e(.*)$""),"""")"),"-25")</f>
        <v>-25</v>
      </c>
      <c r="M163" s="18"/>
      <c r="N163" s="18">
        <f>countif(ConstantsUnits!C:C,F163)</f>
        <v>1</v>
      </c>
      <c r="O163" s="16" t="str">
        <f>VLOOKUP($A163,ConstantsUnits!$A:$A,1,false)</f>
        <v>inverse meter-joule relationship</v>
      </c>
    </row>
    <row r="164">
      <c r="A164" s="1" t="s">
        <v>592</v>
      </c>
      <c r="B164" s="1" t="s">
        <v>1447</v>
      </c>
      <c r="C164" s="1" t="s">
        <v>1232</v>
      </c>
      <c r="D164" s="1" t="s">
        <v>91</v>
      </c>
      <c r="E164" s="15"/>
      <c r="F164" s="16" t="str">
        <f>VLOOKUP($A164,ConstantsUnits!$A:$C,3,false)</f>
        <v>InverseMeterKelvinRelationship</v>
      </c>
      <c r="G164" s="17" t="str">
        <f t="shared" si="1"/>
        <v>1.438776877e-2</v>
      </c>
      <c r="H164" s="17">
        <f t="shared" si="2"/>
        <v>0.01438776877</v>
      </c>
      <c r="I164" s="17" t="str">
        <f t="shared" si="3"/>
        <v>(exact)</v>
      </c>
      <c r="J164" s="17" t="str">
        <f t="shared" si="4"/>
        <v/>
      </c>
      <c r="K164" s="17" t="b">
        <f t="shared" si="5"/>
        <v>1</v>
      </c>
      <c r="L164" s="16" t="str">
        <f>IFERROR(__xludf.DUMMYFUNCTION("if(regexmatch(B164,""e(.*)$""),regexextract(B164,""e(.*)$""),"""")"),"-2")</f>
        <v>-2</v>
      </c>
      <c r="M164" s="18"/>
      <c r="N164" s="18">
        <f>countif(ConstantsUnits!C:C,F164)</f>
        <v>1</v>
      </c>
      <c r="O164" s="16" t="str">
        <f>VLOOKUP($A164,ConstantsUnits!$A:$A,1,false)</f>
        <v>inverse meter-kelvin relationship</v>
      </c>
    </row>
    <row r="165">
      <c r="A165" s="1" t="s">
        <v>595</v>
      </c>
      <c r="B165" s="1" t="s">
        <v>1448</v>
      </c>
      <c r="C165" s="1" t="s">
        <v>1232</v>
      </c>
      <c r="D165" s="1" t="s">
        <v>38</v>
      </c>
      <c r="E165" s="15"/>
      <c r="F165" s="16" t="str">
        <f>VLOOKUP($A165,ConstantsUnits!$A:$C,3,false)</f>
        <v>InverseMeterKilogramRelationship</v>
      </c>
      <c r="G165" s="17" t="str">
        <f t="shared" si="1"/>
        <v>2.210219094e-42</v>
      </c>
      <c r="H165" s="17">
        <f t="shared" si="2"/>
        <v>0</v>
      </c>
      <c r="I165" s="17" t="str">
        <f t="shared" si="3"/>
        <v>(exact)</v>
      </c>
      <c r="J165" s="17" t="str">
        <f t="shared" si="4"/>
        <v/>
      </c>
      <c r="K165" s="17" t="b">
        <f t="shared" si="5"/>
        <v>1</v>
      </c>
      <c r="L165" s="16" t="str">
        <f>IFERROR(__xludf.DUMMYFUNCTION("if(regexmatch(B165,""e(.*)$""),regexextract(B165,""e(.*)$""),"""")"),"-42")</f>
        <v>-42</v>
      </c>
      <c r="M165" s="18"/>
      <c r="N165" s="18">
        <f>countif(ConstantsUnits!C:C,F165)</f>
        <v>1</v>
      </c>
      <c r="O165" s="16" t="str">
        <f>VLOOKUP($A165,ConstantsUnits!$A:$A,1,false)</f>
        <v>inverse meter-kilogram relationship</v>
      </c>
    </row>
    <row r="166">
      <c r="A166" s="1" t="s">
        <v>598</v>
      </c>
      <c r="B166" s="1" t="s">
        <v>1449</v>
      </c>
      <c r="C166" s="1" t="s">
        <v>1232</v>
      </c>
      <c r="D166" s="1" t="s">
        <v>252</v>
      </c>
      <c r="E166" s="15"/>
      <c r="F166" s="16" t="str">
        <f>VLOOKUP($A166,ConstantsUnits!$A:$C,3,false)</f>
        <v>InverseOfConductanceQuantum</v>
      </c>
      <c r="G166" s="17" t="str">
        <f t="shared" si="1"/>
        <v>12906.40372</v>
      </c>
      <c r="H166" s="17">
        <f t="shared" si="2"/>
        <v>12906.40372</v>
      </c>
      <c r="I166" s="17" t="str">
        <f t="shared" si="3"/>
        <v>(exact)</v>
      </c>
      <c r="J166" s="17" t="str">
        <f t="shared" si="4"/>
        <v/>
      </c>
      <c r="K166" s="17" t="b">
        <f t="shared" si="5"/>
        <v>1</v>
      </c>
      <c r="L166" s="16" t="str">
        <f>IFERROR(__xludf.DUMMYFUNCTION("if(regexmatch(B166,""e(.*)$""),regexextract(B166,""e(.*)$""),"""")"),"")</f>
        <v/>
      </c>
      <c r="M166" s="18"/>
      <c r="N166" s="18">
        <f>countif(ConstantsUnits!C:C,F166)</f>
        <v>1</v>
      </c>
      <c r="O166" s="16" t="str">
        <f>VLOOKUP($A166,ConstantsUnits!$A:$A,1,false)</f>
        <v>inverse of conductance quantum</v>
      </c>
    </row>
    <row r="167">
      <c r="A167" s="1" t="s">
        <v>601</v>
      </c>
      <c r="B167" s="1" t="s">
        <v>1450</v>
      </c>
      <c r="C167" s="1" t="s">
        <v>1232</v>
      </c>
      <c r="D167" s="1" t="s">
        <v>280</v>
      </c>
      <c r="E167" s="15"/>
      <c r="F167" s="16" t="str">
        <f>VLOOKUP($A167,ConstantsUnits!$A:$C,3,false)</f>
        <v>JosephsonConstant</v>
      </c>
      <c r="G167" s="17" t="str">
        <f t="shared" si="1"/>
        <v>483597.8484e9</v>
      </c>
      <c r="H167" s="17">
        <f t="shared" si="2"/>
        <v>483597848400000</v>
      </c>
      <c r="I167" s="17" t="str">
        <f t="shared" si="3"/>
        <v>(exact)</v>
      </c>
      <c r="J167" s="17" t="str">
        <f t="shared" si="4"/>
        <v/>
      </c>
      <c r="K167" s="17" t="b">
        <f t="shared" si="5"/>
        <v>1</v>
      </c>
      <c r="L167" s="16" t="str">
        <f>IFERROR(__xludf.DUMMYFUNCTION("if(regexmatch(B167,""e(.*)$""),regexextract(B167,""e(.*)$""),"""")"),"9")</f>
        <v>9</v>
      </c>
      <c r="M167" s="18"/>
      <c r="N167" s="18">
        <f>countif(ConstantsUnits!C:C,F167)</f>
        <v>1</v>
      </c>
      <c r="O167" s="16" t="str">
        <f>VLOOKUP($A167,ConstantsUnits!$A:$A,1,false)</f>
        <v>Josephson constant</v>
      </c>
    </row>
    <row r="168">
      <c r="A168" s="1" t="s">
        <v>604</v>
      </c>
      <c r="B168" s="1" t="s">
        <v>1451</v>
      </c>
      <c r="C168" s="1" t="s">
        <v>1452</v>
      </c>
      <c r="D168" s="1" t="s">
        <v>48</v>
      </c>
      <c r="E168" s="15"/>
      <c r="F168" s="16" t="str">
        <f>VLOOKUP($A168,ConstantsUnits!$A:$C,3,false)</f>
        <v>JouleAtomicMassUnitRelationship</v>
      </c>
      <c r="G168" s="17" t="str">
        <f t="shared" si="1"/>
        <v>6.7005352565e9</v>
      </c>
      <c r="H168" s="17">
        <f t="shared" si="2"/>
        <v>6700535257</v>
      </c>
      <c r="I168" s="17" t="str">
        <f t="shared" si="3"/>
        <v>0.0000000020e9</v>
      </c>
      <c r="J168" s="17">
        <f t="shared" si="4"/>
        <v>2</v>
      </c>
      <c r="K168" s="17" t="b">
        <f t="shared" si="5"/>
        <v>0</v>
      </c>
      <c r="L168" s="16" t="str">
        <f>IFERROR(__xludf.DUMMYFUNCTION("if(regexmatch(B168,""e(.*)$""),regexextract(B168,""e(.*)$""),"""")"),"9")</f>
        <v>9</v>
      </c>
      <c r="M168" s="18"/>
      <c r="N168" s="18">
        <f>countif(ConstantsUnits!C:C,F168)</f>
        <v>1</v>
      </c>
      <c r="O168" s="16" t="str">
        <f>VLOOKUP($A168,ConstantsUnits!$A:$A,1,false)</f>
        <v>joule-atomic mass unit relationship</v>
      </c>
    </row>
    <row r="169">
      <c r="A169" s="1" t="s">
        <v>607</v>
      </c>
      <c r="B169" s="1" t="s">
        <v>1453</v>
      </c>
      <c r="C169" s="1" t="s">
        <v>1232</v>
      </c>
      <c r="D169" s="1" t="s">
        <v>70</v>
      </c>
      <c r="E169" s="15"/>
      <c r="F169" s="16" t="str">
        <f>VLOOKUP($A169,ConstantsUnits!$A:$C,3,false)</f>
        <v>JouleElectronVoltRelationship</v>
      </c>
      <c r="G169" s="17" t="str">
        <f t="shared" si="1"/>
        <v>6.241509074e18</v>
      </c>
      <c r="H169" s="17">
        <f t="shared" si="2"/>
        <v>6.24151E+18</v>
      </c>
      <c r="I169" s="17" t="str">
        <f t="shared" si="3"/>
        <v>(exact)</v>
      </c>
      <c r="J169" s="17" t="str">
        <f t="shared" si="4"/>
        <v/>
      </c>
      <c r="K169" s="17" t="b">
        <f t="shared" si="5"/>
        <v>1</v>
      </c>
      <c r="L169" s="16" t="str">
        <f>IFERROR(__xludf.DUMMYFUNCTION("if(regexmatch(B169,""e(.*)$""),regexextract(B169,""e(.*)$""),"""")"),"18")</f>
        <v>18</v>
      </c>
      <c r="M169" s="18"/>
      <c r="N169" s="18">
        <f>countif(ConstantsUnits!C:C,F169)</f>
        <v>1</v>
      </c>
      <c r="O169" s="16" t="str">
        <f>VLOOKUP($A169,ConstantsUnits!$A:$A,1,false)</f>
        <v>joule-electron volt relationship</v>
      </c>
    </row>
    <row r="170">
      <c r="A170" s="1" t="s">
        <v>610</v>
      </c>
      <c r="B170" s="1" t="s">
        <v>1454</v>
      </c>
      <c r="C170" s="1" t="s">
        <v>1455</v>
      </c>
      <c r="D170" s="1" t="s">
        <v>74</v>
      </c>
      <c r="E170" s="15"/>
      <c r="F170" s="16" t="str">
        <f>VLOOKUP($A170,ConstantsUnits!$A:$C,3,false)</f>
        <v>JouleHartreeRelationship</v>
      </c>
      <c r="G170" s="17" t="str">
        <f t="shared" si="1"/>
        <v>2.2937122783963e17</v>
      </c>
      <c r="H170" s="17">
        <f t="shared" si="2"/>
        <v>2.29371E+17</v>
      </c>
      <c r="I170" s="17" t="str">
        <f t="shared" si="3"/>
        <v>0.0000000000045e17</v>
      </c>
      <c r="J170" s="17">
        <f t="shared" si="4"/>
        <v>450000</v>
      </c>
      <c r="K170" s="17" t="b">
        <f t="shared" si="5"/>
        <v>0</v>
      </c>
      <c r="L170" s="16" t="str">
        <f>IFERROR(__xludf.DUMMYFUNCTION("if(regexmatch(B170,""e(.*)$""),regexextract(B170,""e(.*)$""),"""")"),"17")</f>
        <v>17</v>
      </c>
      <c r="M170" s="18"/>
      <c r="N170" s="18">
        <f>countif(ConstantsUnits!C:C,F170)</f>
        <v>1</v>
      </c>
      <c r="O170" s="16" t="str">
        <f>VLOOKUP($A170,ConstantsUnits!$A:$A,1,false)</f>
        <v>joule-hartree relationship</v>
      </c>
    </row>
    <row r="171">
      <c r="A171" s="1" t="s">
        <v>613</v>
      </c>
      <c r="B171" s="1" t="s">
        <v>1456</v>
      </c>
      <c r="C171" s="1" t="s">
        <v>1232</v>
      </c>
      <c r="D171" s="1" t="s">
        <v>79</v>
      </c>
      <c r="E171" s="15"/>
      <c r="F171" s="16" t="str">
        <f>VLOOKUP($A171,ConstantsUnits!$A:$C,3,false)</f>
        <v>JouleHertzRelationship</v>
      </c>
      <c r="G171" s="17" t="str">
        <f t="shared" si="1"/>
        <v>1.509190179e33</v>
      </c>
      <c r="H171" s="17">
        <f t="shared" si="2"/>
        <v>1.50919E+33</v>
      </c>
      <c r="I171" s="17" t="str">
        <f t="shared" si="3"/>
        <v>(exact)</v>
      </c>
      <c r="J171" s="17" t="str">
        <f t="shared" si="4"/>
        <v/>
      </c>
      <c r="K171" s="17" t="b">
        <f t="shared" si="5"/>
        <v>1</v>
      </c>
      <c r="L171" s="16" t="str">
        <f>IFERROR(__xludf.DUMMYFUNCTION("if(regexmatch(B171,""e(.*)$""),regexextract(B171,""e(.*)$""),"""")"),"33")</f>
        <v>33</v>
      </c>
      <c r="M171" s="18"/>
      <c r="N171" s="18">
        <f>countif(ConstantsUnits!C:C,F171)</f>
        <v>1</v>
      </c>
      <c r="O171" s="16" t="str">
        <f>VLOOKUP($A171,ConstantsUnits!$A:$A,1,false)</f>
        <v>joule-hertz relationship</v>
      </c>
    </row>
    <row r="172">
      <c r="A172" s="1" t="s">
        <v>616</v>
      </c>
      <c r="B172" s="1" t="s">
        <v>1457</v>
      </c>
      <c r="C172" s="1" t="s">
        <v>1232</v>
      </c>
      <c r="D172" s="1" t="s">
        <v>83</v>
      </c>
      <c r="E172" s="15"/>
      <c r="F172" s="16" t="str">
        <f>VLOOKUP($A172,ConstantsUnits!$A:$C,3,false)</f>
        <v>JouleInverseMeterRelationship</v>
      </c>
      <c r="G172" s="17" t="str">
        <f t="shared" si="1"/>
        <v>5.034116567e24</v>
      </c>
      <c r="H172" s="17">
        <f t="shared" si="2"/>
        <v>5.03412E+24</v>
      </c>
      <c r="I172" s="17" t="str">
        <f t="shared" si="3"/>
        <v>(exact)</v>
      </c>
      <c r="J172" s="17" t="str">
        <f t="shared" si="4"/>
        <v/>
      </c>
      <c r="K172" s="17" t="b">
        <f t="shared" si="5"/>
        <v>1</v>
      </c>
      <c r="L172" s="16" t="str">
        <f>IFERROR(__xludf.DUMMYFUNCTION("if(regexmatch(B172,""e(.*)$""),regexextract(B172,""e(.*)$""),"""")"),"24")</f>
        <v>24</v>
      </c>
      <c r="M172" s="18"/>
      <c r="N172" s="18">
        <f>countif(ConstantsUnits!C:C,F172)</f>
        <v>1</v>
      </c>
      <c r="O172" s="16" t="str">
        <f>VLOOKUP($A172,ConstantsUnits!$A:$A,1,false)</f>
        <v>joule-inverse meter relationship</v>
      </c>
    </row>
    <row r="173">
      <c r="A173" s="1" t="s">
        <v>619</v>
      </c>
      <c r="B173" s="1" t="s">
        <v>1458</v>
      </c>
      <c r="C173" s="1" t="s">
        <v>1232</v>
      </c>
      <c r="D173" s="1" t="s">
        <v>91</v>
      </c>
      <c r="E173" s="15"/>
      <c r="F173" s="16" t="str">
        <f>VLOOKUP($A173,ConstantsUnits!$A:$C,3,false)</f>
        <v>JouleKelvinRelationship</v>
      </c>
      <c r="G173" s="17" t="str">
        <f t="shared" si="1"/>
        <v>7.242970516e22</v>
      </c>
      <c r="H173" s="17">
        <f t="shared" si="2"/>
        <v>7.24297E+22</v>
      </c>
      <c r="I173" s="17" t="str">
        <f t="shared" si="3"/>
        <v>(exact)</v>
      </c>
      <c r="J173" s="17" t="str">
        <f t="shared" si="4"/>
        <v/>
      </c>
      <c r="K173" s="17" t="b">
        <f t="shared" si="5"/>
        <v>1</v>
      </c>
      <c r="L173" s="16" t="str">
        <f>IFERROR(__xludf.DUMMYFUNCTION("if(regexmatch(B173,""e(.*)$""),regexextract(B173,""e(.*)$""),"""")"),"22")</f>
        <v>22</v>
      </c>
      <c r="M173" s="18"/>
      <c r="N173" s="18">
        <f>countif(ConstantsUnits!C:C,F173)</f>
        <v>1</v>
      </c>
      <c r="O173" s="16" t="str">
        <f>VLOOKUP($A173,ConstantsUnits!$A:$A,1,false)</f>
        <v>joule-kelvin relationship</v>
      </c>
    </row>
    <row r="174">
      <c r="A174" s="1" t="s">
        <v>622</v>
      </c>
      <c r="B174" s="1" t="s">
        <v>1459</v>
      </c>
      <c r="C174" s="1" t="s">
        <v>1232</v>
      </c>
      <c r="D174" s="1" t="s">
        <v>38</v>
      </c>
      <c r="E174" s="15"/>
      <c r="F174" s="16" t="str">
        <f>VLOOKUP($A174,ConstantsUnits!$A:$C,3,false)</f>
        <v>JouleKilogramRelationship</v>
      </c>
      <c r="G174" s="17" t="str">
        <f t="shared" si="1"/>
        <v>1.112650056e-17</v>
      </c>
      <c r="H174" s="17">
        <f t="shared" si="2"/>
        <v>0</v>
      </c>
      <c r="I174" s="17" t="str">
        <f t="shared" si="3"/>
        <v>(exact)</v>
      </c>
      <c r="J174" s="17" t="str">
        <f t="shared" si="4"/>
        <v/>
      </c>
      <c r="K174" s="17" t="b">
        <f t="shared" si="5"/>
        <v>1</v>
      </c>
      <c r="L174" s="16" t="str">
        <f>IFERROR(__xludf.DUMMYFUNCTION("if(regexmatch(B174,""e(.*)$""),regexextract(B174,""e(.*)$""),"""")"),"-17")</f>
        <v>-17</v>
      </c>
      <c r="M174" s="18"/>
      <c r="N174" s="18">
        <f>countif(ConstantsUnits!C:C,F174)</f>
        <v>1</v>
      </c>
      <c r="O174" s="16" t="str">
        <f>VLOOKUP($A174,ConstantsUnits!$A:$A,1,false)</f>
        <v>joule-kilogram relationship</v>
      </c>
    </row>
    <row r="175">
      <c r="A175" s="1" t="s">
        <v>625</v>
      </c>
      <c r="B175" s="1" t="s">
        <v>1460</v>
      </c>
      <c r="C175" s="1" t="s">
        <v>1461</v>
      </c>
      <c r="D175" s="1" t="s">
        <v>48</v>
      </c>
      <c r="E175" s="15"/>
      <c r="F175" s="16" t="str">
        <f>VLOOKUP($A175,ConstantsUnits!$A:$C,3,false)</f>
        <v>KelvinAtomicMassUnitRelationship</v>
      </c>
      <c r="G175" s="17" t="str">
        <f t="shared" si="1"/>
        <v>9.2510873014e-14</v>
      </c>
      <c r="H175" s="17">
        <f t="shared" si="2"/>
        <v>0</v>
      </c>
      <c r="I175" s="17" t="str">
        <f t="shared" si="3"/>
        <v>0.0000000028e-14</v>
      </c>
      <c r="J175" s="17">
        <f t="shared" si="4"/>
        <v>0</v>
      </c>
      <c r="K175" s="17" t="b">
        <f t="shared" si="5"/>
        <v>0</v>
      </c>
      <c r="L175" s="16" t="str">
        <f>IFERROR(__xludf.DUMMYFUNCTION("if(regexmatch(B175,""e(.*)$""),regexextract(B175,""e(.*)$""),"""")"),"-14")</f>
        <v>-14</v>
      </c>
      <c r="M175" s="18"/>
      <c r="N175" s="18">
        <f>countif(ConstantsUnits!C:C,F175)</f>
        <v>1</v>
      </c>
      <c r="O175" s="16" t="str">
        <f>VLOOKUP($A175,ConstantsUnits!$A:$A,1,false)</f>
        <v>kelvin-atomic mass unit relationship</v>
      </c>
    </row>
    <row r="176">
      <c r="A176" s="1" t="s">
        <v>628</v>
      </c>
      <c r="B176" s="1" t="s">
        <v>1284</v>
      </c>
      <c r="C176" s="1" t="s">
        <v>1232</v>
      </c>
      <c r="D176" s="1" t="s">
        <v>70</v>
      </c>
      <c r="E176" s="15"/>
      <c r="F176" s="16" t="str">
        <f>VLOOKUP($A176,ConstantsUnits!$A:$C,3,false)</f>
        <v>KelvinElectronVoltRelationship</v>
      </c>
      <c r="G176" s="17" t="str">
        <f t="shared" si="1"/>
        <v>8.617333262e-5</v>
      </c>
      <c r="H176" s="17">
        <f t="shared" si="2"/>
        <v>0.00008617333262</v>
      </c>
      <c r="I176" s="17" t="str">
        <f t="shared" si="3"/>
        <v>(exact)</v>
      </c>
      <c r="J176" s="17" t="str">
        <f t="shared" si="4"/>
        <v/>
      </c>
      <c r="K176" s="17" t="b">
        <f t="shared" si="5"/>
        <v>1</v>
      </c>
      <c r="L176" s="16" t="str">
        <f>IFERROR(__xludf.DUMMYFUNCTION("if(regexmatch(B176,""e(.*)$""),regexextract(B176,""e(.*)$""),"""")"),"-5")</f>
        <v>-5</v>
      </c>
      <c r="M176" s="18"/>
      <c r="N176" s="18">
        <f>countif(ConstantsUnits!C:C,F176)</f>
        <v>1</v>
      </c>
      <c r="O176" s="16" t="str">
        <f>VLOOKUP($A176,ConstantsUnits!$A:$A,1,false)</f>
        <v>kelvin-electron volt relationship</v>
      </c>
    </row>
    <row r="177">
      <c r="A177" s="1" t="s">
        <v>631</v>
      </c>
      <c r="B177" s="1" t="s">
        <v>1462</v>
      </c>
      <c r="C177" s="1" t="s">
        <v>1463</v>
      </c>
      <c r="D177" s="1" t="s">
        <v>74</v>
      </c>
      <c r="E177" s="15"/>
      <c r="F177" s="16" t="str">
        <f>VLOOKUP($A177,ConstantsUnits!$A:$C,3,false)</f>
        <v>KelvinHartreeRelationship</v>
      </c>
      <c r="G177" s="17" t="str">
        <f t="shared" si="1"/>
        <v>3.1668115634556e-6</v>
      </c>
      <c r="H177" s="17">
        <f t="shared" si="2"/>
        <v>0.000003166811563</v>
      </c>
      <c r="I177" s="17" t="str">
        <f t="shared" si="3"/>
        <v>0.0000000000061e-6</v>
      </c>
      <c r="J177" s="17">
        <f t="shared" si="4"/>
        <v>0</v>
      </c>
      <c r="K177" s="17" t="b">
        <f t="shared" si="5"/>
        <v>0</v>
      </c>
      <c r="L177" s="16" t="str">
        <f>IFERROR(__xludf.DUMMYFUNCTION("if(regexmatch(B177,""e(.*)$""),regexextract(B177,""e(.*)$""),"""")"),"-6")</f>
        <v>-6</v>
      </c>
      <c r="M177" s="18"/>
      <c r="N177" s="18">
        <f>countif(ConstantsUnits!C:C,F177)</f>
        <v>1</v>
      </c>
      <c r="O177" s="16" t="str">
        <f>VLOOKUP($A177,ConstantsUnits!$A:$A,1,false)</f>
        <v>kelvin-hartree relationship</v>
      </c>
    </row>
    <row r="178">
      <c r="A178" s="1" t="s">
        <v>634</v>
      </c>
      <c r="B178" s="1" t="s">
        <v>1285</v>
      </c>
      <c r="C178" s="1" t="s">
        <v>1232</v>
      </c>
      <c r="D178" s="1" t="s">
        <v>79</v>
      </c>
      <c r="E178" s="15"/>
      <c r="F178" s="16" t="str">
        <f>VLOOKUP($A178,ConstantsUnits!$A:$C,3,false)</f>
        <v>KelvinHertzRelationship</v>
      </c>
      <c r="G178" s="17" t="str">
        <f t="shared" si="1"/>
        <v>2.083661912e10</v>
      </c>
      <c r="H178" s="17">
        <f t="shared" si="2"/>
        <v>20836619120</v>
      </c>
      <c r="I178" s="17" t="str">
        <f t="shared" si="3"/>
        <v>(exact)</v>
      </c>
      <c r="J178" s="17" t="str">
        <f t="shared" si="4"/>
        <v/>
      </c>
      <c r="K178" s="17" t="b">
        <f t="shared" si="5"/>
        <v>1</v>
      </c>
      <c r="L178" s="16" t="str">
        <f>IFERROR(__xludf.DUMMYFUNCTION("if(regexmatch(B178,""e(.*)$""),regexextract(B178,""e(.*)$""),"""")"),"10")</f>
        <v>10</v>
      </c>
      <c r="M178" s="18"/>
      <c r="N178" s="18">
        <f>countif(ConstantsUnits!C:C,F178)</f>
        <v>1</v>
      </c>
      <c r="O178" s="16" t="str">
        <f>VLOOKUP($A178,ConstantsUnits!$A:$A,1,false)</f>
        <v>kelvin-hertz relationship</v>
      </c>
    </row>
    <row r="179">
      <c r="A179" s="1" t="s">
        <v>637</v>
      </c>
      <c r="B179" s="1" t="s">
        <v>1286</v>
      </c>
      <c r="C179" s="1" t="s">
        <v>1232</v>
      </c>
      <c r="D179" s="1" t="s">
        <v>83</v>
      </c>
      <c r="E179" s="15"/>
      <c r="F179" s="16" t="str">
        <f>VLOOKUP($A179,ConstantsUnits!$A:$C,3,false)</f>
        <v>KelvinInverseMeterRelationship</v>
      </c>
      <c r="G179" s="17" t="str">
        <f t="shared" si="1"/>
        <v>69.50348004</v>
      </c>
      <c r="H179" s="17">
        <f t="shared" si="2"/>
        <v>69.50348004</v>
      </c>
      <c r="I179" s="17" t="str">
        <f t="shared" si="3"/>
        <v>(exact)</v>
      </c>
      <c r="J179" s="17" t="str">
        <f t="shared" si="4"/>
        <v/>
      </c>
      <c r="K179" s="17" t="b">
        <f t="shared" si="5"/>
        <v>1</v>
      </c>
      <c r="L179" s="16" t="str">
        <f>IFERROR(__xludf.DUMMYFUNCTION("if(regexmatch(B179,""e(.*)$""),regexextract(B179,""e(.*)$""),"""")"),"")</f>
        <v/>
      </c>
      <c r="M179" s="18"/>
      <c r="N179" s="18">
        <f>countif(ConstantsUnits!C:C,F179)</f>
        <v>1</v>
      </c>
      <c r="O179" s="16" t="str">
        <f>VLOOKUP($A179,ConstantsUnits!$A:$A,1,false)</f>
        <v>kelvin-inverse meter relationship</v>
      </c>
    </row>
    <row r="180">
      <c r="A180" s="1" t="s">
        <v>640</v>
      </c>
      <c r="B180" s="1" t="s">
        <v>1283</v>
      </c>
      <c r="C180" s="1" t="s">
        <v>1232</v>
      </c>
      <c r="D180" s="1" t="s">
        <v>41</v>
      </c>
      <c r="E180" s="15"/>
      <c r="F180" s="16" t="str">
        <f>VLOOKUP($A180,ConstantsUnits!$A:$C,3,false)</f>
        <v>KelvinJouleRelationship</v>
      </c>
      <c r="G180" s="17" t="str">
        <f t="shared" si="1"/>
        <v>1.380649e-23</v>
      </c>
      <c r="H180" s="17">
        <f t="shared" si="2"/>
        <v>0</v>
      </c>
      <c r="I180" s="17" t="str">
        <f t="shared" si="3"/>
        <v>(exact)</v>
      </c>
      <c r="J180" s="17" t="str">
        <f t="shared" si="4"/>
        <v/>
      </c>
      <c r="K180" s="17" t="b">
        <f t="shared" si="5"/>
        <v>0</v>
      </c>
      <c r="L180" s="16" t="str">
        <f>IFERROR(__xludf.DUMMYFUNCTION("if(regexmatch(B180,""e(.*)$""),regexextract(B180,""e(.*)$""),"""")"),"-23")</f>
        <v>-23</v>
      </c>
      <c r="M180" s="18"/>
      <c r="N180" s="18">
        <f>countif(ConstantsUnits!C:C,F180)</f>
        <v>1</v>
      </c>
      <c r="O180" s="16" t="str">
        <f>VLOOKUP($A180,ConstantsUnits!$A:$A,1,false)</f>
        <v>kelvin-joule relationship</v>
      </c>
    </row>
    <row r="181">
      <c r="A181" s="1" t="s">
        <v>643</v>
      </c>
      <c r="B181" s="1" t="s">
        <v>1464</v>
      </c>
      <c r="C181" s="1" t="s">
        <v>1232</v>
      </c>
      <c r="D181" s="1" t="s">
        <v>38</v>
      </c>
      <c r="E181" s="15"/>
      <c r="F181" s="16" t="str">
        <f>VLOOKUP($A181,ConstantsUnits!$A:$C,3,false)</f>
        <v>KelvinKilogramRelationship</v>
      </c>
      <c r="G181" s="17" t="str">
        <f t="shared" si="1"/>
        <v>1.536179187e-40</v>
      </c>
      <c r="H181" s="17">
        <f t="shared" si="2"/>
        <v>0</v>
      </c>
      <c r="I181" s="17" t="str">
        <f t="shared" si="3"/>
        <v>(exact)</v>
      </c>
      <c r="J181" s="17" t="str">
        <f t="shared" si="4"/>
        <v/>
      </c>
      <c r="K181" s="17" t="b">
        <f t="shared" si="5"/>
        <v>1</v>
      </c>
      <c r="L181" s="16" t="str">
        <f>IFERROR(__xludf.DUMMYFUNCTION("if(regexmatch(B181,""e(.*)$""),regexextract(B181,""e(.*)$""),"""")"),"-40")</f>
        <v>-40</v>
      </c>
      <c r="M181" s="18"/>
      <c r="N181" s="18">
        <f>countif(ConstantsUnits!C:C,F181)</f>
        <v>1</v>
      </c>
      <c r="O181" s="16" t="str">
        <f>VLOOKUP($A181,ConstantsUnits!$A:$A,1,false)</f>
        <v>kelvin-kilogram relationship</v>
      </c>
    </row>
    <row r="182">
      <c r="A182" s="1" t="s">
        <v>646</v>
      </c>
      <c r="B182" s="1" t="s">
        <v>1465</v>
      </c>
      <c r="C182" s="1" t="s">
        <v>1466</v>
      </c>
      <c r="D182" s="1" t="s">
        <v>48</v>
      </c>
      <c r="E182" s="15"/>
      <c r="F182" s="16" t="str">
        <f>VLOOKUP($A182,ConstantsUnits!$A:$C,3,false)</f>
        <v>KilogramAtomicMassUnitRelationship</v>
      </c>
      <c r="G182" s="17" t="str">
        <f t="shared" si="1"/>
        <v>6.0221407621e26</v>
      </c>
      <c r="H182" s="17">
        <f t="shared" si="2"/>
        <v>6.02214E+26</v>
      </c>
      <c r="I182" s="17" t="str">
        <f t="shared" si="3"/>
        <v>0.0000000018e26</v>
      </c>
      <c r="J182" s="17">
        <f t="shared" si="4"/>
        <v>1.8E+17</v>
      </c>
      <c r="K182" s="17" t="b">
        <f t="shared" si="5"/>
        <v>0</v>
      </c>
      <c r="L182" s="16" t="str">
        <f>IFERROR(__xludf.DUMMYFUNCTION("if(regexmatch(B182,""e(.*)$""),regexextract(B182,""e(.*)$""),"""")"),"26")</f>
        <v>26</v>
      </c>
      <c r="M182" s="18"/>
      <c r="N182" s="18">
        <f>countif(ConstantsUnits!C:C,F182)</f>
        <v>1</v>
      </c>
      <c r="O182" s="16" t="str">
        <f>VLOOKUP($A182,ConstantsUnits!$A:$A,1,false)</f>
        <v>kilogram-atomic mass unit relationship</v>
      </c>
    </row>
    <row r="183">
      <c r="A183" s="1" t="s">
        <v>649</v>
      </c>
      <c r="B183" s="1" t="s">
        <v>1467</v>
      </c>
      <c r="C183" s="1" t="s">
        <v>1232</v>
      </c>
      <c r="D183" s="1" t="s">
        <v>70</v>
      </c>
      <c r="E183" s="15"/>
      <c r="F183" s="16" t="str">
        <f>VLOOKUP($A183,ConstantsUnits!$A:$C,3,false)</f>
        <v>KilogramElectronVoltRelationship</v>
      </c>
      <c r="G183" s="17" t="str">
        <f t="shared" si="1"/>
        <v>5.609588603e35</v>
      </c>
      <c r="H183" s="17">
        <f t="shared" si="2"/>
        <v>5.60959E+35</v>
      </c>
      <c r="I183" s="17" t="str">
        <f t="shared" si="3"/>
        <v>(exact)</v>
      </c>
      <c r="J183" s="17" t="str">
        <f t="shared" si="4"/>
        <v/>
      </c>
      <c r="K183" s="17" t="b">
        <f t="shared" si="5"/>
        <v>1</v>
      </c>
      <c r="L183" s="16" t="str">
        <f>IFERROR(__xludf.DUMMYFUNCTION("if(regexmatch(B183,""e(.*)$""),regexextract(B183,""e(.*)$""),"""")"),"35")</f>
        <v>35</v>
      </c>
      <c r="M183" s="18"/>
      <c r="N183" s="18">
        <f>countif(ConstantsUnits!C:C,F183)</f>
        <v>1</v>
      </c>
      <c r="O183" s="16" t="str">
        <f>VLOOKUP($A183,ConstantsUnits!$A:$A,1,false)</f>
        <v>kilogram-electron volt relationship</v>
      </c>
    </row>
    <row r="184">
      <c r="A184" s="1" t="s">
        <v>652</v>
      </c>
      <c r="B184" s="1" t="s">
        <v>1468</v>
      </c>
      <c r="C184" s="1" t="s">
        <v>1469</v>
      </c>
      <c r="D184" s="1" t="s">
        <v>74</v>
      </c>
      <c r="E184" s="15"/>
      <c r="F184" s="16" t="str">
        <f>VLOOKUP($A184,ConstantsUnits!$A:$C,3,false)</f>
        <v>KilogramHartreeRelationship</v>
      </c>
      <c r="G184" s="17" t="str">
        <f t="shared" si="1"/>
        <v>2.0614857887409e34</v>
      </c>
      <c r="H184" s="17">
        <f t="shared" si="2"/>
        <v>2.06149E+34</v>
      </c>
      <c r="I184" s="17" t="str">
        <f t="shared" si="3"/>
        <v>0.0000000000040e34</v>
      </c>
      <c r="J184" s="17">
        <f t="shared" si="4"/>
        <v>4E+22</v>
      </c>
      <c r="K184" s="17" t="b">
        <f t="shared" si="5"/>
        <v>0</v>
      </c>
      <c r="L184" s="16" t="str">
        <f>IFERROR(__xludf.DUMMYFUNCTION("if(regexmatch(B184,""e(.*)$""),regexextract(B184,""e(.*)$""),"""")"),"34")</f>
        <v>34</v>
      </c>
      <c r="M184" s="18"/>
      <c r="N184" s="18">
        <f>countif(ConstantsUnits!C:C,F184)</f>
        <v>1</v>
      </c>
      <c r="O184" s="16" t="str">
        <f>VLOOKUP($A184,ConstantsUnits!$A:$A,1,false)</f>
        <v>kilogram-hartree relationship</v>
      </c>
    </row>
    <row r="185">
      <c r="A185" s="1" t="s">
        <v>655</v>
      </c>
      <c r="B185" s="1" t="s">
        <v>1470</v>
      </c>
      <c r="C185" s="1" t="s">
        <v>1232</v>
      </c>
      <c r="D185" s="1" t="s">
        <v>79</v>
      </c>
      <c r="E185" s="15"/>
      <c r="F185" s="16" t="str">
        <f>VLOOKUP($A185,ConstantsUnits!$A:$C,3,false)</f>
        <v>KilogramHertzRelationship</v>
      </c>
      <c r="G185" s="17" t="str">
        <f t="shared" si="1"/>
        <v>1.356392489e50</v>
      </c>
      <c r="H185" s="17">
        <f t="shared" si="2"/>
        <v>1.35639E+50</v>
      </c>
      <c r="I185" s="17" t="str">
        <f t="shared" si="3"/>
        <v>(exact)</v>
      </c>
      <c r="J185" s="17" t="str">
        <f t="shared" si="4"/>
        <v/>
      </c>
      <c r="K185" s="17" t="b">
        <f t="shared" si="5"/>
        <v>1</v>
      </c>
      <c r="L185" s="16" t="str">
        <f>IFERROR(__xludf.DUMMYFUNCTION("if(regexmatch(B185,""e(.*)$""),regexextract(B185,""e(.*)$""),"""")"),"50")</f>
        <v>50</v>
      </c>
      <c r="M185" s="18"/>
      <c r="N185" s="18">
        <f>countif(ConstantsUnits!C:C,F185)</f>
        <v>1</v>
      </c>
      <c r="O185" s="16" t="str">
        <f>VLOOKUP($A185,ConstantsUnits!$A:$A,1,false)</f>
        <v>kilogram-hertz relationship</v>
      </c>
    </row>
    <row r="186">
      <c r="A186" s="1" t="s">
        <v>658</v>
      </c>
      <c r="B186" s="1" t="s">
        <v>1471</v>
      </c>
      <c r="C186" s="1" t="s">
        <v>1232</v>
      </c>
      <c r="D186" s="1" t="s">
        <v>83</v>
      </c>
      <c r="E186" s="15"/>
      <c r="F186" s="16" t="str">
        <f>VLOOKUP($A186,ConstantsUnits!$A:$C,3,false)</f>
        <v>KilogramInverseMeterRelationship</v>
      </c>
      <c r="G186" s="17" t="str">
        <f t="shared" si="1"/>
        <v>4.524438335e41</v>
      </c>
      <c r="H186" s="17">
        <f t="shared" si="2"/>
        <v>4.52444E+41</v>
      </c>
      <c r="I186" s="17" t="str">
        <f t="shared" si="3"/>
        <v>(exact)</v>
      </c>
      <c r="J186" s="17" t="str">
        <f t="shared" si="4"/>
        <v/>
      </c>
      <c r="K186" s="17" t="b">
        <f t="shared" si="5"/>
        <v>1</v>
      </c>
      <c r="L186" s="16" t="str">
        <f>IFERROR(__xludf.DUMMYFUNCTION("if(regexmatch(B186,""e(.*)$""),regexextract(B186,""e(.*)$""),"""")"),"41")</f>
        <v>41</v>
      </c>
      <c r="M186" s="18"/>
      <c r="N186" s="18">
        <f>countif(ConstantsUnits!C:C,F186)</f>
        <v>1</v>
      </c>
      <c r="O186" s="16" t="str">
        <f>VLOOKUP($A186,ConstantsUnits!$A:$A,1,false)</f>
        <v>kilogram-inverse meter relationship</v>
      </c>
    </row>
    <row r="187">
      <c r="A187" s="1" t="s">
        <v>661</v>
      </c>
      <c r="B187" s="1" t="s">
        <v>1472</v>
      </c>
      <c r="C187" s="1" t="s">
        <v>1232</v>
      </c>
      <c r="D187" s="1" t="s">
        <v>41</v>
      </c>
      <c r="E187" s="15"/>
      <c r="F187" s="16" t="str">
        <f>VLOOKUP($A187,ConstantsUnits!$A:$C,3,false)</f>
        <v>KilogramJouleRelationship</v>
      </c>
      <c r="G187" s="17" t="str">
        <f t="shared" si="1"/>
        <v>8.987551787e16</v>
      </c>
      <c r="H187" s="17">
        <f t="shared" si="2"/>
        <v>8.98755E+16</v>
      </c>
      <c r="I187" s="17" t="str">
        <f t="shared" si="3"/>
        <v>(exact)</v>
      </c>
      <c r="J187" s="17" t="str">
        <f t="shared" si="4"/>
        <v/>
      </c>
      <c r="K187" s="17" t="b">
        <f t="shared" si="5"/>
        <v>1</v>
      </c>
      <c r="L187" s="16" t="str">
        <f>IFERROR(__xludf.DUMMYFUNCTION("if(regexmatch(B187,""e(.*)$""),regexextract(B187,""e(.*)$""),"""")"),"16")</f>
        <v>16</v>
      </c>
      <c r="M187" s="18"/>
      <c r="N187" s="18">
        <f>countif(ConstantsUnits!C:C,F187)</f>
        <v>1</v>
      </c>
      <c r="O187" s="16" t="str">
        <f>VLOOKUP($A187,ConstantsUnits!$A:$A,1,false)</f>
        <v>kilogram-joule relationship</v>
      </c>
    </row>
    <row r="188">
      <c r="A188" s="1" t="s">
        <v>664</v>
      </c>
      <c r="B188" s="1" t="s">
        <v>1473</v>
      </c>
      <c r="C188" s="1" t="s">
        <v>1232</v>
      </c>
      <c r="D188" s="1" t="s">
        <v>91</v>
      </c>
      <c r="E188" s="15"/>
      <c r="F188" s="16" t="str">
        <f>VLOOKUP($A188,ConstantsUnits!$A:$C,3,false)</f>
        <v>KilogramKelvinRelationship</v>
      </c>
      <c r="G188" s="17" t="str">
        <f t="shared" si="1"/>
        <v>6.509657260e39</v>
      </c>
      <c r="H188" s="17">
        <f t="shared" si="2"/>
        <v>6.50966E+39</v>
      </c>
      <c r="I188" s="17" t="str">
        <f t="shared" si="3"/>
        <v>(exact)</v>
      </c>
      <c r="J188" s="17" t="str">
        <f t="shared" si="4"/>
        <v/>
      </c>
      <c r="K188" s="17" t="b">
        <f t="shared" si="5"/>
        <v>1</v>
      </c>
      <c r="L188" s="16" t="str">
        <f>IFERROR(__xludf.DUMMYFUNCTION("if(regexmatch(B188,""e(.*)$""),regexextract(B188,""e(.*)$""),"""")"),"39")</f>
        <v>39</v>
      </c>
      <c r="M188" s="18"/>
      <c r="N188" s="18">
        <f>countif(ConstantsUnits!C:C,F188)</f>
        <v>1</v>
      </c>
      <c r="O188" s="16" t="str">
        <f>VLOOKUP($A188,ConstantsUnits!$A:$A,1,false)</f>
        <v>kilogram-kelvin relationship</v>
      </c>
    </row>
    <row r="189">
      <c r="A189" s="1" t="s">
        <v>667</v>
      </c>
      <c r="B189" s="1" t="s">
        <v>1474</v>
      </c>
      <c r="C189" s="1" t="s">
        <v>1475</v>
      </c>
      <c r="D189" s="1" t="s">
        <v>59</v>
      </c>
      <c r="E189" s="15"/>
      <c r="F189" s="16" t="str">
        <f>VLOOKUP($A189,ConstantsUnits!$A:$C,3,false)</f>
        <v>LatticeParameterOfSilicon</v>
      </c>
      <c r="G189" s="17" t="str">
        <f t="shared" si="1"/>
        <v>5.431020511e-10</v>
      </c>
      <c r="H189" s="17">
        <f t="shared" si="2"/>
        <v>0.0000000005431020511</v>
      </c>
      <c r="I189" s="17" t="str">
        <f t="shared" si="3"/>
        <v>0.000000089e-10</v>
      </c>
      <c r="J189" s="17">
        <f t="shared" si="4"/>
        <v>0</v>
      </c>
      <c r="K189" s="17" t="b">
        <f t="shared" si="5"/>
        <v>0</v>
      </c>
      <c r="L189" s="16" t="str">
        <f>IFERROR(__xludf.DUMMYFUNCTION("if(regexmatch(B189,""e(.*)$""),regexextract(B189,""e(.*)$""),"""")"),"-10")</f>
        <v>-10</v>
      </c>
      <c r="M189" s="18"/>
      <c r="N189" s="18">
        <f>countif(ConstantsUnits!C:C,F189)</f>
        <v>1</v>
      </c>
      <c r="O189" s="16" t="str">
        <f>VLOOKUP($A189,ConstantsUnits!$A:$A,1,false)</f>
        <v>lattice parameter of silicon</v>
      </c>
    </row>
    <row r="190">
      <c r="A190" s="1" t="s">
        <v>670</v>
      </c>
      <c r="B190" s="1" t="s">
        <v>1476</v>
      </c>
      <c r="C190" s="1" t="s">
        <v>1477</v>
      </c>
      <c r="D190" s="1" t="s">
        <v>59</v>
      </c>
      <c r="E190" s="15"/>
      <c r="F190" s="16" t="str">
        <f>VLOOKUP($A190,ConstantsUnits!$A:$C,3,false)</f>
        <v>LatticeSpacingOfSilicon</v>
      </c>
      <c r="G190" s="17" t="str">
        <f t="shared" si="1"/>
        <v>1.920155716e-10</v>
      </c>
      <c r="H190" s="17">
        <f t="shared" si="2"/>
        <v>0.0000000001920155716</v>
      </c>
      <c r="I190" s="17" t="str">
        <f t="shared" si="3"/>
        <v>0.000000032e-10</v>
      </c>
      <c r="J190" s="17">
        <f t="shared" si="4"/>
        <v>0</v>
      </c>
      <c r="K190" s="17" t="b">
        <f t="shared" si="5"/>
        <v>0</v>
      </c>
      <c r="L190" s="16" t="str">
        <f>IFERROR(__xludf.DUMMYFUNCTION("if(regexmatch(B190,""e(.*)$""),regexextract(B190,""e(.*)$""),"""")"),"-10")</f>
        <v>-10</v>
      </c>
      <c r="M190" s="18"/>
      <c r="N190" s="18">
        <f>countif(ConstantsUnits!C:C,F190)</f>
        <v>1</v>
      </c>
      <c r="O190" s="16" t="str">
        <f>VLOOKUP($A190,ConstantsUnits!$A:$A,1,false)</f>
        <v>lattice spacing of ideal Si (220)</v>
      </c>
    </row>
    <row r="191">
      <c r="A191" s="1" t="s">
        <v>673</v>
      </c>
      <c r="B191" s="1" t="s">
        <v>1478</v>
      </c>
      <c r="C191" s="1" t="s">
        <v>1232</v>
      </c>
      <c r="D191" s="1" t="s">
        <v>674</v>
      </c>
      <c r="E191" s="15"/>
      <c r="F191" s="16" t="str">
        <f>VLOOKUP($A191,ConstantsUnits!$A:$C,3,false)</f>
        <v>LoschmidtConstant273K100Kpa</v>
      </c>
      <c r="G191" s="17" t="str">
        <f t="shared" si="1"/>
        <v>2.651645804e25</v>
      </c>
      <c r="H191" s="17">
        <f t="shared" si="2"/>
        <v>2.65165E+25</v>
      </c>
      <c r="I191" s="17" t="str">
        <f t="shared" si="3"/>
        <v>(exact)</v>
      </c>
      <c r="J191" s="17" t="str">
        <f t="shared" si="4"/>
        <v/>
      </c>
      <c r="K191" s="17" t="b">
        <f t="shared" si="5"/>
        <v>1</v>
      </c>
      <c r="L191" s="16" t="str">
        <f>IFERROR(__xludf.DUMMYFUNCTION("if(regexmatch(B191,""e(.*)$""),regexextract(B191,""e(.*)$""),"""")"),"25")</f>
        <v>25</v>
      </c>
      <c r="M191" s="18"/>
      <c r="N191" s="18">
        <f>countif(ConstantsUnits!C:C,F191)</f>
        <v>1</v>
      </c>
      <c r="O191" s="16" t="str">
        <f>VLOOKUP($A191,ConstantsUnits!$A:$A,1,false)</f>
        <v>Loschmidt constant (273.15 K, 100 kPa)</v>
      </c>
    </row>
    <row r="192">
      <c r="A192" s="1" t="s">
        <v>678</v>
      </c>
      <c r="B192" s="1" t="s">
        <v>1479</v>
      </c>
      <c r="C192" s="1" t="s">
        <v>1232</v>
      </c>
      <c r="D192" s="1" t="s">
        <v>674</v>
      </c>
      <c r="E192" s="15"/>
      <c r="F192" s="16" t="str">
        <f>VLOOKUP($A192,ConstantsUnits!$A:$C,3,false)</f>
        <v>LoschmidtConstant273K101Kpa</v>
      </c>
      <c r="G192" s="17" t="str">
        <f t="shared" si="1"/>
        <v>2.686780111e25</v>
      </c>
      <c r="H192" s="17">
        <f t="shared" si="2"/>
        <v>2.68678E+25</v>
      </c>
      <c r="I192" s="17" t="str">
        <f t="shared" si="3"/>
        <v>(exact)</v>
      </c>
      <c r="J192" s="17" t="str">
        <f t="shared" si="4"/>
        <v/>
      </c>
      <c r="K192" s="17" t="b">
        <f t="shared" si="5"/>
        <v>1</v>
      </c>
      <c r="L192" s="16" t="str">
        <f>IFERROR(__xludf.DUMMYFUNCTION("if(regexmatch(B192,""e(.*)$""),regexextract(B192,""e(.*)$""),"""")"),"25")</f>
        <v>25</v>
      </c>
      <c r="M192" s="18"/>
      <c r="N192" s="18">
        <f>countif(ConstantsUnits!C:C,F192)</f>
        <v>1</v>
      </c>
      <c r="O192" s="16" t="str">
        <f>VLOOKUP($A192,ConstantsUnits!$A:$A,1,false)</f>
        <v>Loschmidt constant (273.15 K, 101.325 kPa)</v>
      </c>
    </row>
    <row r="193">
      <c r="A193" s="1" t="s">
        <v>680</v>
      </c>
      <c r="B193" s="19" t="s">
        <v>1480</v>
      </c>
      <c r="C193" s="1" t="s">
        <v>1232</v>
      </c>
      <c r="D193" s="1" t="s">
        <v>681</v>
      </c>
      <c r="E193" s="15"/>
      <c r="F193" s="16" t="str">
        <f>VLOOKUP($A193,ConstantsUnits!$A:$C,3,false)</f>
        <v>LuminousEfficacy</v>
      </c>
      <c r="G193" s="17" t="str">
        <f t="shared" si="1"/>
        <v>683</v>
      </c>
      <c r="H193" s="17">
        <f t="shared" si="2"/>
        <v>683</v>
      </c>
      <c r="I193" s="17" t="str">
        <f t="shared" si="3"/>
        <v>(exact)</v>
      </c>
      <c r="J193" s="17" t="str">
        <f t="shared" si="4"/>
        <v/>
      </c>
      <c r="K193" s="17" t="b">
        <f t="shared" si="5"/>
        <v>0</v>
      </c>
      <c r="L193" s="16" t="str">
        <f>IFERROR(__xludf.DUMMYFUNCTION("if(regexmatch(B193,""e(.*)$""),regexextract(B193,""e(.*)$""),"""")"),"")</f>
        <v/>
      </c>
      <c r="M193" s="18"/>
      <c r="N193" s="18">
        <f>countif(ConstantsUnits!C:C,F193)</f>
        <v>1</v>
      </c>
      <c r="O193" s="16" t="str">
        <f>VLOOKUP($A193,ConstantsUnits!$A:$A,1,false)</f>
        <v>luminous efficacy</v>
      </c>
    </row>
    <row r="194">
      <c r="A194" s="1" t="s">
        <v>686</v>
      </c>
      <c r="B194" s="1" t="s">
        <v>1481</v>
      </c>
      <c r="C194" s="1" t="s">
        <v>1232</v>
      </c>
      <c r="D194" s="1" t="s">
        <v>687</v>
      </c>
      <c r="E194" s="15"/>
      <c r="F194" s="16" t="str">
        <f>VLOOKUP($A194,ConstantsUnits!$A:$C,3,false)</f>
        <v>MagneticFluxQuantum</v>
      </c>
      <c r="G194" s="17" t="str">
        <f t="shared" si="1"/>
        <v>2.067833848e-15</v>
      </c>
      <c r="H194" s="17">
        <f t="shared" si="2"/>
        <v>0</v>
      </c>
      <c r="I194" s="17" t="str">
        <f t="shared" si="3"/>
        <v>(exact)</v>
      </c>
      <c r="J194" s="17" t="str">
        <f t="shared" si="4"/>
        <v/>
      </c>
      <c r="K194" s="17" t="b">
        <f t="shared" si="5"/>
        <v>1</v>
      </c>
      <c r="L194" s="16" t="str">
        <f>IFERROR(__xludf.DUMMYFUNCTION("if(regexmatch(B194,""e(.*)$""),regexextract(B194,""e(.*)$""),"""")"),"-15")</f>
        <v>-15</v>
      </c>
      <c r="M194" s="18"/>
      <c r="N194" s="18">
        <f>countif(ConstantsUnits!C:C,F194)</f>
        <v>1</v>
      </c>
      <c r="O194" s="16" t="str">
        <f>VLOOKUP($A194,ConstantsUnits!$A:$A,1,false)</f>
        <v>mag. flux quantum</v>
      </c>
    </row>
    <row r="195">
      <c r="A195" s="1" t="s">
        <v>690</v>
      </c>
      <c r="B195" s="1" t="s">
        <v>1482</v>
      </c>
      <c r="C195" s="1" t="s">
        <v>1232</v>
      </c>
      <c r="D195" s="1" t="s">
        <v>691</v>
      </c>
      <c r="E195" s="15"/>
      <c r="F195" s="16" t="str">
        <f>VLOOKUP($A195,ConstantsUnits!$A:$C,3,false)</f>
        <v>MolarGasConstant</v>
      </c>
      <c r="G195" s="17" t="str">
        <f t="shared" si="1"/>
        <v>8.314462618</v>
      </c>
      <c r="H195" s="17">
        <f t="shared" si="2"/>
        <v>8.314462618</v>
      </c>
      <c r="I195" s="17" t="str">
        <f t="shared" si="3"/>
        <v>(exact)</v>
      </c>
      <c r="J195" s="17" t="str">
        <f t="shared" si="4"/>
        <v/>
      </c>
      <c r="K195" s="17" t="b">
        <f t="shared" si="5"/>
        <v>1</v>
      </c>
      <c r="L195" s="16" t="str">
        <f>IFERROR(__xludf.DUMMYFUNCTION("if(regexmatch(B195,""e(.*)$""),regexextract(B195,""e(.*)$""),"""")"),"")</f>
        <v/>
      </c>
      <c r="M195" s="18"/>
      <c r="N195" s="18">
        <f>countif(ConstantsUnits!C:C,F195)</f>
        <v>1</v>
      </c>
      <c r="O195" s="16" t="str">
        <f>VLOOKUP($A195,ConstantsUnits!$A:$A,1,false)</f>
        <v>molar gas constant</v>
      </c>
    </row>
    <row r="196">
      <c r="A196" s="1" t="s">
        <v>695</v>
      </c>
      <c r="B196" s="1" t="s">
        <v>1483</v>
      </c>
      <c r="C196" s="1" t="s">
        <v>1484</v>
      </c>
      <c r="D196" s="1" t="s">
        <v>51</v>
      </c>
      <c r="E196" s="15"/>
      <c r="F196" s="16" t="str">
        <f>VLOOKUP($A196,ConstantsUnits!$A:$C,3,false)</f>
        <v>MolarMassConstant</v>
      </c>
      <c r="G196" s="17" t="str">
        <f t="shared" si="1"/>
        <v>0.99999999965e-3</v>
      </c>
      <c r="H196" s="17">
        <f t="shared" si="2"/>
        <v>0.0009999999997</v>
      </c>
      <c r="I196" s="17" t="str">
        <f t="shared" si="3"/>
        <v>0.00000000030e-3</v>
      </c>
      <c r="J196" s="17">
        <f t="shared" si="4"/>
        <v>0</v>
      </c>
      <c r="K196" s="17" t="b">
        <f t="shared" si="5"/>
        <v>0</v>
      </c>
      <c r="L196" s="16" t="str">
        <f>IFERROR(__xludf.DUMMYFUNCTION("if(regexmatch(B196,""e(.*)$""),regexextract(B196,""e(.*)$""),"""")"),"-3")</f>
        <v>-3</v>
      </c>
      <c r="M196" s="18"/>
      <c r="N196" s="18">
        <f>countif(ConstantsUnits!C:C,F196)</f>
        <v>1</v>
      </c>
      <c r="O196" s="16" t="str">
        <f>VLOOKUP($A196,ConstantsUnits!$A:$A,1,false)</f>
        <v>molar mass constant</v>
      </c>
    </row>
    <row r="197">
      <c r="A197" s="1" t="s">
        <v>698</v>
      </c>
      <c r="B197" s="1" t="s">
        <v>1485</v>
      </c>
      <c r="C197" s="1" t="s">
        <v>1486</v>
      </c>
      <c r="D197" s="1" t="s">
        <v>51</v>
      </c>
      <c r="E197" s="15"/>
      <c r="F197" s="16" t="str">
        <f>VLOOKUP($A197,ConstantsUnits!$A:$C,3,false)</f>
        <v>MolarMassOfCarbon12</v>
      </c>
      <c r="G197" s="17" t="str">
        <f t="shared" si="1"/>
        <v>11.9999999958e-3</v>
      </c>
      <c r="H197" s="17">
        <f t="shared" si="2"/>
        <v>0.012</v>
      </c>
      <c r="I197" s="17" t="str">
        <f t="shared" si="3"/>
        <v>0.0000000036e-3</v>
      </c>
      <c r="J197" s="17">
        <f t="shared" si="4"/>
        <v>0</v>
      </c>
      <c r="K197" s="17" t="b">
        <f t="shared" si="5"/>
        <v>0</v>
      </c>
      <c r="L197" s="16" t="str">
        <f>IFERROR(__xludf.DUMMYFUNCTION("if(regexmatch(B197,""e(.*)$""),regexextract(B197,""e(.*)$""),"""")"),"-3")</f>
        <v>-3</v>
      </c>
      <c r="M197" s="18"/>
      <c r="N197" s="18">
        <f>countif(ConstantsUnits!C:C,F197)</f>
        <v>1</v>
      </c>
      <c r="O197" s="16" t="str">
        <f>VLOOKUP($A197,ConstantsUnits!$A:$A,1,false)</f>
        <v>molar mass of carbon-12</v>
      </c>
    </row>
    <row r="198">
      <c r="A198" s="1" t="s">
        <v>701</v>
      </c>
      <c r="B198" s="1" t="s">
        <v>1487</v>
      </c>
      <c r="C198" s="1" t="s">
        <v>1232</v>
      </c>
      <c r="D198" s="1" t="s">
        <v>702</v>
      </c>
      <c r="E198" s="15"/>
      <c r="F198" s="16" t="str">
        <f>VLOOKUP($A198,ConstantsUnits!$A:$C,3,false)</f>
        <v>MolarPlanckConstant</v>
      </c>
      <c r="G198" s="17" t="str">
        <f t="shared" si="1"/>
        <v>3.990312712e-10</v>
      </c>
      <c r="H198" s="17">
        <f t="shared" si="2"/>
        <v>0.0000000003990312712</v>
      </c>
      <c r="I198" s="17" t="str">
        <f t="shared" si="3"/>
        <v>(exact)</v>
      </c>
      <c r="J198" s="17" t="str">
        <f t="shared" si="4"/>
        <v/>
      </c>
      <c r="K198" s="17" t="b">
        <f t="shared" si="5"/>
        <v>1</v>
      </c>
      <c r="L198" s="16" t="str">
        <f>IFERROR(__xludf.DUMMYFUNCTION("if(regexmatch(B198,""e(.*)$""),regexextract(B198,""e(.*)$""),"""")"),"-10")</f>
        <v>-10</v>
      </c>
      <c r="M198" s="18"/>
      <c r="N198" s="18">
        <f>countif(ConstantsUnits!C:C,F198)</f>
        <v>1</v>
      </c>
      <c r="O198" s="16" t="str">
        <f>VLOOKUP($A198,ConstantsUnits!$A:$A,1,false)</f>
        <v>molar Planck constant</v>
      </c>
    </row>
    <row r="199">
      <c r="A199" s="1" t="s">
        <v>708</v>
      </c>
      <c r="B199" s="1" t="s">
        <v>1488</v>
      </c>
      <c r="C199" s="1" t="s">
        <v>1232</v>
      </c>
      <c r="D199" s="1" t="s">
        <v>709</v>
      </c>
      <c r="E199" s="15"/>
      <c r="F199" s="16" t="str">
        <f>VLOOKUP($A199,ConstantsUnits!$A:$C,3,false)</f>
        <v>MolarVolumeOfIdealGas273K100Kpa</v>
      </c>
      <c r="G199" s="17" t="str">
        <f t="shared" si="1"/>
        <v>22.71095464e-3</v>
      </c>
      <c r="H199" s="17">
        <f t="shared" si="2"/>
        <v>0.02271095464</v>
      </c>
      <c r="I199" s="17" t="str">
        <f t="shared" si="3"/>
        <v>(exact)</v>
      </c>
      <c r="J199" s="17" t="str">
        <f t="shared" si="4"/>
        <v/>
      </c>
      <c r="K199" s="17" t="b">
        <f t="shared" si="5"/>
        <v>1</v>
      </c>
      <c r="L199" s="16" t="str">
        <f>IFERROR(__xludf.DUMMYFUNCTION("if(regexmatch(B199,""e(.*)$""),regexextract(B199,""e(.*)$""),"""")"),"-3")</f>
        <v>-3</v>
      </c>
      <c r="M199" s="18"/>
      <c r="N199" s="18">
        <f>countif(ConstantsUnits!C:C,F199)</f>
        <v>1</v>
      </c>
      <c r="O199" s="16" t="str">
        <f>VLOOKUP($A199,ConstantsUnits!$A:$A,1,false)</f>
        <v>molar volume of ideal gas (273.15 K, 100 kPa)</v>
      </c>
    </row>
    <row r="200">
      <c r="A200" s="1" t="s">
        <v>713</v>
      </c>
      <c r="B200" s="1" t="s">
        <v>1489</v>
      </c>
      <c r="C200" s="1" t="s">
        <v>1232</v>
      </c>
      <c r="D200" s="1" t="s">
        <v>709</v>
      </c>
      <c r="E200" s="15"/>
      <c r="F200" s="16" t="str">
        <f>VLOOKUP($A200,ConstantsUnits!$A:$C,3,false)</f>
        <v>MolarVolumeOfIdealGas273K101Kpa</v>
      </c>
      <c r="G200" s="17" t="str">
        <f t="shared" si="1"/>
        <v>22.41396954e-3</v>
      </c>
      <c r="H200" s="17">
        <f t="shared" si="2"/>
        <v>0.02241396954</v>
      </c>
      <c r="I200" s="17" t="str">
        <f t="shared" si="3"/>
        <v>(exact)</v>
      </c>
      <c r="J200" s="17" t="str">
        <f t="shared" si="4"/>
        <v/>
      </c>
      <c r="K200" s="17" t="b">
        <f t="shared" si="5"/>
        <v>1</v>
      </c>
      <c r="L200" s="16" t="str">
        <f>IFERROR(__xludf.DUMMYFUNCTION("if(regexmatch(B200,""e(.*)$""),regexextract(B200,""e(.*)$""),"""")"),"-3")</f>
        <v>-3</v>
      </c>
      <c r="M200" s="18"/>
      <c r="N200" s="18">
        <f>countif(ConstantsUnits!C:C,F200)</f>
        <v>1</v>
      </c>
      <c r="O200" s="16" t="str">
        <f>VLOOKUP($A200,ConstantsUnits!$A:$A,1,false)</f>
        <v>molar volume of ideal gas (273.15 K, 101.325 kPa)</v>
      </c>
    </row>
    <row r="201">
      <c r="A201" s="1" t="s">
        <v>715</v>
      </c>
      <c r="B201" s="1" t="s">
        <v>1490</v>
      </c>
      <c r="C201" s="1" t="s">
        <v>1491</v>
      </c>
      <c r="D201" s="1" t="s">
        <v>709</v>
      </c>
      <c r="E201" s="15"/>
      <c r="F201" s="16" t="str">
        <f>VLOOKUP($A201,ConstantsUnits!$A:$C,3,false)</f>
        <v>MolarVolumeOfSilicon</v>
      </c>
      <c r="G201" s="17" t="str">
        <f t="shared" si="1"/>
        <v>1.205883199e-5</v>
      </c>
      <c r="H201" s="17">
        <f t="shared" si="2"/>
        <v>0.00001205883199</v>
      </c>
      <c r="I201" s="17" t="str">
        <f t="shared" si="3"/>
        <v>0.000000060e-5</v>
      </c>
      <c r="J201" s="17">
        <f t="shared" si="4"/>
        <v>0</v>
      </c>
      <c r="K201" s="17" t="b">
        <f t="shared" si="5"/>
        <v>0</v>
      </c>
      <c r="L201" s="16" t="str">
        <f>IFERROR(__xludf.DUMMYFUNCTION("if(regexmatch(B201,""e(.*)$""),regexextract(B201,""e(.*)$""),"""")"),"-5")</f>
        <v>-5</v>
      </c>
      <c r="M201" s="18"/>
      <c r="N201" s="18">
        <f>countif(ConstantsUnits!C:C,F201)</f>
        <v>1</v>
      </c>
      <c r="O201" s="16" t="str">
        <f>VLOOKUP($A201,ConstantsUnits!$A:$A,1,false)</f>
        <v>molar volume of silicon</v>
      </c>
    </row>
    <row r="202">
      <c r="A202" s="1" t="s">
        <v>718</v>
      </c>
      <c r="B202" s="1" t="s">
        <v>1492</v>
      </c>
      <c r="C202" s="1" t="s">
        <v>1493</v>
      </c>
      <c r="D202" s="1" t="s">
        <v>59</v>
      </c>
      <c r="E202" s="15"/>
      <c r="F202" s="16" t="str">
        <f>VLOOKUP($A202,ConstantsUnits!$A:$C,3,false)</f>
        <v>MolybdenumXUnit</v>
      </c>
      <c r="G202" s="17" t="str">
        <f t="shared" si="1"/>
        <v>1.00209952e-13</v>
      </c>
      <c r="H202" s="17">
        <f t="shared" si="2"/>
        <v>0</v>
      </c>
      <c r="I202" s="17" t="str">
        <f t="shared" si="3"/>
        <v>0.00000053e-13</v>
      </c>
      <c r="J202" s="17">
        <f t="shared" si="4"/>
        <v>0</v>
      </c>
      <c r="K202" s="17" t="b">
        <f t="shared" si="5"/>
        <v>0</v>
      </c>
      <c r="L202" s="16" t="str">
        <f>IFERROR(__xludf.DUMMYFUNCTION("if(regexmatch(B202,""e(.*)$""),regexextract(B202,""e(.*)$""),"""")"),"-13")</f>
        <v>-13</v>
      </c>
      <c r="M202" s="18"/>
      <c r="N202" s="18">
        <f>countif(ConstantsUnits!C:C,F202)</f>
        <v>1</v>
      </c>
      <c r="O202" s="16" t="str">
        <f>VLOOKUP($A202,ConstantsUnits!$A:$A,1,false)</f>
        <v>Molybdenum x unit</v>
      </c>
    </row>
    <row r="203">
      <c r="A203" s="1" t="s">
        <v>722</v>
      </c>
      <c r="B203" s="1" t="s">
        <v>1494</v>
      </c>
      <c r="C203" s="1" t="s">
        <v>1495</v>
      </c>
      <c r="D203" s="1" t="s">
        <v>59</v>
      </c>
      <c r="E203" s="15"/>
      <c r="F203" s="16" t="str">
        <f>VLOOKUP($A203,ConstantsUnits!$A:$C,3,false)</f>
        <v>MuonComptonWavelength</v>
      </c>
      <c r="G203" s="17" t="str">
        <f t="shared" si="1"/>
        <v>1.173444110e-14</v>
      </c>
      <c r="H203" s="17">
        <f t="shared" si="2"/>
        <v>0</v>
      </c>
      <c r="I203" s="17" t="str">
        <f t="shared" si="3"/>
        <v>0.000000026e-14</v>
      </c>
      <c r="J203" s="17">
        <f t="shared" si="4"/>
        <v>0</v>
      </c>
      <c r="K203" s="17" t="b">
        <f t="shared" si="5"/>
        <v>0</v>
      </c>
      <c r="L203" s="16" t="str">
        <f>IFERROR(__xludf.DUMMYFUNCTION("if(regexmatch(B203,""e(.*)$""),regexextract(B203,""e(.*)$""),"""")"),"-14")</f>
        <v>-14</v>
      </c>
      <c r="M203" s="18"/>
      <c r="N203" s="18">
        <f>countif(ConstantsUnits!C:C,F203)</f>
        <v>1</v>
      </c>
      <c r="O203" s="16" t="str">
        <f>VLOOKUP($A203,ConstantsUnits!$A:$A,1,false)</f>
        <v>muon Compton wavelength</v>
      </c>
    </row>
    <row r="204">
      <c r="A204" s="1" t="s">
        <v>726</v>
      </c>
      <c r="B204" s="1" t="s">
        <v>1496</v>
      </c>
      <c r="C204" s="1" t="s">
        <v>1358</v>
      </c>
      <c r="E204" s="15"/>
      <c r="F204" s="16" t="str">
        <f>VLOOKUP($A204,ConstantsUnits!$A:$C,3,false)</f>
        <v>MuonElectronMassRatio</v>
      </c>
      <c r="G204" s="17" t="str">
        <f t="shared" si="1"/>
        <v>206.7682830</v>
      </c>
      <c r="H204" s="17">
        <f t="shared" si="2"/>
        <v>206.768283</v>
      </c>
      <c r="I204" s="17" t="str">
        <f t="shared" si="3"/>
        <v>0.0000046</v>
      </c>
      <c r="J204" s="17">
        <f t="shared" si="4"/>
        <v>0.0000046</v>
      </c>
      <c r="K204" s="17" t="b">
        <f t="shared" si="5"/>
        <v>0</v>
      </c>
      <c r="L204" s="16" t="str">
        <f>IFERROR(__xludf.DUMMYFUNCTION("if(regexmatch(B204,""e(.*)$""),regexextract(B204,""e(.*)$""),"""")"),"")</f>
        <v/>
      </c>
      <c r="M204" s="18"/>
      <c r="N204" s="18">
        <f>countif(ConstantsUnits!C:C,F204)</f>
        <v>1</v>
      </c>
      <c r="O204" s="16" t="str">
        <f>VLOOKUP($A204,ConstantsUnits!$A:$A,1,false)</f>
        <v>muon-electron mass ratio</v>
      </c>
    </row>
    <row r="205">
      <c r="A205" s="1" t="s">
        <v>729</v>
      </c>
      <c r="B205" s="1" t="s">
        <v>1497</v>
      </c>
      <c r="C205" s="1" t="s">
        <v>1498</v>
      </c>
      <c r="E205" s="15"/>
      <c r="F205" s="16" t="str">
        <f>VLOOKUP($A205,ConstantsUnits!$A:$C,3,false)</f>
        <v>MuonGFactor</v>
      </c>
      <c r="G205" s="17" t="str">
        <f t="shared" si="1"/>
        <v>-2.0023318418</v>
      </c>
      <c r="H205" s="17">
        <f t="shared" si="2"/>
        <v>-2.002331842</v>
      </c>
      <c r="I205" s="17" t="str">
        <f t="shared" si="3"/>
        <v>0.0000000013</v>
      </c>
      <c r="J205" s="17">
        <f t="shared" si="4"/>
        <v>0.0000000013</v>
      </c>
      <c r="K205" s="17" t="b">
        <f t="shared" si="5"/>
        <v>0</v>
      </c>
      <c r="L205" s="16" t="str">
        <f>IFERROR(__xludf.DUMMYFUNCTION("if(regexmatch(B205,""e(.*)$""),regexextract(B205,""e(.*)$""),"""")"),"")</f>
        <v/>
      </c>
      <c r="M205" s="18"/>
      <c r="N205" s="18">
        <f>countif(ConstantsUnits!C:C,F205)</f>
        <v>1</v>
      </c>
      <c r="O205" s="16" t="str">
        <f>VLOOKUP($A205,ConstantsUnits!$A:$A,1,false)</f>
        <v>muon g factor</v>
      </c>
    </row>
    <row r="206">
      <c r="A206" s="1" t="s">
        <v>732</v>
      </c>
      <c r="B206" s="1" t="s">
        <v>1499</v>
      </c>
      <c r="C206" s="1" t="s">
        <v>1500</v>
      </c>
      <c r="D206" s="1" t="s">
        <v>165</v>
      </c>
      <c r="E206" s="15"/>
      <c r="F206" s="16" t="str">
        <f>VLOOKUP($A206,ConstantsUnits!$A:$C,3,false)</f>
        <v>MuonMagneticMoment</v>
      </c>
      <c r="G206" s="17" t="str">
        <f t="shared" si="1"/>
        <v>-4.49044830e-26</v>
      </c>
      <c r="H206" s="17">
        <f t="shared" si="2"/>
        <v>0</v>
      </c>
      <c r="I206" s="17" t="str">
        <f t="shared" si="3"/>
        <v>0.00000010e-26</v>
      </c>
      <c r="J206" s="17">
        <f t="shared" si="4"/>
        <v>0</v>
      </c>
      <c r="K206" s="17" t="b">
        <f t="shared" si="5"/>
        <v>0</v>
      </c>
      <c r="L206" s="16" t="str">
        <f>IFERROR(__xludf.DUMMYFUNCTION("if(regexmatch(B206,""e(.*)$""),regexextract(B206,""e(.*)$""),"""")"),"-26")</f>
        <v>-26</v>
      </c>
      <c r="M206" s="18"/>
      <c r="N206" s="18">
        <f>countif(ConstantsUnits!C:C,F206)</f>
        <v>1</v>
      </c>
      <c r="O206" s="16" t="str">
        <f>VLOOKUP($A206,ConstantsUnits!$A:$A,1,false)</f>
        <v>muon mag. mom.</v>
      </c>
    </row>
    <row r="207">
      <c r="A207" s="1" t="s">
        <v>735</v>
      </c>
      <c r="B207" s="1" t="s">
        <v>1501</v>
      </c>
      <c r="C207" s="1" t="s">
        <v>1502</v>
      </c>
      <c r="E207" s="15"/>
      <c r="F207" s="16" t="str">
        <f>VLOOKUP($A207,ConstantsUnits!$A:$C,3,false)</f>
        <v>MuonMagneticMomentAnomaly</v>
      </c>
      <c r="G207" s="17" t="str">
        <f t="shared" si="1"/>
        <v>1.16592089e-3</v>
      </c>
      <c r="H207" s="17">
        <f t="shared" si="2"/>
        <v>0.00116592089</v>
      </c>
      <c r="I207" s="17" t="str">
        <f t="shared" si="3"/>
        <v>0.00000063e-3</v>
      </c>
      <c r="J207" s="17">
        <f t="shared" si="4"/>
        <v>0.00000000063</v>
      </c>
      <c r="K207" s="17" t="b">
        <f t="shared" si="5"/>
        <v>0</v>
      </c>
      <c r="L207" s="16" t="str">
        <f>IFERROR(__xludf.DUMMYFUNCTION("if(regexmatch(B207,""e(.*)$""),regexextract(B207,""e(.*)$""),"""")"),"-3")</f>
        <v>-3</v>
      </c>
      <c r="M207" s="18"/>
      <c r="N207" s="18">
        <f>countif(ConstantsUnits!C:C,F207)</f>
        <v>1</v>
      </c>
      <c r="O207" s="16" t="str">
        <f>VLOOKUP($A207,ConstantsUnits!$A:$A,1,false)</f>
        <v>muon mag. mom. anomaly</v>
      </c>
    </row>
    <row r="208">
      <c r="A208" s="1" t="s">
        <v>738</v>
      </c>
      <c r="B208" s="1" t="s">
        <v>1503</v>
      </c>
      <c r="C208" s="1" t="s">
        <v>1360</v>
      </c>
      <c r="E208" s="15"/>
      <c r="F208" s="16" t="str">
        <f>VLOOKUP($A208,ConstantsUnits!$A:$C,3,false)</f>
        <v>MuonMagneticMomentToBohrMagnetonRatio</v>
      </c>
      <c r="G208" s="17" t="str">
        <f t="shared" si="1"/>
        <v>-4.84197047e-3</v>
      </c>
      <c r="H208" s="17">
        <f t="shared" si="2"/>
        <v>-0.00484197047</v>
      </c>
      <c r="I208" s="17" t="str">
        <f t="shared" si="3"/>
        <v>0.00000011e-3</v>
      </c>
      <c r="J208" s="17">
        <f t="shared" si="4"/>
        <v>0.00000000011</v>
      </c>
      <c r="K208" s="17" t="b">
        <f t="shared" si="5"/>
        <v>0</v>
      </c>
      <c r="L208" s="16" t="str">
        <f>IFERROR(__xludf.DUMMYFUNCTION("if(regexmatch(B208,""e(.*)$""),regexextract(B208,""e(.*)$""),"""")"),"-3")</f>
        <v>-3</v>
      </c>
      <c r="M208" s="18"/>
      <c r="N208" s="18">
        <f>countif(ConstantsUnits!C:C,F208)</f>
        <v>1</v>
      </c>
      <c r="O208" s="16" t="str">
        <f>VLOOKUP($A208,ConstantsUnits!$A:$A,1,false)</f>
        <v>muon mag. mom. to Bohr magneton ratio</v>
      </c>
    </row>
    <row r="209">
      <c r="A209" s="1" t="s">
        <v>741</v>
      </c>
      <c r="B209" s="1" t="s">
        <v>1504</v>
      </c>
      <c r="C209" s="1" t="s">
        <v>1366</v>
      </c>
      <c r="E209" s="15"/>
      <c r="F209" s="16" t="str">
        <f>VLOOKUP($A209,ConstantsUnits!$A:$C,3,false)</f>
        <v>MuonMagneticMomentToNuclearMagnetonRatio</v>
      </c>
      <c r="G209" s="17" t="str">
        <f t="shared" si="1"/>
        <v>-8.89059703</v>
      </c>
      <c r="H209" s="17">
        <f t="shared" si="2"/>
        <v>-8.89059703</v>
      </c>
      <c r="I209" s="17" t="str">
        <f t="shared" si="3"/>
        <v>0.00000020</v>
      </c>
      <c r="J209" s="17">
        <f t="shared" si="4"/>
        <v>0.0000002</v>
      </c>
      <c r="K209" s="17" t="b">
        <f t="shared" si="5"/>
        <v>0</v>
      </c>
      <c r="L209" s="16" t="str">
        <f>IFERROR(__xludf.DUMMYFUNCTION("if(regexmatch(B209,""e(.*)$""),regexextract(B209,""e(.*)$""),"""")"),"")</f>
        <v/>
      </c>
      <c r="M209" s="18"/>
      <c r="N209" s="18">
        <f>countif(ConstantsUnits!C:C,F209)</f>
        <v>1</v>
      </c>
      <c r="O209" s="16" t="str">
        <f>VLOOKUP($A209,ConstantsUnits!$A:$A,1,false)</f>
        <v>muon mag. mom. to nuclear magneton ratio</v>
      </c>
    </row>
    <row r="210">
      <c r="A210" s="1" t="s">
        <v>744</v>
      </c>
      <c r="B210" s="1" t="s">
        <v>1505</v>
      </c>
      <c r="C210" s="1" t="s">
        <v>1506</v>
      </c>
      <c r="D210" s="1" t="s">
        <v>38</v>
      </c>
      <c r="E210" s="15"/>
      <c r="F210" s="16" t="str">
        <f>VLOOKUP($A210,ConstantsUnits!$A:$C,3,false)</f>
        <v>MuonMass</v>
      </c>
      <c r="G210" s="17" t="str">
        <f t="shared" si="1"/>
        <v>1.883531627e-28</v>
      </c>
      <c r="H210" s="17">
        <f t="shared" si="2"/>
        <v>0</v>
      </c>
      <c r="I210" s="17" t="str">
        <f t="shared" si="3"/>
        <v>0.000000042e-28</v>
      </c>
      <c r="J210" s="17">
        <f t="shared" si="4"/>
        <v>0</v>
      </c>
      <c r="K210" s="17" t="b">
        <f t="shared" si="5"/>
        <v>0</v>
      </c>
      <c r="L210" s="16" t="str">
        <f>IFERROR(__xludf.DUMMYFUNCTION("if(regexmatch(B210,""e(.*)$""),regexextract(B210,""e(.*)$""),"""")"),"-28")</f>
        <v>-28</v>
      </c>
      <c r="M210" s="18"/>
      <c r="N210" s="18">
        <f>countif(ConstantsUnits!C:C,F210)</f>
        <v>1</v>
      </c>
      <c r="O210" s="16" t="str">
        <f>VLOOKUP($A210,ConstantsUnits!$A:$A,1,false)</f>
        <v>muon mass</v>
      </c>
    </row>
    <row r="211">
      <c r="A211" s="1" t="s">
        <v>747</v>
      </c>
      <c r="B211" s="1" t="s">
        <v>1507</v>
      </c>
      <c r="C211" s="1" t="s">
        <v>1508</v>
      </c>
      <c r="D211" s="1" t="s">
        <v>41</v>
      </c>
      <c r="E211" s="15"/>
      <c r="F211" s="16" t="str">
        <f>VLOOKUP($A211,ConstantsUnits!$A:$C,3,false)</f>
        <v>MuonMassEnergyEquivalent</v>
      </c>
      <c r="G211" s="17" t="str">
        <f t="shared" si="1"/>
        <v>1.692833804e-11</v>
      </c>
      <c r="H211" s="17">
        <f t="shared" si="2"/>
        <v>0</v>
      </c>
      <c r="I211" s="17" t="str">
        <f t="shared" si="3"/>
        <v>0.000000038e-11</v>
      </c>
      <c r="J211" s="17">
        <f t="shared" si="4"/>
        <v>0</v>
      </c>
      <c r="K211" s="17" t="b">
        <f t="shared" si="5"/>
        <v>0</v>
      </c>
      <c r="L211" s="16" t="str">
        <f>IFERROR(__xludf.DUMMYFUNCTION("if(regexmatch(B211,""e(.*)$""),regexextract(B211,""e(.*)$""),"""")"),"-11")</f>
        <v>-11</v>
      </c>
      <c r="M211" s="18"/>
      <c r="N211" s="18">
        <f>countif(ConstantsUnits!C:C,F211)</f>
        <v>1</v>
      </c>
      <c r="O211" s="16" t="str">
        <f>VLOOKUP($A211,ConstantsUnits!$A:$A,1,false)</f>
        <v>muon mass energy equivalent</v>
      </c>
    </row>
    <row r="212">
      <c r="A212" s="1" t="s">
        <v>750</v>
      </c>
      <c r="B212" s="1" t="s">
        <v>1509</v>
      </c>
      <c r="C212" s="1" t="s">
        <v>1510</v>
      </c>
      <c r="D212" s="1" t="s">
        <v>45</v>
      </c>
      <c r="E212" s="15"/>
      <c r="F212" s="16" t="str">
        <f>VLOOKUP($A212,ConstantsUnits!$A:$C,3,false)</f>
        <v>MuonMassEnergyEquivalentInMeV</v>
      </c>
      <c r="G212" s="17" t="str">
        <f t="shared" si="1"/>
        <v>105.6583755</v>
      </c>
      <c r="H212" s="17">
        <f t="shared" si="2"/>
        <v>105.6583755</v>
      </c>
      <c r="I212" s="17" t="str">
        <f t="shared" si="3"/>
        <v>0.0000023</v>
      </c>
      <c r="J212" s="17">
        <f t="shared" si="4"/>
        <v>0.0000023</v>
      </c>
      <c r="K212" s="17" t="b">
        <f t="shared" si="5"/>
        <v>0</v>
      </c>
      <c r="L212" s="16" t="str">
        <f>IFERROR(__xludf.DUMMYFUNCTION("if(regexmatch(B212,""e(.*)$""),regexextract(B212,""e(.*)$""),"""")"),"")</f>
        <v/>
      </c>
      <c r="M212" s="18"/>
      <c r="N212" s="18">
        <f>countif(ConstantsUnits!C:C,F212)</f>
        <v>1</v>
      </c>
      <c r="O212" s="16" t="str">
        <f>VLOOKUP($A212,ConstantsUnits!$A:$A,1,false)</f>
        <v>muon mass energy equivalent in MeV</v>
      </c>
    </row>
    <row r="213">
      <c r="A213" s="1" t="s">
        <v>752</v>
      </c>
      <c r="B213" s="1" t="s">
        <v>1511</v>
      </c>
      <c r="C213" s="1" t="s">
        <v>1512</v>
      </c>
      <c r="D213" s="1" t="s">
        <v>48</v>
      </c>
      <c r="E213" s="15"/>
      <c r="F213" s="16" t="str">
        <f>VLOOKUP($A213,ConstantsUnits!$A:$C,3,false)</f>
        <v>MuonMassInAtomicMassUnit</v>
      </c>
      <c r="G213" s="17" t="str">
        <f t="shared" si="1"/>
        <v>0.1134289259</v>
      </c>
      <c r="H213" s="17">
        <f t="shared" si="2"/>
        <v>0.1134289259</v>
      </c>
      <c r="I213" s="17" t="str">
        <f t="shared" si="3"/>
        <v>0.0000000025</v>
      </c>
      <c r="J213" s="17">
        <f t="shared" si="4"/>
        <v>0.0000000025</v>
      </c>
      <c r="K213" s="17" t="b">
        <f t="shared" si="5"/>
        <v>0</v>
      </c>
      <c r="L213" s="16" t="str">
        <f>IFERROR(__xludf.DUMMYFUNCTION("if(regexmatch(B213,""e(.*)$""),regexextract(B213,""e(.*)$""),"""")"),"")</f>
        <v/>
      </c>
      <c r="M213" s="18"/>
      <c r="N213" s="18">
        <f>countif(ConstantsUnits!C:C,F213)</f>
        <v>1</v>
      </c>
      <c r="O213" s="16" t="str">
        <f>VLOOKUP($A213,ConstantsUnits!$A:$A,1,false)</f>
        <v>muon mass in u</v>
      </c>
    </row>
    <row r="214">
      <c r="A214" s="1" t="s">
        <v>755</v>
      </c>
      <c r="B214" s="1" t="s">
        <v>1513</v>
      </c>
      <c r="C214" s="1" t="s">
        <v>1514</v>
      </c>
      <c r="D214" s="1" t="s">
        <v>51</v>
      </c>
      <c r="E214" s="15"/>
      <c r="F214" s="16" t="str">
        <f>VLOOKUP($A214,ConstantsUnits!$A:$C,3,false)</f>
        <v>MuonMolarMass</v>
      </c>
      <c r="G214" s="17" t="str">
        <f t="shared" si="1"/>
        <v>1.134289259e-4</v>
      </c>
      <c r="H214" s="17">
        <f t="shared" si="2"/>
        <v>0.0001134289259</v>
      </c>
      <c r="I214" s="17" t="str">
        <f t="shared" si="3"/>
        <v>0.000000025e-4</v>
      </c>
      <c r="J214" s="17">
        <f t="shared" si="4"/>
        <v>0</v>
      </c>
      <c r="K214" s="17" t="b">
        <f t="shared" si="5"/>
        <v>0</v>
      </c>
      <c r="L214" s="16" t="str">
        <f>IFERROR(__xludf.DUMMYFUNCTION("if(regexmatch(B214,""e(.*)$""),regexextract(B214,""e(.*)$""),"""")"),"-4")</f>
        <v>-4</v>
      </c>
      <c r="M214" s="18"/>
      <c r="N214" s="18">
        <f>countif(ConstantsUnits!C:C,F214)</f>
        <v>1</v>
      </c>
      <c r="O214" s="16" t="str">
        <f>VLOOKUP($A214,ConstantsUnits!$A:$A,1,false)</f>
        <v>muon molar mass</v>
      </c>
    </row>
    <row r="215">
      <c r="A215" s="1" t="s">
        <v>758</v>
      </c>
      <c r="B215" s="1" t="s">
        <v>1515</v>
      </c>
      <c r="C215" s="1" t="s">
        <v>1512</v>
      </c>
      <c r="E215" s="15"/>
      <c r="F215" s="16" t="str">
        <f>VLOOKUP($A215,ConstantsUnits!$A:$C,3,false)</f>
        <v>MuonNeutronMassRatio</v>
      </c>
      <c r="G215" s="17" t="str">
        <f t="shared" si="1"/>
        <v>0.1124545170</v>
      </c>
      <c r="H215" s="17">
        <f t="shared" si="2"/>
        <v>0.112454517</v>
      </c>
      <c r="I215" s="17" t="str">
        <f t="shared" si="3"/>
        <v>0.0000000025</v>
      </c>
      <c r="J215" s="17">
        <f t="shared" si="4"/>
        <v>0.0000000025</v>
      </c>
      <c r="K215" s="17" t="b">
        <f t="shared" si="5"/>
        <v>0</v>
      </c>
      <c r="L215" s="16" t="str">
        <f>IFERROR(__xludf.DUMMYFUNCTION("if(regexmatch(B215,""e(.*)$""),regexextract(B215,""e(.*)$""),"""")"),"")</f>
        <v/>
      </c>
      <c r="M215" s="18"/>
      <c r="N215" s="18">
        <f>countif(ConstantsUnits!C:C,F215)</f>
        <v>1</v>
      </c>
      <c r="O215" s="16" t="str">
        <f>VLOOKUP($A215,ConstantsUnits!$A:$A,1,false)</f>
        <v>muon-neutron mass ratio</v>
      </c>
    </row>
    <row r="216">
      <c r="A216" s="1" t="s">
        <v>761</v>
      </c>
      <c r="B216" s="1" t="s">
        <v>1516</v>
      </c>
      <c r="C216" s="1" t="s">
        <v>1517</v>
      </c>
      <c r="E216" s="15"/>
      <c r="F216" s="16" t="str">
        <f>VLOOKUP($A216,ConstantsUnits!$A:$C,3,false)</f>
        <v>MuonProtonMagneticMomentRatio</v>
      </c>
      <c r="G216" s="17" t="str">
        <f t="shared" si="1"/>
        <v>-3.183345142</v>
      </c>
      <c r="H216" s="17">
        <f t="shared" si="2"/>
        <v>-3.183345142</v>
      </c>
      <c r="I216" s="17" t="str">
        <f t="shared" si="3"/>
        <v>0.000000071</v>
      </c>
      <c r="J216" s="17">
        <f t="shared" si="4"/>
        <v>0.000000071</v>
      </c>
      <c r="K216" s="17" t="b">
        <f t="shared" si="5"/>
        <v>0</v>
      </c>
      <c r="L216" s="16" t="str">
        <f>IFERROR(__xludf.DUMMYFUNCTION("if(regexmatch(B216,""e(.*)$""),regexextract(B216,""e(.*)$""),"""")"),"")</f>
        <v/>
      </c>
      <c r="M216" s="18"/>
      <c r="N216" s="18">
        <f>countif(ConstantsUnits!C:C,F216)</f>
        <v>1</v>
      </c>
      <c r="O216" s="16" t="str">
        <f>VLOOKUP($A216,ConstantsUnits!$A:$A,1,false)</f>
        <v>muon-proton mag. mom. ratio</v>
      </c>
    </row>
    <row r="217">
      <c r="A217" s="1" t="s">
        <v>764</v>
      </c>
      <c r="B217" s="1" t="s">
        <v>1518</v>
      </c>
      <c r="C217" s="1" t="s">
        <v>1512</v>
      </c>
      <c r="E217" s="15"/>
      <c r="F217" s="16" t="str">
        <f>VLOOKUP($A217,ConstantsUnits!$A:$C,3,false)</f>
        <v>MuonProtonMassRatio</v>
      </c>
      <c r="G217" s="17" t="str">
        <f t="shared" si="1"/>
        <v>0.1126095264</v>
      </c>
      <c r="H217" s="17">
        <f t="shared" si="2"/>
        <v>0.1126095264</v>
      </c>
      <c r="I217" s="17" t="str">
        <f t="shared" si="3"/>
        <v>0.0000000025</v>
      </c>
      <c r="J217" s="17">
        <f t="shared" si="4"/>
        <v>0.0000000025</v>
      </c>
      <c r="K217" s="17" t="b">
        <f t="shared" si="5"/>
        <v>0</v>
      </c>
      <c r="L217" s="16" t="str">
        <f>IFERROR(__xludf.DUMMYFUNCTION("if(regexmatch(B217,""e(.*)$""),regexextract(B217,""e(.*)$""),"""")"),"")</f>
        <v/>
      </c>
      <c r="M217" s="18"/>
      <c r="N217" s="18">
        <f>countif(ConstantsUnits!C:C,F217)</f>
        <v>1</v>
      </c>
      <c r="O217" s="16" t="str">
        <f>VLOOKUP($A217,ConstantsUnits!$A:$A,1,false)</f>
        <v>muon-proton mass ratio</v>
      </c>
    </row>
    <row r="218">
      <c r="A218" s="1" t="s">
        <v>767</v>
      </c>
      <c r="B218" s="1" t="s">
        <v>1519</v>
      </c>
      <c r="C218" s="1" t="s">
        <v>1520</v>
      </c>
      <c r="E218" s="15"/>
      <c r="F218" s="16" t="str">
        <f>VLOOKUP($A218,ConstantsUnits!$A:$C,3,false)</f>
        <v>MuonTauMassRatio</v>
      </c>
      <c r="G218" s="17" t="str">
        <f t="shared" si="1"/>
        <v>5.94635e-2</v>
      </c>
      <c r="H218" s="17">
        <f t="shared" si="2"/>
        <v>0.0594635</v>
      </c>
      <c r="I218" s="17" t="str">
        <f t="shared" si="3"/>
        <v>0.00040e-2</v>
      </c>
      <c r="J218" s="17">
        <f t="shared" si="4"/>
        <v>0.000004</v>
      </c>
      <c r="K218" s="17" t="b">
        <f t="shared" si="5"/>
        <v>0</v>
      </c>
      <c r="L218" s="16" t="str">
        <f>IFERROR(__xludf.DUMMYFUNCTION("if(regexmatch(B218,""e(.*)$""),regexextract(B218,""e(.*)$""),"""")"),"-2")</f>
        <v>-2</v>
      </c>
      <c r="M218" s="18"/>
      <c r="N218" s="18">
        <f>countif(ConstantsUnits!C:C,F218)</f>
        <v>1</v>
      </c>
      <c r="O218" s="16" t="str">
        <f>VLOOKUP($A218,ConstantsUnits!$A:$A,1,false)</f>
        <v>muon-tau mass ratio</v>
      </c>
    </row>
    <row r="219">
      <c r="A219" s="1" t="s">
        <v>770</v>
      </c>
      <c r="B219" s="1" t="s">
        <v>1231</v>
      </c>
      <c r="C219" s="1" t="s">
        <v>1232</v>
      </c>
      <c r="D219" s="1" t="s">
        <v>108</v>
      </c>
      <c r="E219" s="15"/>
      <c r="F219" s="16" t="str">
        <f>VLOOKUP($A219,ConstantsUnits!$A:$C,3,false)</f>
        <v>NaturalUnitOfAction</v>
      </c>
      <c r="G219" s="17" t="str">
        <f t="shared" si="1"/>
        <v>1.054571817e-34</v>
      </c>
      <c r="H219" s="17">
        <f t="shared" si="2"/>
        <v>0</v>
      </c>
      <c r="I219" s="17" t="str">
        <f t="shared" si="3"/>
        <v>(exact)</v>
      </c>
      <c r="J219" s="17" t="str">
        <f t="shared" si="4"/>
        <v/>
      </c>
      <c r="K219" s="17" t="b">
        <f t="shared" si="5"/>
        <v>1</v>
      </c>
      <c r="L219" s="16" t="str">
        <f>IFERROR(__xludf.DUMMYFUNCTION("if(regexmatch(B219,""e(.*)$""),regexextract(B219,""e(.*)$""),"""")"),"-34")</f>
        <v>-34</v>
      </c>
      <c r="M219" s="18"/>
      <c r="N219" s="18">
        <f>countif(ConstantsUnits!C:C,F219)</f>
        <v>1</v>
      </c>
      <c r="O219" s="16" t="str">
        <f>VLOOKUP($A219,ConstantsUnits!$A:$A,1,false)</f>
        <v>natural unit of action</v>
      </c>
    </row>
    <row r="220">
      <c r="A220" s="1" t="s">
        <v>773</v>
      </c>
      <c r="B220" s="1" t="s">
        <v>1521</v>
      </c>
      <c r="C220" s="1" t="s">
        <v>1232</v>
      </c>
      <c r="D220" s="1" t="s">
        <v>774</v>
      </c>
      <c r="E220" s="15"/>
      <c r="F220" s="16" t="str">
        <f>VLOOKUP($A220,ConstantsUnits!$A:$C,3,false)</f>
        <v>NaturalUnitOfActionInEVS</v>
      </c>
      <c r="G220" s="17" t="str">
        <f t="shared" si="1"/>
        <v>6.582119569e-16</v>
      </c>
      <c r="H220" s="17">
        <f t="shared" si="2"/>
        <v>0</v>
      </c>
      <c r="I220" s="17" t="str">
        <f t="shared" si="3"/>
        <v>(exact)</v>
      </c>
      <c r="J220" s="17" t="str">
        <f t="shared" si="4"/>
        <v/>
      </c>
      <c r="K220" s="17" t="b">
        <f t="shared" si="5"/>
        <v>1</v>
      </c>
      <c r="L220" s="16" t="str">
        <f>IFERROR(__xludf.DUMMYFUNCTION("if(regexmatch(B220,""e(.*)$""),regexextract(B220,""e(.*)$""),"""")"),"-16")</f>
        <v>-16</v>
      </c>
      <c r="M220" s="18"/>
      <c r="N220" s="18">
        <f>countif(ConstantsUnits!C:C,F220)</f>
        <v>1</v>
      </c>
      <c r="O220" s="16" t="str">
        <f>VLOOKUP($A220,ConstantsUnits!$A:$A,1,false)</f>
        <v>natural unit of action in eV s</v>
      </c>
    </row>
    <row r="221">
      <c r="A221" s="1" t="s">
        <v>777</v>
      </c>
      <c r="B221" s="1" t="s">
        <v>1349</v>
      </c>
      <c r="C221" s="1" t="s">
        <v>1350</v>
      </c>
      <c r="D221" s="1" t="s">
        <v>41</v>
      </c>
      <c r="E221" s="15"/>
      <c r="F221" s="16" t="str">
        <f>VLOOKUP($A221,ConstantsUnits!$A:$C,3,false)</f>
        <v>NaturalUnitOfEnergy</v>
      </c>
      <c r="G221" s="17" t="str">
        <f t="shared" si="1"/>
        <v>8.1871057769e-14</v>
      </c>
      <c r="H221" s="17">
        <f t="shared" si="2"/>
        <v>0</v>
      </c>
      <c r="I221" s="17" t="str">
        <f t="shared" si="3"/>
        <v>0.0000000025e-14</v>
      </c>
      <c r="J221" s="17">
        <f t="shared" si="4"/>
        <v>0</v>
      </c>
      <c r="K221" s="17" t="b">
        <f t="shared" si="5"/>
        <v>0</v>
      </c>
      <c r="L221" s="16" t="str">
        <f>IFERROR(__xludf.DUMMYFUNCTION("if(regexmatch(B221,""e(.*)$""),regexextract(B221,""e(.*)$""),"""")"),"-14")</f>
        <v>-14</v>
      </c>
      <c r="M221" s="18"/>
      <c r="N221" s="18">
        <f>countif(ConstantsUnits!C:C,F221)</f>
        <v>1</v>
      </c>
      <c r="O221" s="16" t="str">
        <f>VLOOKUP($A221,ConstantsUnits!$A:$A,1,false)</f>
        <v>natural unit of energy</v>
      </c>
    </row>
    <row r="222">
      <c r="A222" s="1" t="s">
        <v>780</v>
      </c>
      <c r="B222" s="1" t="s">
        <v>1351</v>
      </c>
      <c r="C222" s="1" t="s">
        <v>1352</v>
      </c>
      <c r="D222" s="1" t="s">
        <v>45</v>
      </c>
      <c r="E222" s="15"/>
      <c r="F222" s="16" t="str">
        <f>VLOOKUP($A222,ConstantsUnits!$A:$C,3,false)</f>
        <v>NaturalUnitOfEnergyInMeV</v>
      </c>
      <c r="G222" s="17" t="str">
        <f t="shared" si="1"/>
        <v>0.51099895000</v>
      </c>
      <c r="H222" s="17">
        <f t="shared" si="2"/>
        <v>0.51099895</v>
      </c>
      <c r="I222" s="17" t="str">
        <f t="shared" si="3"/>
        <v>0.00000000015</v>
      </c>
      <c r="J222" s="17">
        <f t="shared" si="4"/>
        <v>0.00000000015</v>
      </c>
      <c r="K222" s="17" t="b">
        <f t="shared" si="5"/>
        <v>0</v>
      </c>
      <c r="L222" s="16" t="str">
        <f>IFERROR(__xludf.DUMMYFUNCTION("if(regexmatch(B222,""e(.*)$""),regexextract(B222,""e(.*)$""),"""")"),"")</f>
        <v/>
      </c>
      <c r="M222" s="18"/>
      <c r="N222" s="18">
        <f>countif(ConstantsUnits!C:C,F222)</f>
        <v>1</v>
      </c>
      <c r="O222" s="16" t="str">
        <f>VLOOKUP($A222,ConstantsUnits!$A:$A,1,false)</f>
        <v>natural unit of energy in MeV</v>
      </c>
    </row>
    <row r="223">
      <c r="A223" s="1" t="s">
        <v>782</v>
      </c>
      <c r="B223" s="1" t="s">
        <v>1522</v>
      </c>
      <c r="C223" s="1" t="s">
        <v>1523</v>
      </c>
      <c r="D223" s="1" t="s">
        <v>59</v>
      </c>
      <c r="E223" s="15"/>
      <c r="F223" s="16" t="str">
        <f>VLOOKUP($A223,ConstantsUnits!$A:$C,3,false)</f>
        <v>NaturalUnitOfLength</v>
      </c>
      <c r="G223" s="17" t="str">
        <f t="shared" si="1"/>
        <v>3.8615926796e-13</v>
      </c>
      <c r="H223" s="17">
        <f t="shared" si="2"/>
        <v>0</v>
      </c>
      <c r="I223" s="17" t="str">
        <f t="shared" si="3"/>
        <v>0.0000000012e-13</v>
      </c>
      <c r="J223" s="17">
        <f t="shared" si="4"/>
        <v>0</v>
      </c>
      <c r="K223" s="17" t="b">
        <f t="shared" si="5"/>
        <v>0</v>
      </c>
      <c r="L223" s="16" t="str">
        <f>IFERROR(__xludf.DUMMYFUNCTION("if(regexmatch(B223,""e(.*)$""),regexextract(B223,""e(.*)$""),"""")"),"-13")</f>
        <v>-13</v>
      </c>
      <c r="M223" s="18"/>
      <c r="N223" s="18">
        <f>countif(ConstantsUnits!C:C,F223)</f>
        <v>1</v>
      </c>
      <c r="O223" s="16" t="str">
        <f>VLOOKUP($A223,ConstantsUnits!$A:$A,1,false)</f>
        <v>natural unit of length</v>
      </c>
    </row>
    <row r="224">
      <c r="A224" s="1" t="s">
        <v>785</v>
      </c>
      <c r="B224" s="1" t="s">
        <v>1262</v>
      </c>
      <c r="C224" s="1" t="s">
        <v>1263</v>
      </c>
      <c r="D224" s="1" t="s">
        <v>38</v>
      </c>
      <c r="E224" s="15"/>
      <c r="F224" s="16" t="str">
        <f>VLOOKUP($A224,ConstantsUnits!$A:$C,3,false)</f>
        <v>NaturalUnitOfMass</v>
      </c>
      <c r="G224" s="17" t="str">
        <f t="shared" si="1"/>
        <v>9.1093837015e-31</v>
      </c>
      <c r="H224" s="17">
        <f t="shared" si="2"/>
        <v>0</v>
      </c>
      <c r="I224" s="17" t="str">
        <f t="shared" si="3"/>
        <v>0.0000000028e-31</v>
      </c>
      <c r="J224" s="17">
        <f t="shared" si="4"/>
        <v>0</v>
      </c>
      <c r="K224" s="17" t="b">
        <f t="shared" si="5"/>
        <v>0</v>
      </c>
      <c r="L224" s="16" t="str">
        <f>IFERROR(__xludf.DUMMYFUNCTION("if(regexmatch(B224,""e(.*)$""),regexextract(B224,""e(.*)$""),"""")"),"-31")</f>
        <v>-31</v>
      </c>
      <c r="M224" s="18"/>
      <c r="N224" s="18">
        <f>countif(ConstantsUnits!C:C,F224)</f>
        <v>1</v>
      </c>
      <c r="O224" s="16" t="str">
        <f>VLOOKUP($A224,ConstantsUnits!$A:$A,1,false)</f>
        <v>natural unit of mass</v>
      </c>
    </row>
    <row r="225">
      <c r="A225" s="1" t="s">
        <v>788</v>
      </c>
      <c r="B225" s="1" t="s">
        <v>1524</v>
      </c>
      <c r="C225" s="1" t="s">
        <v>1525</v>
      </c>
      <c r="D225" s="1" t="s">
        <v>182</v>
      </c>
      <c r="E225" s="15"/>
      <c r="F225" s="16" t="str">
        <f>VLOOKUP($A225,ConstantsUnits!$A:$C,3,false)</f>
        <v>NaturalUnitOfMomentum</v>
      </c>
      <c r="G225" s="17" t="str">
        <f t="shared" si="1"/>
        <v>2.73092453075e-22</v>
      </c>
      <c r="H225" s="17">
        <f t="shared" si="2"/>
        <v>0</v>
      </c>
      <c r="I225" s="17" t="str">
        <f t="shared" si="3"/>
        <v>0.00000000082e-22</v>
      </c>
      <c r="J225" s="17">
        <f t="shared" si="4"/>
        <v>0</v>
      </c>
      <c r="K225" s="17" t="b">
        <f t="shared" si="5"/>
        <v>0</v>
      </c>
      <c r="L225" s="16" t="str">
        <f>IFERROR(__xludf.DUMMYFUNCTION("if(regexmatch(B225,""e(.*)$""),regexextract(B225,""e(.*)$""),"""")"),"-22")</f>
        <v>-22</v>
      </c>
      <c r="M225" s="18"/>
      <c r="N225" s="18">
        <f>countif(ConstantsUnits!C:C,F225)</f>
        <v>1</v>
      </c>
      <c r="O225" s="16" t="str">
        <f>VLOOKUP($A225,ConstantsUnits!$A:$A,1,false)</f>
        <v>natural unit of momentum</v>
      </c>
    </row>
    <row r="226">
      <c r="A226" s="1" t="s">
        <v>791</v>
      </c>
      <c r="B226" s="1" t="s">
        <v>1351</v>
      </c>
      <c r="C226" s="1" t="s">
        <v>1352</v>
      </c>
      <c r="D226" s="1" t="s">
        <v>792</v>
      </c>
      <c r="E226" s="15"/>
      <c r="F226" s="16" t="str">
        <f>VLOOKUP($A226,ConstantsUnits!$A:$C,3,false)</f>
        <v>NaturalUnitOfMomentumInMeV-PER-c</v>
      </c>
      <c r="G226" s="17" t="str">
        <f t="shared" si="1"/>
        <v>0.51099895000</v>
      </c>
      <c r="H226" s="17">
        <f t="shared" si="2"/>
        <v>0.51099895</v>
      </c>
      <c r="I226" s="17" t="str">
        <f t="shared" si="3"/>
        <v>0.00000000015</v>
      </c>
      <c r="J226" s="17">
        <f t="shared" si="4"/>
        <v>0.00000000015</v>
      </c>
      <c r="K226" s="17" t="b">
        <f t="shared" si="5"/>
        <v>0</v>
      </c>
      <c r="L226" s="16" t="str">
        <f>IFERROR(__xludf.DUMMYFUNCTION("if(regexmatch(B226,""e(.*)$""),regexextract(B226,""e(.*)$""),"""")"),"")</f>
        <v/>
      </c>
      <c r="M226" s="18"/>
      <c r="N226" s="18">
        <f>countif(ConstantsUnits!C:C,F226)</f>
        <v>1</v>
      </c>
      <c r="O226" s="16" t="str">
        <f>VLOOKUP($A226,ConstantsUnits!$A:$A,1,false)</f>
        <v>natural unit of momentum in MeV/c</v>
      </c>
    </row>
    <row r="227">
      <c r="A227" s="1" t="s">
        <v>795</v>
      </c>
      <c r="B227" s="1" t="s">
        <v>1526</v>
      </c>
      <c r="C227" s="1" t="s">
        <v>1527</v>
      </c>
      <c r="D227" s="1" t="s">
        <v>192</v>
      </c>
      <c r="E227" s="15"/>
      <c r="F227" s="16" t="str">
        <f>VLOOKUP($A227,ConstantsUnits!$A:$C,3,false)</f>
        <v>NaturalUnitOfTime</v>
      </c>
      <c r="G227" s="17" t="str">
        <f t="shared" si="1"/>
        <v>1.28808866819e-21</v>
      </c>
      <c r="H227" s="17">
        <f t="shared" si="2"/>
        <v>0</v>
      </c>
      <c r="I227" s="17" t="str">
        <f t="shared" si="3"/>
        <v>0.00000000039e-21</v>
      </c>
      <c r="J227" s="17">
        <f t="shared" si="4"/>
        <v>0</v>
      </c>
      <c r="K227" s="17" t="b">
        <f t="shared" si="5"/>
        <v>0</v>
      </c>
      <c r="L227" s="16" t="str">
        <f>IFERROR(__xludf.DUMMYFUNCTION("if(regexmatch(B227,""e(.*)$""),regexextract(B227,""e(.*)$""),"""")"),"-21")</f>
        <v>-21</v>
      </c>
      <c r="M227" s="18"/>
      <c r="N227" s="18">
        <f>countif(ConstantsUnits!C:C,F227)</f>
        <v>1</v>
      </c>
      <c r="O227" s="16" t="str">
        <f>VLOOKUP($A227,ConstantsUnits!$A:$A,1,false)</f>
        <v>natural unit of time</v>
      </c>
    </row>
    <row r="228">
      <c r="A228" s="1" t="s">
        <v>798</v>
      </c>
      <c r="B228" s="1" t="s">
        <v>1445</v>
      </c>
      <c r="C228" s="1" t="s">
        <v>1232</v>
      </c>
      <c r="D228" s="1" t="s">
        <v>196</v>
      </c>
      <c r="E228" s="15"/>
      <c r="F228" s="16" t="str">
        <f>VLOOKUP($A228,ConstantsUnits!$A:$C,3,false)</f>
        <v>NaturalUnitOfVelocity</v>
      </c>
      <c r="G228" s="17" t="str">
        <f t="shared" si="1"/>
        <v>299792458</v>
      </c>
      <c r="H228" s="17">
        <f t="shared" si="2"/>
        <v>299792458</v>
      </c>
      <c r="I228" s="17" t="str">
        <f t="shared" si="3"/>
        <v>(exact)</v>
      </c>
      <c r="J228" s="17" t="str">
        <f t="shared" si="4"/>
        <v/>
      </c>
      <c r="K228" s="17" t="b">
        <f t="shared" si="5"/>
        <v>0</v>
      </c>
      <c r="L228" s="16" t="str">
        <f>IFERROR(__xludf.DUMMYFUNCTION("if(regexmatch(B228,""e(.*)$""),regexextract(B228,""e(.*)$""),"""")"),"")</f>
        <v/>
      </c>
      <c r="M228" s="18"/>
      <c r="N228" s="18">
        <f>countif(ConstantsUnits!C:C,F228)</f>
        <v>1</v>
      </c>
      <c r="O228" s="16" t="str">
        <f>VLOOKUP($A228,ConstantsUnits!$A:$A,1,false)</f>
        <v>natural unit of velocity</v>
      </c>
    </row>
    <row r="229">
      <c r="A229" s="1" t="s">
        <v>801</v>
      </c>
      <c r="B229" s="1" t="s">
        <v>1528</v>
      </c>
      <c r="C229" s="1" t="s">
        <v>1529</v>
      </c>
      <c r="D229" s="1" t="s">
        <v>59</v>
      </c>
      <c r="E229" s="15"/>
      <c r="F229" s="16" t="str">
        <f>VLOOKUP($A229,ConstantsUnits!$A:$C,3,false)</f>
        <v>NeutronComptonWavelength</v>
      </c>
      <c r="G229" s="17" t="str">
        <f t="shared" si="1"/>
        <v>1.31959090581e-15</v>
      </c>
      <c r="H229" s="17">
        <f t="shared" si="2"/>
        <v>0</v>
      </c>
      <c r="I229" s="17" t="str">
        <f t="shared" si="3"/>
        <v>0.00000000075e-15</v>
      </c>
      <c r="J229" s="17">
        <f t="shared" si="4"/>
        <v>0</v>
      </c>
      <c r="K229" s="17" t="b">
        <f t="shared" si="5"/>
        <v>0</v>
      </c>
      <c r="L229" s="16" t="str">
        <f>IFERROR(__xludf.DUMMYFUNCTION("if(regexmatch(B229,""e(.*)$""),regexextract(B229,""e(.*)$""),"""")"),"-15")</f>
        <v>-15</v>
      </c>
      <c r="M229" s="18"/>
      <c r="N229" s="18">
        <f>countif(ConstantsUnits!C:C,F229)</f>
        <v>1</v>
      </c>
      <c r="O229" s="16" t="str">
        <f>VLOOKUP($A229,ConstantsUnits!$A:$A,1,false)</f>
        <v>neutron Compton wavelength</v>
      </c>
    </row>
    <row r="230">
      <c r="A230" s="1" t="s">
        <v>805</v>
      </c>
      <c r="B230" s="1" t="s">
        <v>1530</v>
      </c>
      <c r="C230" s="1" t="s">
        <v>1531</v>
      </c>
      <c r="E230" s="15"/>
      <c r="F230" s="16" t="str">
        <f>VLOOKUP($A230,ConstantsUnits!$A:$C,3,false)</f>
        <v>NeutronElectronMagneticMomentRatio</v>
      </c>
      <c r="G230" s="17" t="str">
        <f t="shared" si="1"/>
        <v>1.04066882e-3</v>
      </c>
      <c r="H230" s="17">
        <f t="shared" si="2"/>
        <v>0.00104066882</v>
      </c>
      <c r="I230" s="17" t="str">
        <f t="shared" si="3"/>
        <v>0.00000025e-3</v>
      </c>
      <c r="J230" s="17">
        <f t="shared" si="4"/>
        <v>0.00000000025</v>
      </c>
      <c r="K230" s="17" t="b">
        <f t="shared" si="5"/>
        <v>0</v>
      </c>
      <c r="L230" s="16" t="str">
        <f>IFERROR(__xludf.DUMMYFUNCTION("if(regexmatch(B230,""e(.*)$""),regexextract(B230,""e(.*)$""),"""")"),"-3")</f>
        <v>-3</v>
      </c>
      <c r="M230" s="18"/>
      <c r="N230" s="18">
        <f>countif(ConstantsUnits!C:C,F230)</f>
        <v>1</v>
      </c>
      <c r="O230" s="16" t="str">
        <f>VLOOKUP($A230,ConstantsUnits!$A:$A,1,false)</f>
        <v>neutron-electron mag. mom. ratio</v>
      </c>
    </row>
    <row r="231">
      <c r="A231" s="1" t="s">
        <v>808</v>
      </c>
      <c r="B231" s="1" t="s">
        <v>1532</v>
      </c>
      <c r="C231" s="1" t="s">
        <v>1533</v>
      </c>
      <c r="E231" s="15"/>
      <c r="F231" s="16" t="str">
        <f>VLOOKUP($A231,ConstantsUnits!$A:$C,3,false)</f>
        <v>NeutronElectronMassRatio</v>
      </c>
      <c r="G231" s="17" t="str">
        <f t="shared" si="1"/>
        <v>1838.68366173</v>
      </c>
      <c r="H231" s="17">
        <f t="shared" si="2"/>
        <v>1838.683662</v>
      </c>
      <c r="I231" s="17" t="str">
        <f t="shared" si="3"/>
        <v>0.00000089</v>
      </c>
      <c r="J231" s="17">
        <f t="shared" si="4"/>
        <v>0.00000089</v>
      </c>
      <c r="K231" s="17" t="b">
        <f t="shared" si="5"/>
        <v>0</v>
      </c>
      <c r="L231" s="16" t="str">
        <f>IFERROR(__xludf.DUMMYFUNCTION("if(regexmatch(B231,""e(.*)$""),regexextract(B231,""e(.*)$""),"""")"),"")</f>
        <v/>
      </c>
      <c r="M231" s="18"/>
      <c r="N231" s="18">
        <f>countif(ConstantsUnits!C:C,F231)</f>
        <v>1</v>
      </c>
      <c r="O231" s="16" t="str">
        <f>VLOOKUP($A231,ConstantsUnits!$A:$A,1,false)</f>
        <v>neutron-electron mass ratio</v>
      </c>
    </row>
    <row r="232">
      <c r="A232" s="1" t="s">
        <v>811</v>
      </c>
      <c r="B232" s="1" t="s">
        <v>1534</v>
      </c>
      <c r="C232" s="1" t="s">
        <v>1535</v>
      </c>
      <c r="E232" s="15"/>
      <c r="F232" s="16" t="str">
        <f>VLOOKUP($A232,ConstantsUnits!$A:$C,3,false)</f>
        <v>NeutronGFactor</v>
      </c>
      <c r="G232" s="17" t="str">
        <f t="shared" si="1"/>
        <v>-3.82608545</v>
      </c>
      <c r="H232" s="17">
        <f t="shared" si="2"/>
        <v>-3.82608545</v>
      </c>
      <c r="I232" s="17" t="str">
        <f t="shared" si="3"/>
        <v>0.00000090</v>
      </c>
      <c r="J232" s="17">
        <f t="shared" si="4"/>
        <v>0.0000009</v>
      </c>
      <c r="K232" s="17" t="b">
        <f t="shared" si="5"/>
        <v>0</v>
      </c>
      <c r="L232" s="16" t="str">
        <f>IFERROR(__xludf.DUMMYFUNCTION("if(regexmatch(B232,""e(.*)$""),regexextract(B232,""e(.*)$""),"""")"),"")</f>
        <v/>
      </c>
      <c r="M232" s="18"/>
      <c r="N232" s="18">
        <f>countif(ConstantsUnits!C:C,F232)</f>
        <v>1</v>
      </c>
      <c r="O232" s="16" t="str">
        <f>VLOOKUP($A232,ConstantsUnits!$A:$A,1,false)</f>
        <v>neutron g factor</v>
      </c>
    </row>
    <row r="233">
      <c r="A233" s="1" t="s">
        <v>814</v>
      </c>
      <c r="B233" s="1" t="s">
        <v>1536</v>
      </c>
      <c r="C233" s="1" t="s">
        <v>1537</v>
      </c>
      <c r="D233" s="1" t="s">
        <v>361</v>
      </c>
      <c r="E233" s="15"/>
      <c r="F233" s="16" t="str">
        <f>VLOOKUP($A233,ConstantsUnits!$A:$C,3,false)</f>
        <v>NeutronGyromagneticRatio</v>
      </c>
      <c r="G233" s="17" t="str">
        <f t="shared" si="1"/>
        <v>1.83247171e8</v>
      </c>
      <c r="H233" s="17">
        <f t="shared" si="2"/>
        <v>183247171</v>
      </c>
      <c r="I233" s="17" t="str">
        <f t="shared" si="3"/>
        <v>0.00000043e8</v>
      </c>
      <c r="J233" s="17">
        <f t="shared" si="4"/>
        <v>43</v>
      </c>
      <c r="K233" s="17" t="b">
        <f t="shared" si="5"/>
        <v>0</v>
      </c>
      <c r="L233" s="16" t="str">
        <f>IFERROR(__xludf.DUMMYFUNCTION("if(regexmatch(B233,""e(.*)$""),regexextract(B233,""e(.*)$""),"""")"),"8")</f>
        <v>8</v>
      </c>
      <c r="M233" s="18"/>
      <c r="N233" s="18">
        <f>countif(ConstantsUnits!C:C,F233)</f>
        <v>1</v>
      </c>
      <c r="O233" s="16" t="str">
        <f>VLOOKUP($A233,ConstantsUnits!$A:$A,1,false)</f>
        <v>neutron gyromag. ratio</v>
      </c>
    </row>
    <row r="234">
      <c r="A234" s="1" t="s">
        <v>818</v>
      </c>
      <c r="B234" s="1" t="s">
        <v>1538</v>
      </c>
      <c r="C234" s="1" t="s">
        <v>1539</v>
      </c>
      <c r="D234" s="1" t="s">
        <v>367</v>
      </c>
      <c r="E234" s="15"/>
      <c r="F234" s="16" t="str">
        <f>VLOOKUP($A234,ConstantsUnits!$A:$C,3,false)</f>
        <v>NeutronGyromagneticRatioInMhzPerT</v>
      </c>
      <c r="G234" s="17" t="str">
        <f t="shared" si="1"/>
        <v>29.1646931</v>
      </c>
      <c r="H234" s="17">
        <f t="shared" si="2"/>
        <v>29.1646931</v>
      </c>
      <c r="I234" s="17" t="str">
        <f t="shared" si="3"/>
        <v>0.0000069</v>
      </c>
      <c r="J234" s="17">
        <f t="shared" si="4"/>
        <v>0.0000069</v>
      </c>
      <c r="K234" s="17" t="b">
        <f t="shared" si="5"/>
        <v>0</v>
      </c>
      <c r="L234" s="16" t="str">
        <f>IFERROR(__xludf.DUMMYFUNCTION("if(regexmatch(B234,""e(.*)$""),regexextract(B234,""e(.*)$""),"""")"),"")</f>
        <v/>
      </c>
      <c r="M234" s="18"/>
      <c r="N234" s="18">
        <f>countif(ConstantsUnits!C:C,F234)</f>
        <v>1</v>
      </c>
      <c r="O234" s="16" t="str">
        <f>VLOOKUP($A234,ConstantsUnits!$A:$A,1,false)</f>
        <v>neutron gyromag. ratio in MHz/T</v>
      </c>
    </row>
    <row r="235">
      <c r="A235" s="1" t="s">
        <v>821</v>
      </c>
      <c r="B235" s="1" t="s">
        <v>1540</v>
      </c>
      <c r="C235" s="1" t="s">
        <v>1541</v>
      </c>
      <c r="D235" s="1" t="s">
        <v>165</v>
      </c>
      <c r="E235" s="15"/>
      <c r="F235" s="16" t="str">
        <f>VLOOKUP($A235,ConstantsUnits!$A:$C,3,false)</f>
        <v>NeutronMagneticMoment</v>
      </c>
      <c r="G235" s="17" t="str">
        <f t="shared" si="1"/>
        <v>-9.6623651e-27</v>
      </c>
      <c r="H235" s="17">
        <f t="shared" si="2"/>
        <v>0</v>
      </c>
      <c r="I235" s="17" t="str">
        <f t="shared" si="3"/>
        <v>0.0000023e-27</v>
      </c>
      <c r="J235" s="17">
        <f t="shared" si="4"/>
        <v>0</v>
      </c>
      <c r="K235" s="17" t="b">
        <f t="shared" si="5"/>
        <v>0</v>
      </c>
      <c r="L235" s="16" t="str">
        <f>IFERROR(__xludf.DUMMYFUNCTION("if(regexmatch(B235,""e(.*)$""),regexextract(B235,""e(.*)$""),"""")"),"-27")</f>
        <v>-27</v>
      </c>
      <c r="M235" s="18"/>
      <c r="N235" s="18">
        <f>countif(ConstantsUnits!C:C,F235)</f>
        <v>1</v>
      </c>
      <c r="O235" s="16" t="str">
        <f>VLOOKUP($A235,ConstantsUnits!$A:$A,1,false)</f>
        <v>neutron mag. mom.</v>
      </c>
    </row>
    <row r="236">
      <c r="A236" s="1" t="s">
        <v>824</v>
      </c>
      <c r="B236" s="1" t="s">
        <v>1542</v>
      </c>
      <c r="C236" s="1" t="s">
        <v>1531</v>
      </c>
      <c r="E236" s="15"/>
      <c r="F236" s="16" t="str">
        <f>VLOOKUP($A236,ConstantsUnits!$A:$C,3,false)</f>
        <v>NeutronMagneticMomentToBohrMagnetonRatio</v>
      </c>
      <c r="G236" s="17" t="str">
        <f t="shared" si="1"/>
        <v>-1.04187563e-3</v>
      </c>
      <c r="H236" s="17">
        <f t="shared" si="2"/>
        <v>-0.00104187563</v>
      </c>
      <c r="I236" s="17" t="str">
        <f t="shared" si="3"/>
        <v>0.00000025e-3</v>
      </c>
      <c r="J236" s="17">
        <f t="shared" si="4"/>
        <v>0.00000000025</v>
      </c>
      <c r="K236" s="17" t="b">
        <f t="shared" si="5"/>
        <v>0</v>
      </c>
      <c r="L236" s="16" t="str">
        <f>IFERROR(__xludf.DUMMYFUNCTION("if(regexmatch(B236,""e(.*)$""),regexextract(B236,""e(.*)$""),"""")"),"-3")</f>
        <v>-3</v>
      </c>
      <c r="M236" s="18"/>
      <c r="N236" s="18">
        <f>countif(ConstantsUnits!C:C,F236)</f>
        <v>1</v>
      </c>
      <c r="O236" s="16" t="str">
        <f>VLOOKUP($A236,ConstantsUnits!$A:$A,1,false)</f>
        <v>neutron mag. mom. to Bohr magneton ratio</v>
      </c>
    </row>
    <row r="237">
      <c r="A237" s="1" t="s">
        <v>827</v>
      </c>
      <c r="B237" s="1" t="s">
        <v>1543</v>
      </c>
      <c r="C237" s="1" t="s">
        <v>1544</v>
      </c>
      <c r="E237" s="15"/>
      <c r="F237" s="16" t="str">
        <f>VLOOKUP($A237,ConstantsUnits!$A:$C,3,false)</f>
        <v>NeutronMagneticMomentToNuclearMagnetonRatio</v>
      </c>
      <c r="G237" s="17" t="str">
        <f t="shared" si="1"/>
        <v>-1.91304273</v>
      </c>
      <c r="H237" s="17">
        <f t="shared" si="2"/>
        <v>-1.91304273</v>
      </c>
      <c r="I237" s="17" t="str">
        <f t="shared" si="3"/>
        <v>0.00000045</v>
      </c>
      <c r="J237" s="17">
        <f t="shared" si="4"/>
        <v>0.00000045</v>
      </c>
      <c r="K237" s="17" t="b">
        <f t="shared" si="5"/>
        <v>0</v>
      </c>
      <c r="L237" s="16" t="str">
        <f>IFERROR(__xludf.DUMMYFUNCTION("if(regexmatch(B237,""e(.*)$""),regexextract(B237,""e(.*)$""),"""")"),"")</f>
        <v/>
      </c>
      <c r="M237" s="18"/>
      <c r="N237" s="18">
        <f>countif(ConstantsUnits!C:C,F237)</f>
        <v>1</v>
      </c>
      <c r="O237" s="16" t="str">
        <f>VLOOKUP($A237,ConstantsUnits!$A:$A,1,false)</f>
        <v>neutron mag. mom. to nuclear magneton ratio</v>
      </c>
    </row>
    <row r="238">
      <c r="A238" s="1" t="s">
        <v>830</v>
      </c>
      <c r="B238" s="1" t="s">
        <v>1545</v>
      </c>
      <c r="C238" s="1" t="s">
        <v>1546</v>
      </c>
      <c r="D238" s="1" t="s">
        <v>38</v>
      </c>
      <c r="E238" s="15"/>
      <c r="F238" s="16" t="str">
        <f>VLOOKUP($A238,ConstantsUnits!$A:$C,3,false)</f>
        <v>NeutronMass</v>
      </c>
      <c r="G238" s="17" t="str">
        <f t="shared" si="1"/>
        <v>1.67492749804e-27</v>
      </c>
      <c r="H238" s="17">
        <f t="shared" si="2"/>
        <v>0</v>
      </c>
      <c r="I238" s="17" t="str">
        <f t="shared" si="3"/>
        <v>0.00000000095e-27</v>
      </c>
      <c r="J238" s="17">
        <f t="shared" si="4"/>
        <v>0</v>
      </c>
      <c r="K238" s="17" t="b">
        <f t="shared" si="5"/>
        <v>0</v>
      </c>
      <c r="L238" s="16" t="str">
        <f>IFERROR(__xludf.DUMMYFUNCTION("if(regexmatch(B238,""e(.*)$""),regexextract(B238,""e(.*)$""),"""")"),"-27")</f>
        <v>-27</v>
      </c>
      <c r="M238" s="18"/>
      <c r="N238" s="18">
        <f>countif(ConstantsUnits!C:C,F238)</f>
        <v>1</v>
      </c>
      <c r="O238" s="16" t="str">
        <f>VLOOKUP($A238,ConstantsUnits!$A:$A,1,false)</f>
        <v>neutron mass</v>
      </c>
    </row>
    <row r="239">
      <c r="A239" s="1" t="s">
        <v>833</v>
      </c>
      <c r="B239" s="1" t="s">
        <v>1547</v>
      </c>
      <c r="C239" s="1" t="s">
        <v>1548</v>
      </c>
      <c r="D239" s="1" t="s">
        <v>41</v>
      </c>
      <c r="E239" s="15"/>
      <c r="F239" s="16" t="str">
        <f>VLOOKUP($A239,ConstantsUnits!$A:$C,3,false)</f>
        <v>NeutronMassEnergyEquivalent</v>
      </c>
      <c r="G239" s="17" t="str">
        <f t="shared" si="1"/>
        <v>1.50534976287e-10</v>
      </c>
      <c r="H239" s="17">
        <f t="shared" si="2"/>
        <v>0.0000000001505349763</v>
      </c>
      <c r="I239" s="17" t="str">
        <f t="shared" si="3"/>
        <v>0.00000000086e-10</v>
      </c>
      <c r="J239" s="17">
        <f t="shared" si="4"/>
        <v>0</v>
      </c>
      <c r="K239" s="17" t="b">
        <f t="shared" si="5"/>
        <v>0</v>
      </c>
      <c r="L239" s="16" t="str">
        <f>IFERROR(__xludf.DUMMYFUNCTION("if(regexmatch(B239,""e(.*)$""),regexextract(B239,""e(.*)$""),"""")"),"-10")</f>
        <v>-10</v>
      </c>
      <c r="M239" s="18"/>
      <c r="N239" s="18">
        <f>countif(ConstantsUnits!C:C,F239)</f>
        <v>1</v>
      </c>
      <c r="O239" s="16" t="str">
        <f>VLOOKUP($A239,ConstantsUnits!$A:$A,1,false)</f>
        <v>neutron mass energy equivalent</v>
      </c>
    </row>
    <row r="240">
      <c r="A240" s="1" t="s">
        <v>836</v>
      </c>
      <c r="B240" s="1" t="s">
        <v>1549</v>
      </c>
      <c r="C240" s="1" t="s">
        <v>1550</v>
      </c>
      <c r="D240" s="1" t="s">
        <v>45</v>
      </c>
      <c r="E240" s="15"/>
      <c r="F240" s="16" t="str">
        <f>VLOOKUP($A240,ConstantsUnits!$A:$C,3,false)</f>
        <v>NeutronMassEnergyEquivalentInMeV</v>
      </c>
      <c r="G240" s="17" t="str">
        <f t="shared" si="1"/>
        <v>939.56542052</v>
      </c>
      <c r="H240" s="17">
        <f t="shared" si="2"/>
        <v>939.5654205</v>
      </c>
      <c r="I240" s="17" t="str">
        <f t="shared" si="3"/>
        <v>0.00000054</v>
      </c>
      <c r="J240" s="17">
        <f t="shared" si="4"/>
        <v>0.00000054</v>
      </c>
      <c r="K240" s="17" t="b">
        <f t="shared" si="5"/>
        <v>0</v>
      </c>
      <c r="L240" s="16" t="str">
        <f>IFERROR(__xludf.DUMMYFUNCTION("if(regexmatch(B240,""e(.*)$""),regexextract(B240,""e(.*)$""),"""")"),"")</f>
        <v/>
      </c>
      <c r="M240" s="18"/>
      <c r="N240" s="18">
        <f>countif(ConstantsUnits!C:C,F240)</f>
        <v>1</v>
      </c>
      <c r="O240" s="16" t="str">
        <f>VLOOKUP($A240,ConstantsUnits!$A:$A,1,false)</f>
        <v>neutron mass energy equivalent in MeV</v>
      </c>
    </row>
    <row r="241">
      <c r="A241" s="1" t="s">
        <v>838</v>
      </c>
      <c r="B241" s="1" t="s">
        <v>1551</v>
      </c>
      <c r="C241" s="1" t="s">
        <v>1552</v>
      </c>
      <c r="D241" s="1" t="s">
        <v>48</v>
      </c>
      <c r="E241" s="15"/>
      <c r="F241" s="16" t="str">
        <f>VLOOKUP($A241,ConstantsUnits!$A:$C,3,false)</f>
        <v>NeutronMassInAtomicMassUnit</v>
      </c>
      <c r="G241" s="17" t="str">
        <f t="shared" si="1"/>
        <v>1.00866491595</v>
      </c>
      <c r="H241" s="17">
        <f t="shared" si="2"/>
        <v>1.008664916</v>
      </c>
      <c r="I241" s="17" t="str">
        <f t="shared" si="3"/>
        <v>0.00000000049</v>
      </c>
      <c r="J241" s="17">
        <f t="shared" si="4"/>
        <v>0.00000000049</v>
      </c>
      <c r="K241" s="17" t="b">
        <f t="shared" si="5"/>
        <v>0</v>
      </c>
      <c r="L241" s="16" t="str">
        <f>IFERROR(__xludf.DUMMYFUNCTION("if(regexmatch(B241,""e(.*)$""),regexextract(B241,""e(.*)$""),"""")"),"")</f>
        <v/>
      </c>
      <c r="M241" s="18"/>
      <c r="N241" s="18">
        <f>countif(ConstantsUnits!C:C,F241)</f>
        <v>1</v>
      </c>
      <c r="O241" s="16" t="str">
        <f>VLOOKUP($A241,ConstantsUnits!$A:$A,1,false)</f>
        <v>neutron mass in u</v>
      </c>
    </row>
    <row r="242">
      <c r="A242" s="1" t="s">
        <v>841</v>
      </c>
      <c r="B242" s="1" t="s">
        <v>1553</v>
      </c>
      <c r="C242" s="1" t="s">
        <v>1554</v>
      </c>
      <c r="D242" s="1" t="s">
        <v>51</v>
      </c>
      <c r="E242" s="15"/>
      <c r="F242" s="16" t="str">
        <f>VLOOKUP($A242,ConstantsUnits!$A:$C,3,false)</f>
        <v>NeutronMolarMass</v>
      </c>
      <c r="G242" s="17" t="str">
        <f t="shared" si="1"/>
        <v>1.00866491560e-3</v>
      </c>
      <c r="H242" s="17">
        <f t="shared" si="2"/>
        <v>0.001008664916</v>
      </c>
      <c r="I242" s="17" t="str">
        <f t="shared" si="3"/>
        <v>0.00000000057e-3</v>
      </c>
      <c r="J242" s="17">
        <f t="shared" si="4"/>
        <v>0</v>
      </c>
      <c r="K242" s="17" t="b">
        <f t="shared" si="5"/>
        <v>0</v>
      </c>
      <c r="L242" s="16" t="str">
        <f>IFERROR(__xludf.DUMMYFUNCTION("if(regexmatch(B242,""e(.*)$""),regexextract(B242,""e(.*)$""),"""")"),"-3")</f>
        <v>-3</v>
      </c>
      <c r="M242" s="18"/>
      <c r="N242" s="18">
        <f>countif(ConstantsUnits!C:C,F242)</f>
        <v>1</v>
      </c>
      <c r="O242" s="16" t="str">
        <f>VLOOKUP($A242,ConstantsUnits!$A:$A,1,false)</f>
        <v>neutron molar mass</v>
      </c>
    </row>
    <row r="243">
      <c r="A243" s="1" t="s">
        <v>844</v>
      </c>
      <c r="B243" s="1" t="s">
        <v>1555</v>
      </c>
      <c r="C243" s="1" t="s">
        <v>1366</v>
      </c>
      <c r="E243" s="15"/>
      <c r="F243" s="16" t="str">
        <f>VLOOKUP($A243,ConstantsUnits!$A:$C,3,false)</f>
        <v>NeutronMuonMassRatio</v>
      </c>
      <c r="G243" s="17" t="str">
        <f t="shared" si="1"/>
        <v>8.89248406</v>
      </c>
      <c r="H243" s="17">
        <f t="shared" si="2"/>
        <v>8.89248406</v>
      </c>
      <c r="I243" s="17" t="str">
        <f t="shared" si="3"/>
        <v>0.00000020</v>
      </c>
      <c r="J243" s="17">
        <f t="shared" si="4"/>
        <v>0.0000002</v>
      </c>
      <c r="K243" s="17" t="b">
        <f t="shared" si="5"/>
        <v>0</v>
      </c>
      <c r="L243" s="16" t="str">
        <f>IFERROR(__xludf.DUMMYFUNCTION("if(regexmatch(B243,""e(.*)$""),regexextract(B243,""e(.*)$""),"""")"),"")</f>
        <v/>
      </c>
      <c r="M243" s="18"/>
      <c r="N243" s="18">
        <f>countif(ConstantsUnits!C:C,F243)</f>
        <v>1</v>
      </c>
      <c r="O243" s="16" t="str">
        <f>VLOOKUP($A243,ConstantsUnits!$A:$A,1,false)</f>
        <v>neutron-muon mass ratio</v>
      </c>
    </row>
    <row r="244">
      <c r="A244" s="1" t="s">
        <v>847</v>
      </c>
      <c r="B244" s="1" t="s">
        <v>1556</v>
      </c>
      <c r="C244" s="1" t="s">
        <v>1557</v>
      </c>
      <c r="E244" s="15"/>
      <c r="F244" s="16" t="str">
        <f>VLOOKUP($A244,ConstantsUnits!$A:$C,3,false)</f>
        <v>NeutronProtonMagneticMomentRatio</v>
      </c>
      <c r="G244" s="17" t="str">
        <f t="shared" si="1"/>
        <v>-0.68497934</v>
      </c>
      <c r="H244" s="17">
        <f t="shared" si="2"/>
        <v>-0.68497934</v>
      </c>
      <c r="I244" s="17" t="str">
        <f t="shared" si="3"/>
        <v>0.00000016</v>
      </c>
      <c r="J244" s="17">
        <f t="shared" si="4"/>
        <v>0.00000016</v>
      </c>
      <c r="K244" s="17" t="b">
        <f t="shared" si="5"/>
        <v>0</v>
      </c>
      <c r="L244" s="16" t="str">
        <f>IFERROR(__xludf.DUMMYFUNCTION("if(regexmatch(B244,""e(.*)$""),regexextract(B244,""e(.*)$""),"""")"),"")</f>
        <v/>
      </c>
      <c r="M244" s="18"/>
      <c r="N244" s="18">
        <f>countif(ConstantsUnits!C:C,F244)</f>
        <v>1</v>
      </c>
      <c r="O244" s="16" t="str">
        <f>VLOOKUP($A244,ConstantsUnits!$A:$A,1,false)</f>
        <v>neutron-proton mag. mom. ratio</v>
      </c>
    </row>
    <row r="245">
      <c r="A245" s="1" t="s">
        <v>850</v>
      </c>
      <c r="B245" s="1" t="s">
        <v>1558</v>
      </c>
      <c r="C245" s="1" t="s">
        <v>1559</v>
      </c>
      <c r="D245" s="1" t="s">
        <v>38</v>
      </c>
      <c r="E245" s="15"/>
      <c r="F245" s="16" t="str">
        <f>VLOOKUP($A245,ConstantsUnits!$A:$C,3,false)</f>
        <v>Neutron-ProtonMassDifference</v>
      </c>
      <c r="G245" s="17" t="str">
        <f t="shared" si="1"/>
        <v>2.30557435e-30</v>
      </c>
      <c r="H245" s="17">
        <f t="shared" si="2"/>
        <v>0</v>
      </c>
      <c r="I245" s="17" t="str">
        <f t="shared" si="3"/>
        <v>0.00000082e-30</v>
      </c>
      <c r="J245" s="17">
        <f t="shared" si="4"/>
        <v>0</v>
      </c>
      <c r="K245" s="17" t="b">
        <f t="shared" si="5"/>
        <v>0</v>
      </c>
      <c r="L245" s="16" t="str">
        <f>IFERROR(__xludf.DUMMYFUNCTION("if(regexmatch(B245,""e(.*)$""),regexextract(B245,""e(.*)$""),"""")"),"-30")</f>
        <v>-30</v>
      </c>
      <c r="M245" s="18"/>
      <c r="N245" s="18">
        <f>countif(ConstantsUnits!C:C,F245)</f>
        <v>1</v>
      </c>
      <c r="O245" s="16" t="str">
        <f>VLOOKUP($A245,ConstantsUnits!$A:$A,1,false)</f>
        <v>neutron-proton mass difference</v>
      </c>
    </row>
    <row r="246">
      <c r="A246" s="1" t="s">
        <v>852</v>
      </c>
      <c r="B246" s="1" t="s">
        <v>1560</v>
      </c>
      <c r="C246" s="1" t="s">
        <v>1561</v>
      </c>
      <c r="D246" s="1" t="s">
        <v>41</v>
      </c>
      <c r="E246" s="15"/>
      <c r="F246" s="16" t="str">
        <f>VLOOKUP($A246,ConstantsUnits!$A:$C,3,false)</f>
        <v>Neutron-ProtonMassDifferenceEnergyEquivalent</v>
      </c>
      <c r="G246" s="17" t="str">
        <f t="shared" si="1"/>
        <v>2.07214689e-13</v>
      </c>
      <c r="H246" s="17">
        <f t="shared" si="2"/>
        <v>0</v>
      </c>
      <c r="I246" s="17" t="str">
        <f t="shared" si="3"/>
        <v>0.00000074e-13</v>
      </c>
      <c r="J246" s="17">
        <f t="shared" si="4"/>
        <v>0</v>
      </c>
      <c r="K246" s="17" t="b">
        <f t="shared" si="5"/>
        <v>0</v>
      </c>
      <c r="L246" s="16" t="str">
        <f>IFERROR(__xludf.DUMMYFUNCTION("if(regexmatch(B246,""e(.*)$""),regexextract(B246,""e(.*)$""),"""")"),"-13")</f>
        <v>-13</v>
      </c>
      <c r="M246" s="18"/>
      <c r="N246" s="18">
        <f>countif(ConstantsUnits!C:C,F246)</f>
        <v>1</v>
      </c>
      <c r="O246" s="16" t="str">
        <f>VLOOKUP($A246,ConstantsUnits!$A:$A,1,false)</f>
        <v>neutron-proton mass difference energy equivalent</v>
      </c>
    </row>
    <row r="247">
      <c r="A247" s="1" t="s">
        <v>854</v>
      </c>
      <c r="B247" s="1" t="s">
        <v>1562</v>
      </c>
      <c r="C247" s="1" t="s">
        <v>1563</v>
      </c>
      <c r="D247" s="1" t="s">
        <v>45</v>
      </c>
      <c r="E247" s="15"/>
      <c r="F247" s="16" t="str">
        <f>VLOOKUP($A247,ConstantsUnits!$A:$C,3,false)</f>
        <v>Neutron-ProtonMassDifferenceEnergyEquivalentInMev</v>
      </c>
      <c r="G247" s="17" t="str">
        <f t="shared" si="1"/>
        <v>1.29333236</v>
      </c>
      <c r="H247" s="17">
        <f t="shared" si="2"/>
        <v>1.29333236</v>
      </c>
      <c r="I247" s="17" t="str">
        <f t="shared" si="3"/>
        <v>0.00000046</v>
      </c>
      <c r="J247" s="17">
        <f t="shared" si="4"/>
        <v>0.00000046</v>
      </c>
      <c r="K247" s="17" t="b">
        <f t="shared" si="5"/>
        <v>0</v>
      </c>
      <c r="L247" s="16" t="str">
        <f>IFERROR(__xludf.DUMMYFUNCTION("if(regexmatch(B247,""e(.*)$""),regexextract(B247,""e(.*)$""),"""")"),"")</f>
        <v/>
      </c>
      <c r="M247" s="18"/>
      <c r="N247" s="18">
        <f>countif(ConstantsUnits!C:C,F247)</f>
        <v>1</v>
      </c>
      <c r="O247" s="16" t="str">
        <f>VLOOKUP($A247,ConstantsUnits!$A:$A,1,false)</f>
        <v>neutron-proton mass difference energy equivalent in MeV</v>
      </c>
    </row>
    <row r="248">
      <c r="A248" s="1" t="s">
        <v>855</v>
      </c>
      <c r="B248" s="1" t="s">
        <v>1564</v>
      </c>
      <c r="C248" s="1" t="s">
        <v>1565</v>
      </c>
      <c r="D248" s="1" t="s">
        <v>48</v>
      </c>
      <c r="E248" s="15"/>
      <c r="F248" s="16" t="str">
        <f>VLOOKUP($A248,ConstantsUnits!$A:$C,3,false)</f>
        <v>Neutron-ProtonMassDifferenceInU</v>
      </c>
      <c r="G248" s="17" t="str">
        <f t="shared" si="1"/>
        <v>1.38844933e-3</v>
      </c>
      <c r="H248" s="17">
        <f t="shared" si="2"/>
        <v>0.00138844933</v>
      </c>
      <c r="I248" s="17" t="str">
        <f t="shared" si="3"/>
        <v>0.00000049e-3</v>
      </c>
      <c r="J248" s="17">
        <f t="shared" si="4"/>
        <v>0.00000000049</v>
      </c>
      <c r="K248" s="17" t="b">
        <f t="shared" si="5"/>
        <v>0</v>
      </c>
      <c r="L248" s="16" t="str">
        <f>IFERROR(__xludf.DUMMYFUNCTION("if(regexmatch(B248,""e(.*)$""),regexextract(B248,""e(.*)$""),"""")"),"-3")</f>
        <v>-3</v>
      </c>
      <c r="M248" s="18"/>
      <c r="N248" s="18">
        <f>countif(ConstantsUnits!C:C,F248)</f>
        <v>1</v>
      </c>
      <c r="O248" s="16" t="str">
        <f>VLOOKUP($A248,ConstantsUnits!$A:$A,1,false)</f>
        <v>neutron-proton mass difference in u</v>
      </c>
    </row>
    <row r="249">
      <c r="A249" s="1" t="s">
        <v>857</v>
      </c>
      <c r="B249" s="1" t="s">
        <v>1566</v>
      </c>
      <c r="C249" s="1" t="s">
        <v>1552</v>
      </c>
      <c r="E249" s="15"/>
      <c r="F249" s="16" t="str">
        <f>VLOOKUP($A249,ConstantsUnits!$A:$C,3,false)</f>
        <v>NeutronProtonMassRatio</v>
      </c>
      <c r="G249" s="17" t="str">
        <f t="shared" si="1"/>
        <v>1.00137841931</v>
      </c>
      <c r="H249" s="17">
        <f t="shared" si="2"/>
        <v>1.001378419</v>
      </c>
      <c r="I249" s="17" t="str">
        <f t="shared" si="3"/>
        <v>0.00000000049</v>
      </c>
      <c r="J249" s="17">
        <f t="shared" si="4"/>
        <v>0.00000000049</v>
      </c>
      <c r="K249" s="17" t="b">
        <f t="shared" si="5"/>
        <v>0</v>
      </c>
      <c r="L249" s="16" t="str">
        <f>IFERROR(__xludf.DUMMYFUNCTION("if(regexmatch(B249,""e(.*)$""),regexextract(B249,""e(.*)$""),"""")"),"")</f>
        <v/>
      </c>
      <c r="M249" s="18"/>
      <c r="N249" s="18">
        <f>countif(ConstantsUnits!C:C,F249)</f>
        <v>1</v>
      </c>
      <c r="O249" s="16" t="str">
        <f>VLOOKUP($A249,ConstantsUnits!$A:$A,1,false)</f>
        <v>neutron-proton mass ratio</v>
      </c>
    </row>
    <row r="250">
      <c r="A250" s="1" t="s">
        <v>860</v>
      </c>
      <c r="B250" s="1" t="s">
        <v>1551</v>
      </c>
      <c r="C250" s="1" t="s">
        <v>1552</v>
      </c>
      <c r="E250" s="15"/>
      <c r="F250" s="16" t="str">
        <f>VLOOKUP($A250,ConstantsUnits!$A:$C,3,false)</f>
        <v>NeutronRelativeAtomicMass</v>
      </c>
      <c r="G250" s="17" t="str">
        <f t="shared" si="1"/>
        <v>1.00866491595</v>
      </c>
      <c r="H250" s="17">
        <f t="shared" si="2"/>
        <v>1.008664916</v>
      </c>
      <c r="I250" s="17" t="str">
        <f t="shared" si="3"/>
        <v>0.00000000049</v>
      </c>
      <c r="J250" s="17">
        <f t="shared" si="4"/>
        <v>0.00000000049</v>
      </c>
      <c r="K250" s="17" t="b">
        <f t="shared" si="5"/>
        <v>0</v>
      </c>
      <c r="L250" s="16" t="str">
        <f>IFERROR(__xludf.DUMMYFUNCTION("if(regexmatch(B250,""e(.*)$""),regexextract(B250,""e(.*)$""),"""")"),"")</f>
        <v/>
      </c>
      <c r="M250" s="18"/>
      <c r="N250" s="18">
        <f>countif(ConstantsUnits!C:C,F250)</f>
        <v>1</v>
      </c>
      <c r="O250" s="16" t="str">
        <f>VLOOKUP($A250,ConstantsUnits!$A:$A,1,false)</f>
        <v>neutron relative atomic mass</v>
      </c>
    </row>
    <row r="251">
      <c r="A251" s="1" t="s">
        <v>862</v>
      </c>
      <c r="B251" s="1" t="s">
        <v>1567</v>
      </c>
      <c r="C251" s="1" t="s">
        <v>1568</v>
      </c>
      <c r="E251" s="15"/>
      <c r="F251" s="16" t="str">
        <f>VLOOKUP($A251,ConstantsUnits!$A:$C,3,false)</f>
        <v>NeutronTauMassRatio</v>
      </c>
      <c r="G251" s="17" t="str">
        <f t="shared" si="1"/>
        <v>0.528779</v>
      </c>
      <c r="H251" s="17">
        <f t="shared" si="2"/>
        <v>0.528779</v>
      </c>
      <c r="I251" s="17" t="str">
        <f t="shared" si="3"/>
        <v>0.000036</v>
      </c>
      <c r="J251" s="17">
        <f t="shared" si="4"/>
        <v>0.000036</v>
      </c>
      <c r="K251" s="17" t="b">
        <f t="shared" si="5"/>
        <v>0</v>
      </c>
      <c r="L251" s="16" t="str">
        <f>IFERROR(__xludf.DUMMYFUNCTION("if(regexmatch(B251,""e(.*)$""),regexextract(B251,""e(.*)$""),"""")"),"")</f>
        <v/>
      </c>
      <c r="M251" s="18"/>
      <c r="N251" s="18">
        <f>countif(ConstantsUnits!C:C,F251)</f>
        <v>1</v>
      </c>
      <c r="O251" s="16" t="str">
        <f>VLOOKUP($A251,ConstantsUnits!$A:$A,1,false)</f>
        <v>neutron-tau mass ratio</v>
      </c>
    </row>
    <row r="252">
      <c r="A252" s="1" t="s">
        <v>865</v>
      </c>
      <c r="B252" s="1" t="s">
        <v>1569</v>
      </c>
      <c r="C252" s="1" t="s">
        <v>1557</v>
      </c>
      <c r="E252" s="15"/>
      <c r="F252" s="16" t="str">
        <f>VLOOKUP($A252,ConstantsUnits!$A:$C,3,false)</f>
        <v>NeutronToShieldedProtonMagneticMomentRatio</v>
      </c>
      <c r="G252" s="17" t="str">
        <f t="shared" si="1"/>
        <v>-0.68499694</v>
      </c>
      <c r="H252" s="17">
        <f t="shared" si="2"/>
        <v>-0.68499694</v>
      </c>
      <c r="I252" s="17" t="str">
        <f t="shared" si="3"/>
        <v>0.00000016</v>
      </c>
      <c r="J252" s="17">
        <f t="shared" si="4"/>
        <v>0.00000016</v>
      </c>
      <c r="K252" s="17" t="b">
        <f t="shared" si="5"/>
        <v>0</v>
      </c>
      <c r="L252" s="16" t="str">
        <f>IFERROR(__xludf.DUMMYFUNCTION("if(regexmatch(B252,""e(.*)$""),regexextract(B252,""e(.*)$""),"""")"),"")</f>
        <v/>
      </c>
      <c r="M252" s="18"/>
      <c r="N252" s="18">
        <f>countif(ConstantsUnits!C:C,F252)</f>
        <v>1</v>
      </c>
      <c r="O252" s="16" t="str">
        <f>VLOOKUP($A252,ConstantsUnits!$A:$A,1,false)</f>
        <v>neutron to shielded proton mag. mom. ratio</v>
      </c>
    </row>
    <row r="253">
      <c r="A253" s="1" t="s">
        <v>868</v>
      </c>
      <c r="B253" s="1" t="s">
        <v>1570</v>
      </c>
      <c r="C253" s="1" t="s">
        <v>1571</v>
      </c>
      <c r="D253" s="1" t="s">
        <v>869</v>
      </c>
      <c r="E253" s="15"/>
      <c r="F253" s="16" t="str">
        <f>VLOOKUP($A253,ConstantsUnits!$A:$C,3,false)</f>
        <v>NewtonianConstantOfGravitation</v>
      </c>
      <c r="G253" s="17" t="str">
        <f t="shared" si="1"/>
        <v>6.67430e-11</v>
      </c>
      <c r="H253" s="17">
        <f t="shared" si="2"/>
        <v>0</v>
      </c>
      <c r="I253" s="17" t="str">
        <f t="shared" si="3"/>
        <v>0.00015e-11</v>
      </c>
      <c r="J253" s="17">
        <f t="shared" si="4"/>
        <v>0</v>
      </c>
      <c r="K253" s="17" t="b">
        <f t="shared" si="5"/>
        <v>0</v>
      </c>
      <c r="L253" s="16" t="str">
        <f>IFERROR(__xludf.DUMMYFUNCTION("if(regexmatch(B253,""e(.*)$""),regexextract(B253,""e(.*)$""),"""")"),"-11")</f>
        <v>-11</v>
      </c>
      <c r="M253" s="18"/>
      <c r="N253" s="18">
        <f>countif(ConstantsUnits!C:C,F253)</f>
        <v>1</v>
      </c>
      <c r="O253" s="16" t="str">
        <f>VLOOKUP($A253,ConstantsUnits!$A:$A,1,false)</f>
        <v>Newtonian constant of gravitation</v>
      </c>
    </row>
    <row r="254">
      <c r="A254" s="1" t="s">
        <v>873</v>
      </c>
      <c r="B254" s="1" t="s">
        <v>1572</v>
      </c>
      <c r="C254" s="1" t="s">
        <v>1573</v>
      </c>
      <c r="D254" s="1" t="s">
        <v>874</v>
      </c>
      <c r="E254" s="15"/>
      <c r="F254" s="16" t="str">
        <f>VLOOKUP($A254,ConstantsUnits!$A:$C,3,false)</f>
        <v>NewtonianConstantOfGravitationOverHBarC</v>
      </c>
      <c r="G254" s="17" t="str">
        <f t="shared" si="1"/>
        <v>6.70883e-39</v>
      </c>
      <c r="H254" s="17">
        <f t="shared" si="2"/>
        <v>0</v>
      </c>
      <c r="I254" s="17" t="str">
        <f t="shared" si="3"/>
        <v>0.00015e-39</v>
      </c>
      <c r="J254" s="17">
        <f t="shared" si="4"/>
        <v>0</v>
      </c>
      <c r="K254" s="17" t="b">
        <f t="shared" si="5"/>
        <v>0</v>
      </c>
      <c r="L254" s="16" t="str">
        <f>IFERROR(__xludf.DUMMYFUNCTION("if(regexmatch(B254,""e(.*)$""),regexextract(B254,""e(.*)$""),"""")"),"-39")</f>
        <v>-39</v>
      </c>
      <c r="M254" s="18"/>
      <c r="N254" s="18">
        <f>countif(ConstantsUnits!C:C,F254)</f>
        <v>1</v>
      </c>
      <c r="O254" s="16" t="str">
        <f>VLOOKUP($A254,ConstantsUnits!$A:$A,1,false)</f>
        <v>Newtonian constant of gravitation over h-bar c</v>
      </c>
    </row>
    <row r="255">
      <c r="A255" s="1" t="s">
        <v>877</v>
      </c>
      <c r="B255" s="1" t="s">
        <v>1574</v>
      </c>
      <c r="C255" s="1" t="s">
        <v>1415</v>
      </c>
      <c r="D255" s="1" t="s">
        <v>165</v>
      </c>
      <c r="E255" s="15"/>
      <c r="F255" s="16" t="str">
        <f>VLOOKUP($A255,ConstantsUnits!$A:$C,3,false)</f>
        <v>NuclearMagneton</v>
      </c>
      <c r="G255" s="17" t="str">
        <f t="shared" si="1"/>
        <v>5.0507837461e-27</v>
      </c>
      <c r="H255" s="17">
        <f t="shared" si="2"/>
        <v>0</v>
      </c>
      <c r="I255" s="17" t="str">
        <f t="shared" si="3"/>
        <v>0.0000000015e-27</v>
      </c>
      <c r="J255" s="17">
        <f t="shared" si="4"/>
        <v>0</v>
      </c>
      <c r="K255" s="17" t="b">
        <f t="shared" si="5"/>
        <v>0</v>
      </c>
      <c r="L255" s="16" t="str">
        <f>IFERROR(__xludf.DUMMYFUNCTION("if(regexmatch(B255,""e(.*)$""),regexextract(B255,""e(.*)$""),"""")"),"-27")</f>
        <v>-27</v>
      </c>
      <c r="M255" s="18"/>
      <c r="N255" s="18">
        <f>countif(ConstantsUnits!C:C,F255)</f>
        <v>1</v>
      </c>
      <c r="O255" s="16" t="str">
        <f>VLOOKUP($A255,ConstantsUnits!$A:$A,1,false)</f>
        <v>nuclear magneton</v>
      </c>
    </row>
    <row r="256">
      <c r="A256" s="1" t="s">
        <v>880</v>
      </c>
      <c r="B256" s="1" t="s">
        <v>1575</v>
      </c>
      <c r="C256" s="1" t="s">
        <v>1576</v>
      </c>
      <c r="D256" s="1" t="s">
        <v>209</v>
      </c>
      <c r="E256" s="15"/>
      <c r="F256" s="16" t="str">
        <f>VLOOKUP($A256,ConstantsUnits!$A:$C,3,false)</f>
        <v>NuclearMagnetonInEVPerT</v>
      </c>
      <c r="G256" s="17" t="str">
        <f t="shared" si="1"/>
        <v>3.15245125844e-8</v>
      </c>
      <c r="H256" s="17">
        <f t="shared" si="2"/>
        <v>0.00000003152451258</v>
      </c>
      <c r="I256" s="17" t="str">
        <f t="shared" si="3"/>
        <v>0.00000000096e-8</v>
      </c>
      <c r="J256" s="17">
        <f t="shared" si="4"/>
        <v>0</v>
      </c>
      <c r="K256" s="17" t="b">
        <f t="shared" si="5"/>
        <v>0</v>
      </c>
      <c r="L256" s="16" t="str">
        <f>IFERROR(__xludf.DUMMYFUNCTION("if(regexmatch(B256,""e(.*)$""),regexextract(B256,""e(.*)$""),"""")"),"-8")</f>
        <v>-8</v>
      </c>
      <c r="M256" s="18"/>
      <c r="N256" s="18">
        <f>countif(ConstantsUnits!C:C,F256)</f>
        <v>1</v>
      </c>
      <c r="O256" s="16" t="str">
        <f>VLOOKUP($A256,ConstantsUnits!$A:$A,1,false)</f>
        <v>nuclear magneton in eV/T</v>
      </c>
    </row>
    <row r="257">
      <c r="A257" s="1" t="s">
        <v>882</v>
      </c>
      <c r="B257" s="1" t="s">
        <v>1577</v>
      </c>
      <c r="C257" s="1" t="s">
        <v>1578</v>
      </c>
      <c r="D257" s="1" t="s">
        <v>219</v>
      </c>
      <c r="E257" s="15"/>
      <c r="F257" s="16" t="str">
        <f>VLOOKUP($A257,ConstantsUnits!$A:$C,3,false)</f>
        <v>NuclearMagnetonInInverseMetersPerTesla</v>
      </c>
      <c r="G257" s="17" t="str">
        <f t="shared" si="1"/>
        <v>2.54262341353e-2</v>
      </c>
      <c r="H257" s="17">
        <f t="shared" si="2"/>
        <v>0.02542623414</v>
      </c>
      <c r="I257" s="17" t="str">
        <f t="shared" si="3"/>
        <v>0.00000000078e-2</v>
      </c>
      <c r="J257" s="17">
        <f t="shared" si="4"/>
        <v>0</v>
      </c>
      <c r="K257" s="17" t="b">
        <f t="shared" si="5"/>
        <v>0</v>
      </c>
      <c r="L257" s="16" t="str">
        <f>IFERROR(__xludf.DUMMYFUNCTION("if(regexmatch(B257,""e(.*)$""),regexextract(B257,""e(.*)$""),"""")"),"-2")</f>
        <v>-2</v>
      </c>
      <c r="M257" s="18"/>
      <c r="N257" s="18">
        <f>countif(ConstantsUnits!C:C,F257)</f>
        <v>1</v>
      </c>
      <c r="O257" s="16" t="str">
        <f>VLOOKUP($A257,ConstantsUnits!$A:$A,1,false)</f>
        <v>nuclear magneton in inverse meter per tesla</v>
      </c>
    </row>
    <row r="258">
      <c r="A258" s="1" t="s">
        <v>885</v>
      </c>
      <c r="B258" s="1" t="s">
        <v>1579</v>
      </c>
      <c r="C258" s="1" t="s">
        <v>1580</v>
      </c>
      <c r="D258" s="1" t="s">
        <v>224</v>
      </c>
      <c r="E258" s="15"/>
      <c r="F258" s="16" t="str">
        <f>VLOOKUP($A258,ConstantsUnits!$A:$C,3,false)</f>
        <v>NuclearMagnetonInKPerT</v>
      </c>
      <c r="G258" s="17" t="str">
        <f t="shared" si="1"/>
        <v>3.6582677756e-4</v>
      </c>
      <c r="H258" s="17">
        <f t="shared" si="2"/>
        <v>0.0003658267776</v>
      </c>
      <c r="I258" s="17" t="str">
        <f t="shared" si="3"/>
        <v>0.0000000011e-4</v>
      </c>
      <c r="J258" s="17">
        <f t="shared" si="4"/>
        <v>0</v>
      </c>
      <c r="K258" s="17" t="b">
        <f t="shared" si="5"/>
        <v>0</v>
      </c>
      <c r="L258" s="16" t="str">
        <f>IFERROR(__xludf.DUMMYFUNCTION("if(regexmatch(B258,""e(.*)$""),regexextract(B258,""e(.*)$""),"""")"),"-4")</f>
        <v>-4</v>
      </c>
      <c r="M258" s="18"/>
      <c r="N258" s="18">
        <f>countif(ConstantsUnits!C:C,F258)</f>
        <v>1</v>
      </c>
      <c r="O258" s="16" t="str">
        <f>VLOOKUP($A258,ConstantsUnits!$A:$A,1,false)</f>
        <v>nuclear magneton in K/T</v>
      </c>
    </row>
    <row r="259">
      <c r="A259" s="1" t="s">
        <v>888</v>
      </c>
      <c r="B259" s="1" t="s">
        <v>1581</v>
      </c>
      <c r="C259" s="1" t="s">
        <v>1582</v>
      </c>
      <c r="D259" s="1" t="s">
        <v>367</v>
      </c>
      <c r="E259" s="15"/>
      <c r="F259" s="16" t="str">
        <f>VLOOKUP($A259,ConstantsUnits!$A:$C,3,false)</f>
        <v>NuclearMagnetonInMHzPerT</v>
      </c>
      <c r="G259" s="17" t="str">
        <f t="shared" si="1"/>
        <v>7.6225932291</v>
      </c>
      <c r="H259" s="17">
        <f t="shared" si="2"/>
        <v>7.622593229</v>
      </c>
      <c r="I259" s="17" t="str">
        <f t="shared" si="3"/>
        <v>0.0000000023</v>
      </c>
      <c r="J259" s="17">
        <f t="shared" si="4"/>
        <v>0.0000000023</v>
      </c>
      <c r="K259" s="17" t="b">
        <f t="shared" si="5"/>
        <v>0</v>
      </c>
      <c r="L259" s="16" t="str">
        <f>IFERROR(__xludf.DUMMYFUNCTION("if(regexmatch(B259,""e(.*)$""),regexextract(B259,""e(.*)$""),"""")"),"")</f>
        <v/>
      </c>
      <c r="M259" s="18"/>
      <c r="N259" s="18">
        <f>countif(ConstantsUnits!C:C,F259)</f>
        <v>1</v>
      </c>
      <c r="O259" s="16" t="str">
        <f>VLOOKUP($A259,ConstantsUnits!$A:$A,1,false)</f>
        <v>nuclear magneton in MHz/T</v>
      </c>
    </row>
    <row r="260">
      <c r="A260" s="1" t="s">
        <v>891</v>
      </c>
      <c r="B260" s="1" t="s">
        <v>1434</v>
      </c>
      <c r="C260" s="1" t="s">
        <v>1232</v>
      </c>
      <c r="D260" s="1" t="s">
        <v>892</v>
      </c>
      <c r="E260" s="15"/>
      <c r="F260" s="16" t="str">
        <f>VLOOKUP($A260,ConstantsUnits!$A:$C,3,false)</f>
        <v>PlanckConstant</v>
      </c>
      <c r="G260" s="17" t="str">
        <f t="shared" si="1"/>
        <v>6.62607015e-34</v>
      </c>
      <c r="H260" s="17">
        <f t="shared" si="2"/>
        <v>0</v>
      </c>
      <c r="I260" s="17" t="str">
        <f t="shared" si="3"/>
        <v>(exact)</v>
      </c>
      <c r="J260" s="17" t="str">
        <f t="shared" si="4"/>
        <v/>
      </c>
      <c r="K260" s="17" t="b">
        <f t="shared" si="5"/>
        <v>0</v>
      </c>
      <c r="L260" s="16" t="str">
        <f>IFERROR(__xludf.DUMMYFUNCTION("if(regexmatch(B260,""e(.*)$""),regexextract(B260,""e(.*)$""),"""")"),"-34")</f>
        <v>-34</v>
      </c>
      <c r="M260" s="18"/>
      <c r="N260" s="18">
        <f>countif(ConstantsUnits!C:C,F260)</f>
        <v>1</v>
      </c>
      <c r="O260" s="16" t="str">
        <f>VLOOKUP($A260,ConstantsUnits!$A:$A,1,false)</f>
        <v>Planck constant</v>
      </c>
    </row>
    <row r="261">
      <c r="A261" s="1" t="s">
        <v>896</v>
      </c>
      <c r="B261" s="1" t="s">
        <v>1430</v>
      </c>
      <c r="C261" s="1" t="s">
        <v>1232</v>
      </c>
      <c r="D261" s="1" t="s">
        <v>897</v>
      </c>
      <c r="E261" s="15"/>
      <c r="F261" s="16" t="str">
        <f>VLOOKUP($A261,ConstantsUnits!$A:$C,3,false)</f>
        <v>PlanckConstantInEVS</v>
      </c>
      <c r="G261" s="17" t="str">
        <f t="shared" si="1"/>
        <v>4.135667696e-15</v>
      </c>
      <c r="H261" s="17">
        <f t="shared" si="2"/>
        <v>0</v>
      </c>
      <c r="I261" s="17" t="str">
        <f t="shared" si="3"/>
        <v>(exact)</v>
      </c>
      <c r="J261" s="17" t="str">
        <f t="shared" si="4"/>
        <v/>
      </c>
      <c r="K261" s="17" t="b">
        <f t="shared" si="5"/>
        <v>1</v>
      </c>
      <c r="L261" s="16" t="str">
        <f>IFERROR(__xludf.DUMMYFUNCTION("if(regexmatch(B261,""e(.*)$""),regexextract(B261,""e(.*)$""),"""")"),"-15")</f>
        <v>-15</v>
      </c>
      <c r="M261" s="18"/>
      <c r="N261" s="18">
        <f>countif(ConstantsUnits!C:C,F261)</f>
        <v>1</v>
      </c>
      <c r="O261" s="16" t="str">
        <f>VLOOKUP($A261,ConstantsUnits!$A:$A,1,false)</f>
        <v>Planck constant in eV/Hz</v>
      </c>
    </row>
    <row r="262">
      <c r="A262" s="1" t="s">
        <v>903</v>
      </c>
      <c r="B262" s="1" t="s">
        <v>1583</v>
      </c>
      <c r="C262" s="1" t="s">
        <v>1584</v>
      </c>
      <c r="D262" s="1" t="s">
        <v>59</v>
      </c>
      <c r="E262" s="15"/>
      <c r="F262" s="16" t="str">
        <f>VLOOKUP($A262,ConstantsUnits!$A:$C,3,false)</f>
        <v>PlanckLength</v>
      </c>
      <c r="G262" s="17" t="str">
        <f t="shared" si="1"/>
        <v>1.616255e-35</v>
      </c>
      <c r="H262" s="17">
        <f t="shared" si="2"/>
        <v>0</v>
      </c>
      <c r="I262" s="17" t="str">
        <f t="shared" si="3"/>
        <v>0.000018e-35</v>
      </c>
      <c r="J262" s="17">
        <f t="shared" si="4"/>
        <v>0</v>
      </c>
      <c r="K262" s="17" t="b">
        <f t="shared" si="5"/>
        <v>0</v>
      </c>
      <c r="L262" s="16" t="str">
        <f>IFERROR(__xludf.DUMMYFUNCTION("if(regexmatch(B262,""e(.*)$""),regexextract(B262,""e(.*)$""),"""")"),"-35")</f>
        <v>-35</v>
      </c>
      <c r="M262" s="18"/>
      <c r="N262" s="18">
        <f>countif(ConstantsUnits!C:C,F262)</f>
        <v>1</v>
      </c>
      <c r="O262" s="16" t="str">
        <f>VLOOKUP($A262,ConstantsUnits!$A:$A,1,false)</f>
        <v>Planck length</v>
      </c>
    </row>
    <row r="263">
      <c r="A263" s="1" t="s">
        <v>906</v>
      </c>
      <c r="B263" s="1" t="s">
        <v>1585</v>
      </c>
      <c r="C263" s="1" t="s">
        <v>1586</v>
      </c>
      <c r="D263" s="1" t="s">
        <v>38</v>
      </c>
      <c r="E263" s="15"/>
      <c r="F263" s="16" t="str">
        <f>VLOOKUP($A263,ConstantsUnits!$A:$C,3,false)</f>
        <v>PlanckMass</v>
      </c>
      <c r="G263" s="17" t="str">
        <f t="shared" si="1"/>
        <v>2.176434e-8</v>
      </c>
      <c r="H263" s="17">
        <f t="shared" si="2"/>
        <v>0.00000002176434</v>
      </c>
      <c r="I263" s="17" t="str">
        <f t="shared" si="3"/>
        <v>0.000024e-8</v>
      </c>
      <c r="J263" s="17">
        <f t="shared" si="4"/>
        <v>0</v>
      </c>
      <c r="K263" s="17" t="b">
        <f t="shared" si="5"/>
        <v>0</v>
      </c>
      <c r="L263" s="16" t="str">
        <f>IFERROR(__xludf.DUMMYFUNCTION("if(regexmatch(B263,""e(.*)$""),regexextract(B263,""e(.*)$""),"""")"),"-8")</f>
        <v>-8</v>
      </c>
      <c r="M263" s="18"/>
      <c r="N263" s="18">
        <f>countif(ConstantsUnits!C:C,F263)</f>
        <v>1</v>
      </c>
      <c r="O263" s="16" t="str">
        <f>VLOOKUP($A263,ConstantsUnits!$A:$A,1,false)</f>
        <v>Planck mass</v>
      </c>
    </row>
    <row r="264">
      <c r="A264" s="1" t="s">
        <v>909</v>
      </c>
      <c r="B264" s="1" t="s">
        <v>1587</v>
      </c>
      <c r="C264" s="1" t="s">
        <v>1588</v>
      </c>
      <c r="D264" s="1" t="s">
        <v>910</v>
      </c>
      <c r="E264" s="15"/>
      <c r="F264" s="16" t="str">
        <f>VLOOKUP($A264,ConstantsUnits!$A:$C,3,false)</f>
        <v>PlanckMassEnergyEquivalentInGeV</v>
      </c>
      <c r="G264" s="17" t="str">
        <f t="shared" si="1"/>
        <v>1.220890e19</v>
      </c>
      <c r="H264" s="17">
        <f t="shared" si="2"/>
        <v>1.22089E+19</v>
      </c>
      <c r="I264" s="17" t="str">
        <f t="shared" si="3"/>
        <v>0.000014e19</v>
      </c>
      <c r="J264" s="17">
        <f t="shared" si="4"/>
        <v>140000000000000</v>
      </c>
      <c r="K264" s="17" t="b">
        <f t="shared" si="5"/>
        <v>0</v>
      </c>
      <c r="L264" s="16" t="str">
        <f>IFERROR(__xludf.DUMMYFUNCTION("if(regexmatch(B264,""e(.*)$""),regexextract(B264,""e(.*)$""),"""")"),"19")</f>
        <v>19</v>
      </c>
      <c r="M264" s="18"/>
      <c r="N264" s="18">
        <f>countif(ConstantsUnits!C:C,F264)</f>
        <v>1</v>
      </c>
      <c r="O264" s="16" t="str">
        <f>VLOOKUP($A264,ConstantsUnits!$A:$A,1,false)</f>
        <v>Planck mass energy equivalent in GeV</v>
      </c>
    </row>
    <row r="265">
      <c r="A265" s="1" t="s">
        <v>912</v>
      </c>
      <c r="B265" s="1" t="s">
        <v>1589</v>
      </c>
      <c r="C265" s="1" t="s">
        <v>1590</v>
      </c>
      <c r="D265" s="1" t="s">
        <v>91</v>
      </c>
      <c r="E265" s="15"/>
      <c r="F265" s="16" t="str">
        <f>VLOOKUP($A265,ConstantsUnits!$A:$C,3,false)</f>
        <v>PlanckTemperature</v>
      </c>
      <c r="G265" s="17" t="str">
        <f t="shared" si="1"/>
        <v>1.416784e32</v>
      </c>
      <c r="H265" s="17">
        <f t="shared" si="2"/>
        <v>1.41678E+32</v>
      </c>
      <c r="I265" s="17" t="str">
        <f t="shared" si="3"/>
        <v>0.000016e32</v>
      </c>
      <c r="J265" s="17">
        <f t="shared" si="4"/>
        <v>1.6E+27</v>
      </c>
      <c r="K265" s="17" t="b">
        <f t="shared" si="5"/>
        <v>0</v>
      </c>
      <c r="L265" s="16" t="str">
        <f>IFERROR(__xludf.DUMMYFUNCTION("if(regexmatch(B265,""e(.*)$""),regexextract(B265,""e(.*)$""),"""")"),"32")</f>
        <v>32</v>
      </c>
      <c r="M265" s="18"/>
      <c r="N265" s="18">
        <f>countif(ConstantsUnits!C:C,F265)</f>
        <v>1</v>
      </c>
      <c r="O265" s="16" t="str">
        <f>VLOOKUP($A265,ConstantsUnits!$A:$A,1,false)</f>
        <v>Planck temperature</v>
      </c>
    </row>
    <row r="266">
      <c r="A266" s="1" t="s">
        <v>916</v>
      </c>
      <c r="B266" s="1" t="s">
        <v>1591</v>
      </c>
      <c r="C266" s="1" t="s">
        <v>1592</v>
      </c>
      <c r="D266" s="1" t="s">
        <v>192</v>
      </c>
      <c r="E266" s="15"/>
      <c r="F266" s="16" t="str">
        <f>VLOOKUP($A266,ConstantsUnits!$A:$C,3,false)</f>
        <v>PlanckTime</v>
      </c>
      <c r="G266" s="17" t="str">
        <f t="shared" si="1"/>
        <v>5.391247e-44</v>
      </c>
      <c r="H266" s="17">
        <f t="shared" si="2"/>
        <v>0</v>
      </c>
      <c r="I266" s="17" t="str">
        <f t="shared" si="3"/>
        <v>0.000060e-44</v>
      </c>
      <c r="J266" s="17">
        <f t="shared" si="4"/>
        <v>0</v>
      </c>
      <c r="K266" s="17" t="b">
        <f t="shared" si="5"/>
        <v>0</v>
      </c>
      <c r="L266" s="16" t="str">
        <f>IFERROR(__xludf.DUMMYFUNCTION("if(regexmatch(B266,""e(.*)$""),regexextract(B266,""e(.*)$""),"""")"),"-44")</f>
        <v>-44</v>
      </c>
      <c r="M266" s="18"/>
      <c r="N266" s="18">
        <f>countif(ConstantsUnits!C:C,F266)</f>
        <v>1</v>
      </c>
      <c r="O266" s="16" t="str">
        <f>VLOOKUP($A266,ConstantsUnits!$A:$A,1,false)</f>
        <v>Planck time</v>
      </c>
    </row>
    <row r="267">
      <c r="A267" s="1" t="s">
        <v>919</v>
      </c>
      <c r="B267" s="1" t="s">
        <v>1593</v>
      </c>
      <c r="C267" s="1" t="s">
        <v>1594</v>
      </c>
      <c r="D267" s="1" t="s">
        <v>347</v>
      </c>
      <c r="E267" s="15"/>
      <c r="F267" s="16" t="str">
        <f>VLOOKUP($A267,ConstantsUnits!$A:$C,3,false)</f>
        <v>ProtonChargeToMassQuotient</v>
      </c>
      <c r="G267" s="17" t="str">
        <f t="shared" si="1"/>
        <v>9.5788331560e7</v>
      </c>
      <c r="H267" s="17">
        <f t="shared" si="2"/>
        <v>95788331.56</v>
      </c>
      <c r="I267" s="17" t="str">
        <f t="shared" si="3"/>
        <v>0.0000000029e7</v>
      </c>
      <c r="J267" s="17">
        <f t="shared" si="4"/>
        <v>0.029</v>
      </c>
      <c r="K267" s="17" t="b">
        <f t="shared" si="5"/>
        <v>0</v>
      </c>
      <c r="L267" s="16" t="str">
        <f>IFERROR(__xludf.DUMMYFUNCTION("if(regexmatch(B267,""e(.*)$""),regexextract(B267,""e(.*)$""),"""")"),"7")</f>
        <v>7</v>
      </c>
      <c r="M267" s="18"/>
      <c r="N267" s="18">
        <f>countif(ConstantsUnits!C:C,F267)</f>
        <v>1</v>
      </c>
      <c r="O267" s="16" t="str">
        <f>VLOOKUP($A267,ConstantsUnits!$A:$A,1,false)</f>
        <v>proton charge to mass quotient</v>
      </c>
    </row>
    <row r="268">
      <c r="A268" s="1" t="s">
        <v>922</v>
      </c>
      <c r="B268" s="1" t="s">
        <v>1595</v>
      </c>
      <c r="C268" s="1" t="s">
        <v>1441</v>
      </c>
      <c r="D268" s="1" t="s">
        <v>59</v>
      </c>
      <c r="E268" s="15"/>
      <c r="F268" s="16" t="str">
        <f>VLOOKUP($A268,ConstantsUnits!$A:$C,3,false)</f>
        <v>ProtonComptonWavelength</v>
      </c>
      <c r="G268" s="17" t="str">
        <f t="shared" si="1"/>
        <v>1.32140985539e-15</v>
      </c>
      <c r="H268" s="17">
        <f t="shared" si="2"/>
        <v>0</v>
      </c>
      <c r="I268" s="17" t="str">
        <f t="shared" si="3"/>
        <v>0.00000000040e-15</v>
      </c>
      <c r="J268" s="17">
        <f t="shared" si="4"/>
        <v>0</v>
      </c>
      <c r="K268" s="17" t="b">
        <f t="shared" si="5"/>
        <v>0</v>
      </c>
      <c r="L268" s="16" t="str">
        <f>IFERROR(__xludf.DUMMYFUNCTION("if(regexmatch(B268,""e(.*)$""),regexextract(B268,""e(.*)$""),"""")"),"-15")</f>
        <v>-15</v>
      </c>
      <c r="M268" s="18"/>
      <c r="N268" s="18">
        <f>countif(ConstantsUnits!C:C,F268)</f>
        <v>1</v>
      </c>
      <c r="O268" s="16" t="str">
        <f>VLOOKUP($A268,ConstantsUnits!$A:$A,1,false)</f>
        <v>proton Compton wavelength</v>
      </c>
    </row>
    <row r="269">
      <c r="A269" s="1" t="s">
        <v>926</v>
      </c>
      <c r="B269" s="1" t="s">
        <v>1596</v>
      </c>
      <c r="C269" s="1" t="s">
        <v>1323</v>
      </c>
      <c r="E269" s="15"/>
      <c r="F269" s="16" t="str">
        <f>VLOOKUP($A269,ConstantsUnits!$A:$C,3,false)</f>
        <v>ProtonElectronMassRatio</v>
      </c>
      <c r="G269" s="17" t="str">
        <f t="shared" si="1"/>
        <v>1836.15267343</v>
      </c>
      <c r="H269" s="17">
        <f t="shared" si="2"/>
        <v>1836.152673</v>
      </c>
      <c r="I269" s="17" t="str">
        <f t="shared" si="3"/>
        <v>0.00000011</v>
      </c>
      <c r="J269" s="17">
        <f t="shared" si="4"/>
        <v>0.00000011</v>
      </c>
      <c r="K269" s="17" t="b">
        <f t="shared" si="5"/>
        <v>0</v>
      </c>
      <c r="L269" s="16" t="str">
        <f>IFERROR(__xludf.DUMMYFUNCTION("if(regexmatch(B269,""e(.*)$""),regexextract(B269,""e(.*)$""),"""")"),"")</f>
        <v/>
      </c>
      <c r="M269" s="18"/>
      <c r="N269" s="18">
        <f>countif(ConstantsUnits!C:C,F269)</f>
        <v>1</v>
      </c>
      <c r="O269" s="16" t="str">
        <f>VLOOKUP($A269,ConstantsUnits!$A:$A,1,false)</f>
        <v>proton-electron mass ratio</v>
      </c>
    </row>
    <row r="270">
      <c r="A270" s="1" t="s">
        <v>929</v>
      </c>
      <c r="B270" s="1" t="s">
        <v>1597</v>
      </c>
      <c r="C270" s="1" t="s">
        <v>1598</v>
      </c>
      <c r="E270" s="15"/>
      <c r="F270" s="16" t="str">
        <f>VLOOKUP($A270,ConstantsUnits!$A:$C,3,false)</f>
        <v>ProtonGFactor</v>
      </c>
      <c r="G270" s="17" t="str">
        <f t="shared" si="1"/>
        <v>5.5856946893</v>
      </c>
      <c r="H270" s="17">
        <f t="shared" si="2"/>
        <v>5.585694689</v>
      </c>
      <c r="I270" s="17" t="str">
        <f t="shared" si="3"/>
        <v>0.0000000016</v>
      </c>
      <c r="J270" s="17">
        <f t="shared" si="4"/>
        <v>0.0000000016</v>
      </c>
      <c r="K270" s="17" t="b">
        <f t="shared" si="5"/>
        <v>0</v>
      </c>
      <c r="L270" s="16" t="str">
        <f>IFERROR(__xludf.DUMMYFUNCTION("if(regexmatch(B270,""e(.*)$""),regexextract(B270,""e(.*)$""),"""")"),"")</f>
        <v/>
      </c>
      <c r="M270" s="18"/>
      <c r="N270" s="18">
        <f>countif(ConstantsUnits!C:C,F270)</f>
        <v>1</v>
      </c>
      <c r="O270" s="16" t="str">
        <f>VLOOKUP($A270,ConstantsUnits!$A:$A,1,false)</f>
        <v>proton g factor</v>
      </c>
    </row>
    <row r="271">
      <c r="A271" s="1" t="s">
        <v>932</v>
      </c>
      <c r="B271" s="1" t="s">
        <v>1599</v>
      </c>
      <c r="C271" s="1" t="s">
        <v>1600</v>
      </c>
      <c r="D271" s="1" t="s">
        <v>361</v>
      </c>
      <c r="E271" s="15"/>
      <c r="F271" s="16" t="str">
        <f>VLOOKUP($A271,ConstantsUnits!$A:$C,3,false)</f>
        <v>ProtonGyromagneticRatio</v>
      </c>
      <c r="G271" s="17" t="str">
        <f t="shared" si="1"/>
        <v>2.6752218744e8</v>
      </c>
      <c r="H271" s="17">
        <f t="shared" si="2"/>
        <v>267522187.4</v>
      </c>
      <c r="I271" s="17" t="str">
        <f t="shared" si="3"/>
        <v>0.0000000011e8</v>
      </c>
      <c r="J271" s="17">
        <f t="shared" si="4"/>
        <v>0.11</v>
      </c>
      <c r="K271" s="17" t="b">
        <f t="shared" si="5"/>
        <v>0</v>
      </c>
      <c r="L271" s="16" t="str">
        <f>IFERROR(__xludf.DUMMYFUNCTION("if(regexmatch(B271,""e(.*)$""),regexextract(B271,""e(.*)$""),"""")"),"8")</f>
        <v>8</v>
      </c>
      <c r="M271" s="18"/>
      <c r="N271" s="18">
        <f>countif(ConstantsUnits!C:C,F271)</f>
        <v>1</v>
      </c>
      <c r="O271" s="16" t="str">
        <f>VLOOKUP($A271,ConstantsUnits!$A:$A,1,false)</f>
        <v>proton gyromag. ratio</v>
      </c>
    </row>
    <row r="272">
      <c r="A272" s="1" t="s">
        <v>936</v>
      </c>
      <c r="B272" s="1" t="s">
        <v>1601</v>
      </c>
      <c r="C272" s="1" t="s">
        <v>1602</v>
      </c>
      <c r="D272" s="1" t="s">
        <v>367</v>
      </c>
      <c r="E272" s="15"/>
      <c r="F272" s="16" t="str">
        <f>VLOOKUP($A272,ConstantsUnits!$A:$C,3,false)</f>
        <v>ProtonGyromagneticRatioInMhzPerT</v>
      </c>
      <c r="G272" s="17" t="str">
        <f t="shared" si="1"/>
        <v>42.577478518</v>
      </c>
      <c r="H272" s="17">
        <f t="shared" si="2"/>
        <v>42.57747852</v>
      </c>
      <c r="I272" s="17" t="str">
        <f t="shared" si="3"/>
        <v>0.000000018</v>
      </c>
      <c r="J272" s="17">
        <f t="shared" si="4"/>
        <v>0.000000018</v>
      </c>
      <c r="K272" s="17" t="b">
        <f t="shared" si="5"/>
        <v>0</v>
      </c>
      <c r="L272" s="16" t="str">
        <f>IFERROR(__xludf.DUMMYFUNCTION("if(regexmatch(B272,""e(.*)$""),regexextract(B272,""e(.*)$""),"""")"),"")</f>
        <v/>
      </c>
      <c r="M272" s="18"/>
      <c r="N272" s="18">
        <f>countif(ConstantsUnits!C:C,F272)</f>
        <v>1</v>
      </c>
      <c r="O272" s="16" t="str">
        <f>VLOOKUP($A272,ConstantsUnits!$A:$A,1,false)</f>
        <v>proton gyromag. ratio in MHz/T</v>
      </c>
    </row>
    <row r="273">
      <c r="A273" s="1" t="s">
        <v>938</v>
      </c>
      <c r="B273" s="1" t="s">
        <v>1603</v>
      </c>
      <c r="C273" s="1" t="s">
        <v>1604</v>
      </c>
      <c r="D273" s="1" t="s">
        <v>165</v>
      </c>
      <c r="E273" s="15"/>
      <c r="F273" s="16" t="str">
        <f>VLOOKUP($A273,ConstantsUnits!$A:$C,3,false)</f>
        <v>ProtonMagneticMoment</v>
      </c>
      <c r="G273" s="17" t="str">
        <f t="shared" si="1"/>
        <v>1.41060679736e-26</v>
      </c>
      <c r="H273" s="17">
        <f t="shared" si="2"/>
        <v>0</v>
      </c>
      <c r="I273" s="17" t="str">
        <f t="shared" si="3"/>
        <v>0.00000000060e-26</v>
      </c>
      <c r="J273" s="17">
        <f t="shared" si="4"/>
        <v>0</v>
      </c>
      <c r="K273" s="17" t="b">
        <f t="shared" si="5"/>
        <v>0</v>
      </c>
      <c r="L273" s="16" t="str">
        <f>IFERROR(__xludf.DUMMYFUNCTION("if(regexmatch(B273,""e(.*)$""),regexextract(B273,""e(.*)$""),"""")"),"-26")</f>
        <v>-26</v>
      </c>
      <c r="M273" s="18"/>
      <c r="N273" s="18">
        <f>countif(ConstantsUnits!C:C,F273)</f>
        <v>1</v>
      </c>
      <c r="O273" s="16" t="str">
        <f>VLOOKUP($A273,ConstantsUnits!$A:$A,1,false)</f>
        <v>proton mag. mom.</v>
      </c>
    </row>
    <row r="274">
      <c r="A274" s="1" t="s">
        <v>941</v>
      </c>
      <c r="B274" s="1" t="s">
        <v>1605</v>
      </c>
      <c r="C274" s="1" t="s">
        <v>1606</v>
      </c>
      <c r="E274" s="15"/>
      <c r="F274" s="16" t="str">
        <f>VLOOKUP($A274,ConstantsUnits!$A:$C,3,false)</f>
        <v>ProtonMagneticMomentToBohrMagnetonRatio</v>
      </c>
      <c r="G274" s="17" t="str">
        <f t="shared" si="1"/>
        <v>1.52103220230e-3</v>
      </c>
      <c r="H274" s="17">
        <f t="shared" si="2"/>
        <v>0.001521032202</v>
      </c>
      <c r="I274" s="17" t="str">
        <f t="shared" si="3"/>
        <v>0.00000000046e-3</v>
      </c>
      <c r="J274" s="17">
        <f t="shared" si="4"/>
        <v>0</v>
      </c>
      <c r="K274" s="17" t="b">
        <f t="shared" si="5"/>
        <v>0</v>
      </c>
      <c r="L274" s="16" t="str">
        <f>IFERROR(__xludf.DUMMYFUNCTION("if(regexmatch(B274,""e(.*)$""),regexextract(B274,""e(.*)$""),"""")"),"-3")</f>
        <v>-3</v>
      </c>
      <c r="M274" s="18"/>
      <c r="N274" s="18">
        <f>countif(ConstantsUnits!C:C,F274)</f>
        <v>1</v>
      </c>
      <c r="O274" s="16" t="str">
        <f>VLOOKUP($A274,ConstantsUnits!$A:$A,1,false)</f>
        <v>proton mag. mom. to Bohr magneton ratio</v>
      </c>
    </row>
    <row r="275">
      <c r="A275" s="1" t="s">
        <v>944</v>
      </c>
      <c r="B275" s="1" t="s">
        <v>1607</v>
      </c>
      <c r="C275" s="1" t="s">
        <v>1608</v>
      </c>
      <c r="E275" s="15"/>
      <c r="F275" s="16" t="str">
        <f>VLOOKUP($A275,ConstantsUnits!$A:$C,3,false)</f>
        <v>ProtonMagneticMomentToNuclearMagnetonRatio</v>
      </c>
      <c r="G275" s="17" t="str">
        <f t="shared" si="1"/>
        <v>2.79284734463</v>
      </c>
      <c r="H275" s="17">
        <f t="shared" si="2"/>
        <v>2.792847345</v>
      </c>
      <c r="I275" s="17" t="str">
        <f t="shared" si="3"/>
        <v>0.00000000082</v>
      </c>
      <c r="J275" s="17">
        <f t="shared" si="4"/>
        <v>0.00000000082</v>
      </c>
      <c r="K275" s="17" t="b">
        <f t="shared" si="5"/>
        <v>0</v>
      </c>
      <c r="L275" s="16" t="str">
        <f>IFERROR(__xludf.DUMMYFUNCTION("if(regexmatch(B275,""e(.*)$""),regexextract(B275,""e(.*)$""),"""")"),"")</f>
        <v/>
      </c>
      <c r="M275" s="18"/>
      <c r="N275" s="18">
        <f>countif(ConstantsUnits!C:C,F275)</f>
        <v>1</v>
      </c>
      <c r="O275" s="16" t="str">
        <f>VLOOKUP($A275,ConstantsUnits!$A:$A,1,false)</f>
        <v>proton mag. mom. to nuclear magneton ratio</v>
      </c>
    </row>
    <row r="276">
      <c r="A276" s="1" t="s">
        <v>947</v>
      </c>
      <c r="B276" s="19" t="s">
        <v>1609</v>
      </c>
      <c r="C276" s="19" t="s">
        <v>1610</v>
      </c>
      <c r="E276" s="15"/>
      <c r="F276" s="16" t="str">
        <f>VLOOKUP($A276,ConstantsUnits!$A:$C,3,false)</f>
        <v>ProtonMagneticShieldingCorrection</v>
      </c>
      <c r="G276" s="17" t="str">
        <f t="shared" si="1"/>
        <v>2.5689e-5</v>
      </c>
      <c r="H276" s="17">
        <f t="shared" si="2"/>
        <v>0.000025689</v>
      </c>
      <c r="I276" s="17" t="str">
        <f t="shared" si="3"/>
        <v>0.0011e-5</v>
      </c>
      <c r="J276" s="17">
        <f t="shared" si="4"/>
        <v>0.000000011</v>
      </c>
      <c r="K276" s="17" t="b">
        <f t="shared" si="5"/>
        <v>0</v>
      </c>
      <c r="L276" s="16" t="str">
        <f>IFERROR(__xludf.DUMMYFUNCTION("if(regexmatch(B276,""e(.*)$""),regexextract(B276,""e(.*)$""),"""")"),"-5")</f>
        <v>-5</v>
      </c>
      <c r="M276" s="18"/>
      <c r="N276" s="18">
        <f>countif(ConstantsUnits!C:C,F276)</f>
        <v>1</v>
      </c>
      <c r="O276" s="16" t="str">
        <f>VLOOKUP($A276,ConstantsUnits!$A:$A,1,false)</f>
        <v>proton mag. shielding correction</v>
      </c>
    </row>
    <row r="277">
      <c r="A277" s="1" t="s">
        <v>949</v>
      </c>
      <c r="B277" s="1" t="s">
        <v>1611</v>
      </c>
      <c r="C277" s="1" t="s">
        <v>1612</v>
      </c>
      <c r="D277" s="1" t="s">
        <v>38</v>
      </c>
      <c r="E277" s="15"/>
      <c r="F277" s="16" t="str">
        <f>VLOOKUP($A277,ConstantsUnits!$A:$C,3,false)</f>
        <v>ProtonMass</v>
      </c>
      <c r="G277" s="17" t="str">
        <f t="shared" si="1"/>
        <v>1.67262192369e-27</v>
      </c>
      <c r="H277" s="17">
        <f t="shared" si="2"/>
        <v>0</v>
      </c>
      <c r="I277" s="17" t="str">
        <f t="shared" si="3"/>
        <v>0.00000000051e-27</v>
      </c>
      <c r="J277" s="17">
        <f t="shared" si="4"/>
        <v>0</v>
      </c>
      <c r="K277" s="17" t="b">
        <f t="shared" si="5"/>
        <v>0</v>
      </c>
      <c r="L277" s="16" t="str">
        <f>IFERROR(__xludf.DUMMYFUNCTION("if(regexmatch(B277,""e(.*)$""),regexextract(B277,""e(.*)$""),"""")"),"-27")</f>
        <v>-27</v>
      </c>
      <c r="M277" s="18"/>
      <c r="N277" s="18">
        <f>countif(ConstantsUnits!C:C,F277)</f>
        <v>1</v>
      </c>
      <c r="O277" s="16" t="str">
        <f>VLOOKUP($A277,ConstantsUnits!$A:$A,1,false)</f>
        <v>proton mass</v>
      </c>
    </row>
    <row r="278">
      <c r="A278" s="1" t="s">
        <v>953</v>
      </c>
      <c r="B278" s="1" t="s">
        <v>1613</v>
      </c>
      <c r="C278" s="1" t="s">
        <v>1614</v>
      </c>
      <c r="D278" s="1" t="s">
        <v>41</v>
      </c>
      <c r="E278" s="15"/>
      <c r="F278" s="16" t="str">
        <f>VLOOKUP($A278,ConstantsUnits!$A:$C,3,false)</f>
        <v>ProtonMassEnergyEquivalent</v>
      </c>
      <c r="G278" s="17" t="str">
        <f t="shared" si="1"/>
        <v>1.50327761598e-10</v>
      </c>
      <c r="H278" s="17">
        <f t="shared" si="2"/>
        <v>0.0000000001503277616</v>
      </c>
      <c r="I278" s="17" t="str">
        <f t="shared" si="3"/>
        <v>0.00000000046e-10</v>
      </c>
      <c r="J278" s="17">
        <f t="shared" si="4"/>
        <v>0</v>
      </c>
      <c r="K278" s="17" t="b">
        <f t="shared" si="5"/>
        <v>0</v>
      </c>
      <c r="L278" s="16" t="str">
        <f>IFERROR(__xludf.DUMMYFUNCTION("if(regexmatch(B278,""e(.*)$""),regexextract(B278,""e(.*)$""),"""")"),"-10")</f>
        <v>-10</v>
      </c>
      <c r="M278" s="18"/>
      <c r="N278" s="18">
        <f>countif(ConstantsUnits!C:C,F278)</f>
        <v>1</v>
      </c>
      <c r="O278" s="16" t="str">
        <f>VLOOKUP($A278,ConstantsUnits!$A:$A,1,false)</f>
        <v>proton mass energy equivalent</v>
      </c>
    </row>
    <row r="279">
      <c r="A279" s="1" t="s">
        <v>955</v>
      </c>
      <c r="B279" s="1" t="s">
        <v>1615</v>
      </c>
      <c r="C279" s="1" t="s">
        <v>1616</v>
      </c>
      <c r="D279" s="1" t="s">
        <v>45</v>
      </c>
      <c r="E279" s="15"/>
      <c r="F279" s="16" t="str">
        <f>VLOOKUP($A279,ConstantsUnits!$A:$C,3,false)</f>
        <v>ProtonMassEnergyEquivalentInMeV</v>
      </c>
      <c r="G279" s="17" t="str">
        <f t="shared" si="1"/>
        <v>938.27208816</v>
      </c>
      <c r="H279" s="17">
        <f t="shared" si="2"/>
        <v>938.2720882</v>
      </c>
      <c r="I279" s="17" t="str">
        <f t="shared" si="3"/>
        <v>0.00000029</v>
      </c>
      <c r="J279" s="17">
        <f t="shared" si="4"/>
        <v>0.00000029</v>
      </c>
      <c r="K279" s="17" t="b">
        <f t="shared" si="5"/>
        <v>0</v>
      </c>
      <c r="L279" s="16" t="str">
        <f>IFERROR(__xludf.DUMMYFUNCTION("if(regexmatch(B279,""e(.*)$""),regexextract(B279,""e(.*)$""),"""")"),"")</f>
        <v/>
      </c>
      <c r="M279" s="18"/>
      <c r="N279" s="18">
        <f>countif(ConstantsUnits!C:C,F279)</f>
        <v>1</v>
      </c>
      <c r="O279" s="16" t="str">
        <f>VLOOKUP($A279,ConstantsUnits!$A:$A,1,false)</f>
        <v>proton mass energy equivalent in MeV</v>
      </c>
    </row>
    <row r="280">
      <c r="A280" s="1" t="s">
        <v>957</v>
      </c>
      <c r="B280" s="1" t="s">
        <v>1617</v>
      </c>
      <c r="C280" s="1" t="s">
        <v>1247</v>
      </c>
      <c r="D280" s="1" t="s">
        <v>48</v>
      </c>
      <c r="E280" s="15"/>
      <c r="F280" s="16" t="str">
        <f>VLOOKUP($A280,ConstantsUnits!$A:$C,3,false)</f>
        <v>ProtonMassInAtomicMassUnit</v>
      </c>
      <c r="G280" s="17" t="str">
        <f t="shared" si="1"/>
        <v>1.007276466621</v>
      </c>
      <c r="H280" s="17">
        <f t="shared" si="2"/>
        <v>1.007276467</v>
      </c>
      <c r="I280" s="17" t="str">
        <f t="shared" si="3"/>
        <v>0.000000000053</v>
      </c>
      <c r="J280" s="17">
        <f t="shared" si="4"/>
        <v>0</v>
      </c>
      <c r="K280" s="17" t="b">
        <f t="shared" si="5"/>
        <v>0</v>
      </c>
      <c r="L280" s="16" t="str">
        <f>IFERROR(__xludf.DUMMYFUNCTION("if(regexmatch(B280,""e(.*)$""),regexextract(B280,""e(.*)$""),"""")"),"")</f>
        <v/>
      </c>
      <c r="M280" s="18"/>
      <c r="N280" s="18">
        <f>countif(ConstantsUnits!C:C,F280)</f>
        <v>1</v>
      </c>
      <c r="O280" s="16" t="str">
        <f>VLOOKUP($A280,ConstantsUnits!$A:$A,1,false)</f>
        <v>proton mass in u</v>
      </c>
    </row>
    <row r="281">
      <c r="A281" s="1" t="s">
        <v>959</v>
      </c>
      <c r="B281" s="1" t="s">
        <v>1618</v>
      </c>
      <c r="C281" s="1" t="s">
        <v>1619</v>
      </c>
      <c r="D281" s="1" t="s">
        <v>51</v>
      </c>
      <c r="E281" s="15"/>
      <c r="F281" s="16" t="str">
        <f>VLOOKUP($A281,ConstantsUnits!$A:$C,3,false)</f>
        <v>ProtonMolarMass</v>
      </c>
      <c r="G281" s="17" t="str">
        <f t="shared" si="1"/>
        <v>1.00727646627e-3</v>
      </c>
      <c r="H281" s="17">
        <f t="shared" si="2"/>
        <v>0.001007276466</v>
      </c>
      <c r="I281" s="17" t="str">
        <f t="shared" si="3"/>
        <v>0.00000000031e-3</v>
      </c>
      <c r="J281" s="17">
        <f t="shared" si="4"/>
        <v>0</v>
      </c>
      <c r="K281" s="17" t="b">
        <f t="shared" si="5"/>
        <v>0</v>
      </c>
      <c r="L281" s="16" t="str">
        <f>IFERROR(__xludf.DUMMYFUNCTION("if(regexmatch(B281,""e(.*)$""),regexextract(B281,""e(.*)$""),"""")"),"-3")</f>
        <v>-3</v>
      </c>
      <c r="M281" s="18"/>
      <c r="N281" s="18">
        <f>countif(ConstantsUnits!C:C,F281)</f>
        <v>1</v>
      </c>
      <c r="O281" s="16" t="str">
        <f>VLOOKUP($A281,ConstantsUnits!$A:$A,1,false)</f>
        <v>proton molar mass</v>
      </c>
    </row>
    <row r="282">
      <c r="A282" s="1" t="s">
        <v>962</v>
      </c>
      <c r="B282" s="1" t="s">
        <v>1620</v>
      </c>
      <c r="C282" s="1" t="s">
        <v>1366</v>
      </c>
      <c r="E282" s="15"/>
      <c r="F282" s="16" t="str">
        <f>VLOOKUP($A282,ConstantsUnits!$A:$C,3,false)</f>
        <v>ProtonMuonMassRatio</v>
      </c>
      <c r="G282" s="17" t="str">
        <f t="shared" si="1"/>
        <v>8.88024337</v>
      </c>
      <c r="H282" s="17">
        <f t="shared" si="2"/>
        <v>8.88024337</v>
      </c>
      <c r="I282" s="17" t="str">
        <f t="shared" si="3"/>
        <v>0.00000020</v>
      </c>
      <c r="J282" s="17">
        <f t="shared" si="4"/>
        <v>0.0000002</v>
      </c>
      <c r="K282" s="17" t="b">
        <f t="shared" si="5"/>
        <v>0</v>
      </c>
      <c r="L282" s="16" t="str">
        <f>IFERROR(__xludf.DUMMYFUNCTION("if(regexmatch(B282,""e(.*)$""),regexextract(B282,""e(.*)$""),"""")"),"")</f>
        <v/>
      </c>
      <c r="M282" s="18"/>
      <c r="N282" s="18">
        <f>countif(ConstantsUnits!C:C,F282)</f>
        <v>1</v>
      </c>
      <c r="O282" s="16" t="str">
        <f>VLOOKUP($A282,ConstantsUnits!$A:$A,1,false)</f>
        <v>proton-muon mass ratio</v>
      </c>
    </row>
    <row r="283">
      <c r="A283" s="1" t="s">
        <v>965</v>
      </c>
      <c r="B283" s="1" t="s">
        <v>1621</v>
      </c>
      <c r="C283" s="1" t="s">
        <v>1622</v>
      </c>
      <c r="E283" s="15"/>
      <c r="F283" s="16" t="str">
        <f>VLOOKUP($A283,ConstantsUnits!$A:$C,3,false)</f>
        <v>ProtonNeutronMagneticMomentRatio</v>
      </c>
      <c r="G283" s="17" t="str">
        <f t="shared" si="1"/>
        <v>-1.45989805</v>
      </c>
      <c r="H283" s="17">
        <f t="shared" si="2"/>
        <v>-1.45989805</v>
      </c>
      <c r="I283" s="17" t="str">
        <f t="shared" si="3"/>
        <v>0.00000034</v>
      </c>
      <c r="J283" s="17">
        <f t="shared" si="4"/>
        <v>0.00000034</v>
      </c>
      <c r="K283" s="17" t="b">
        <f t="shared" si="5"/>
        <v>0</v>
      </c>
      <c r="L283" s="16" t="str">
        <f>IFERROR(__xludf.DUMMYFUNCTION("if(regexmatch(B283,""e(.*)$""),regexextract(B283,""e(.*)$""),"""")"),"")</f>
        <v/>
      </c>
      <c r="M283" s="18"/>
      <c r="N283" s="18">
        <f>countif(ConstantsUnits!C:C,F283)</f>
        <v>1</v>
      </c>
      <c r="O283" s="16" t="str">
        <f>VLOOKUP($A283,ConstantsUnits!$A:$A,1,false)</f>
        <v>proton-neutron mag. mom. ratio</v>
      </c>
    </row>
    <row r="284">
      <c r="A284" s="1" t="s">
        <v>968</v>
      </c>
      <c r="B284" s="1" t="s">
        <v>1623</v>
      </c>
      <c r="C284" s="1" t="s">
        <v>1552</v>
      </c>
      <c r="E284" s="15"/>
      <c r="F284" s="16" t="str">
        <f>VLOOKUP($A284,ConstantsUnits!$A:$C,3,false)</f>
        <v>ProtonNeutronMassRatio</v>
      </c>
      <c r="G284" s="17" t="str">
        <f t="shared" si="1"/>
        <v>0.99862347812</v>
      </c>
      <c r="H284" s="17">
        <f t="shared" si="2"/>
        <v>0.9986234781</v>
      </c>
      <c r="I284" s="17" t="str">
        <f t="shared" si="3"/>
        <v>0.00000000049</v>
      </c>
      <c r="J284" s="17">
        <f t="shared" si="4"/>
        <v>0.00000000049</v>
      </c>
      <c r="K284" s="17" t="b">
        <f t="shared" si="5"/>
        <v>0</v>
      </c>
      <c r="L284" s="16" t="str">
        <f>IFERROR(__xludf.DUMMYFUNCTION("if(regexmatch(B284,""e(.*)$""),regexextract(B284,""e(.*)$""),"""")"),"")</f>
        <v/>
      </c>
      <c r="M284" s="18"/>
      <c r="N284" s="18">
        <f>countif(ConstantsUnits!C:C,F284)</f>
        <v>1</v>
      </c>
      <c r="O284" s="16" t="str">
        <f>VLOOKUP($A284,ConstantsUnits!$A:$A,1,false)</f>
        <v>proton-neutron mass ratio</v>
      </c>
    </row>
    <row r="285">
      <c r="A285" s="1" t="s">
        <v>971</v>
      </c>
      <c r="B285" s="1" t="s">
        <v>1617</v>
      </c>
      <c r="C285" s="1" t="s">
        <v>1247</v>
      </c>
      <c r="E285" s="15"/>
      <c r="F285" s="16" t="str">
        <f>VLOOKUP($A285,ConstantsUnits!$A:$C,3,false)</f>
        <v>ProtonRelativeAtomicMass</v>
      </c>
      <c r="G285" s="17" t="str">
        <f t="shared" si="1"/>
        <v>1.007276466621</v>
      </c>
      <c r="H285" s="17">
        <f t="shared" si="2"/>
        <v>1.007276467</v>
      </c>
      <c r="I285" s="17" t="str">
        <f t="shared" si="3"/>
        <v>0.000000000053</v>
      </c>
      <c r="J285" s="17">
        <f t="shared" si="4"/>
        <v>0</v>
      </c>
      <c r="K285" s="17" t="b">
        <f t="shared" si="5"/>
        <v>0</v>
      </c>
      <c r="L285" s="16" t="str">
        <f>IFERROR(__xludf.DUMMYFUNCTION("if(regexmatch(B285,""e(.*)$""),regexextract(B285,""e(.*)$""),"""")"),"")</f>
        <v/>
      </c>
      <c r="M285" s="18"/>
      <c r="N285" s="18">
        <f>countif(ConstantsUnits!C:C,F285)</f>
        <v>1</v>
      </c>
      <c r="O285" s="16" t="str">
        <f>VLOOKUP($A285,ConstantsUnits!$A:$A,1,false)</f>
        <v>proton relative atomic mass</v>
      </c>
    </row>
    <row r="286">
      <c r="A286" s="1" t="s">
        <v>973</v>
      </c>
      <c r="B286" s="19" t="s">
        <v>1624</v>
      </c>
      <c r="C286" s="19" t="s">
        <v>1625</v>
      </c>
      <c r="D286" s="1" t="s">
        <v>59</v>
      </c>
      <c r="E286" s="15"/>
      <c r="F286" s="16" t="str">
        <f>VLOOKUP($A286,ConstantsUnits!$A:$C,3,false)</f>
        <v>ProtonRmsChargeRadius</v>
      </c>
      <c r="G286" s="17" t="str">
        <f t="shared" si="1"/>
        <v>8.414e-16</v>
      </c>
      <c r="H286" s="17">
        <f t="shared" si="2"/>
        <v>0</v>
      </c>
      <c r="I286" s="17" t="str">
        <f t="shared" si="3"/>
        <v>0.019e-16</v>
      </c>
      <c r="J286" s="17">
        <f t="shared" si="4"/>
        <v>0</v>
      </c>
      <c r="K286" s="17" t="b">
        <f t="shared" si="5"/>
        <v>0</v>
      </c>
      <c r="L286" s="16" t="str">
        <f>IFERROR(__xludf.DUMMYFUNCTION("if(regexmatch(B286,""e(.*)$""),regexextract(B286,""e(.*)$""),"""")"),"-16")</f>
        <v>-16</v>
      </c>
      <c r="M286" s="18"/>
      <c r="N286" s="18">
        <f>countif(ConstantsUnits!C:C,F286)</f>
        <v>1</v>
      </c>
      <c r="O286" s="16" t="str">
        <f>VLOOKUP($A286,ConstantsUnits!$A:$A,1,false)</f>
        <v>proton rms charge radius</v>
      </c>
    </row>
    <row r="287">
      <c r="A287" s="1" t="s">
        <v>976</v>
      </c>
      <c r="B287" s="1" t="s">
        <v>1626</v>
      </c>
      <c r="C287" s="1" t="s">
        <v>1568</v>
      </c>
      <c r="E287" s="15"/>
      <c r="F287" s="16" t="str">
        <f>VLOOKUP($A287,ConstantsUnits!$A:$C,3,false)</f>
        <v>ProtonTauMassRatio</v>
      </c>
      <c r="G287" s="17" t="str">
        <f t="shared" si="1"/>
        <v>0.528051</v>
      </c>
      <c r="H287" s="17">
        <f t="shared" si="2"/>
        <v>0.528051</v>
      </c>
      <c r="I287" s="17" t="str">
        <f t="shared" si="3"/>
        <v>0.000036</v>
      </c>
      <c r="J287" s="17">
        <f t="shared" si="4"/>
        <v>0.000036</v>
      </c>
      <c r="K287" s="17" t="b">
        <f t="shared" si="5"/>
        <v>0</v>
      </c>
      <c r="L287" s="16" t="str">
        <f>IFERROR(__xludf.DUMMYFUNCTION("if(regexmatch(B287,""e(.*)$""),regexextract(B287,""e(.*)$""),"""")"),"")</f>
        <v/>
      </c>
      <c r="M287" s="18"/>
      <c r="N287" s="18">
        <f>countif(ConstantsUnits!C:C,F287)</f>
        <v>1</v>
      </c>
      <c r="O287" s="16" t="str">
        <f>VLOOKUP($A287,ConstantsUnits!$A:$A,1,false)</f>
        <v>proton-tau mass ratio</v>
      </c>
    </row>
    <row r="288">
      <c r="A288" s="1" t="s">
        <v>979</v>
      </c>
      <c r="B288" s="1" t="s">
        <v>1627</v>
      </c>
      <c r="C288" s="1" t="s">
        <v>1580</v>
      </c>
      <c r="D288" s="1" t="s">
        <v>980</v>
      </c>
      <c r="E288" s="15"/>
      <c r="F288" s="16" t="str">
        <f>VLOOKUP($A288,ConstantsUnits!$A:$C,3,false)</f>
        <v>QuantumOfCirculation</v>
      </c>
      <c r="G288" s="17" t="str">
        <f t="shared" si="1"/>
        <v>3.6369475516e-4</v>
      </c>
      <c r="H288" s="17">
        <f t="shared" si="2"/>
        <v>0.0003636947552</v>
      </c>
      <c r="I288" s="17" t="str">
        <f t="shared" si="3"/>
        <v>0.0000000011e-4</v>
      </c>
      <c r="J288" s="17">
        <f t="shared" si="4"/>
        <v>0</v>
      </c>
      <c r="K288" s="17" t="b">
        <f t="shared" si="5"/>
        <v>0</v>
      </c>
      <c r="L288" s="16" t="str">
        <f>IFERROR(__xludf.DUMMYFUNCTION("if(regexmatch(B288,""e(.*)$""),regexextract(B288,""e(.*)$""),"""")"),"-4")</f>
        <v>-4</v>
      </c>
      <c r="M288" s="18"/>
      <c r="N288" s="18">
        <f>countif(ConstantsUnits!C:C,F288)</f>
        <v>1</v>
      </c>
      <c r="O288" s="16" t="str">
        <f>VLOOKUP($A288,ConstantsUnits!$A:$A,1,false)</f>
        <v>quantum of circulation</v>
      </c>
    </row>
    <row r="289">
      <c r="A289" s="1" t="s">
        <v>984</v>
      </c>
      <c r="B289" s="1" t="s">
        <v>1628</v>
      </c>
      <c r="C289" s="1" t="s">
        <v>1629</v>
      </c>
      <c r="D289" s="1" t="s">
        <v>980</v>
      </c>
      <c r="E289" s="15"/>
      <c r="F289" s="16" t="str">
        <f>VLOOKUP($A289,ConstantsUnits!$A:$C,3,false)</f>
        <v>QuantumOfCirculationTimes2</v>
      </c>
      <c r="G289" s="17" t="str">
        <f t="shared" si="1"/>
        <v>7.2738951032e-4</v>
      </c>
      <c r="H289" s="17">
        <f t="shared" si="2"/>
        <v>0.0007273895103</v>
      </c>
      <c r="I289" s="17" t="str">
        <f t="shared" si="3"/>
        <v>0.0000000022e-4</v>
      </c>
      <c r="J289" s="17">
        <f t="shared" si="4"/>
        <v>0</v>
      </c>
      <c r="K289" s="17" t="b">
        <f t="shared" si="5"/>
        <v>0</v>
      </c>
      <c r="L289" s="16" t="str">
        <f>IFERROR(__xludf.DUMMYFUNCTION("if(regexmatch(B289,""e(.*)$""),regexextract(B289,""e(.*)$""),"""")"),"-4")</f>
        <v>-4</v>
      </c>
      <c r="M289" s="18"/>
      <c r="N289" s="18">
        <f>countif(ConstantsUnits!C:C,F289)</f>
        <v>1</v>
      </c>
      <c r="O289" s="16" t="str">
        <f>VLOOKUP($A289,ConstantsUnits!$A:$A,1,false)</f>
        <v>quantum of circulation times 2</v>
      </c>
    </row>
    <row r="290">
      <c r="A290" s="1" t="s">
        <v>987</v>
      </c>
      <c r="B290" s="1" t="s">
        <v>1522</v>
      </c>
      <c r="C290" s="1" t="s">
        <v>1523</v>
      </c>
      <c r="D290" s="1" t="s">
        <v>59</v>
      </c>
      <c r="E290" s="15"/>
      <c r="F290" s="16" t="str">
        <f>VLOOKUP($A290,ConstantsUnits!$A:$C,3,false)</f>
        <v>ReducedComptonWavelength</v>
      </c>
      <c r="G290" s="17" t="str">
        <f t="shared" si="1"/>
        <v>3.8615926796e-13</v>
      </c>
      <c r="H290" s="17">
        <f t="shared" si="2"/>
        <v>0</v>
      </c>
      <c r="I290" s="17" t="str">
        <f t="shared" si="3"/>
        <v>0.0000000012e-13</v>
      </c>
      <c r="J290" s="17">
        <f t="shared" si="4"/>
        <v>0</v>
      </c>
      <c r="K290" s="17" t="b">
        <f t="shared" si="5"/>
        <v>0</v>
      </c>
      <c r="L290" s="16" t="str">
        <f>IFERROR(__xludf.DUMMYFUNCTION("if(regexmatch(B290,""e(.*)$""),regexextract(B290,""e(.*)$""),"""")"),"-13")</f>
        <v>-13</v>
      </c>
      <c r="M290" s="18"/>
      <c r="N290" s="18">
        <f>countif(ConstantsUnits!C:C,F290)</f>
        <v>1</v>
      </c>
      <c r="O290" s="16" t="str">
        <f>VLOOKUP($A290,ConstantsUnits!$A:$A,1,false)</f>
        <v>reduced Compton wavelength</v>
      </c>
    </row>
    <row r="291">
      <c r="A291" s="1" t="s">
        <v>989</v>
      </c>
      <c r="B291" s="1" t="s">
        <v>1630</v>
      </c>
      <c r="C291" s="1" t="s">
        <v>1631</v>
      </c>
      <c r="D291" s="1" t="s">
        <v>59</v>
      </c>
      <c r="E291" s="15"/>
      <c r="F291" s="16" t="str">
        <f>VLOOKUP($A291,ConstantsUnits!$A:$C,3,false)</f>
        <v>ReducedMuonComptonWavelength</v>
      </c>
      <c r="G291" s="17" t="str">
        <f t="shared" si="1"/>
        <v>1.867594306e-15</v>
      </c>
      <c r="H291" s="17">
        <f t="shared" si="2"/>
        <v>0</v>
      </c>
      <c r="I291" s="17" t="str">
        <f t="shared" si="3"/>
        <v>0.000000042e-15</v>
      </c>
      <c r="J291" s="17">
        <f t="shared" si="4"/>
        <v>0</v>
      </c>
      <c r="K291" s="17" t="b">
        <f t="shared" si="5"/>
        <v>0</v>
      </c>
      <c r="L291" s="16" t="str">
        <f>IFERROR(__xludf.DUMMYFUNCTION("if(regexmatch(B291,""e(.*)$""),regexextract(B291,""e(.*)$""),"""")"),"-15")</f>
        <v>-15</v>
      </c>
      <c r="M291" s="18"/>
      <c r="N291" s="18">
        <f>countif(ConstantsUnits!C:C,F291)</f>
        <v>1</v>
      </c>
      <c r="O291" s="16" t="str">
        <f>VLOOKUP($A291,ConstantsUnits!$A:$A,1,false)</f>
        <v>reduced muon Compton wavelength</v>
      </c>
    </row>
    <row r="292">
      <c r="A292" s="1" t="s">
        <v>991</v>
      </c>
      <c r="B292" s="1" t="s">
        <v>1632</v>
      </c>
      <c r="C292" s="1" t="s">
        <v>1633</v>
      </c>
      <c r="D292" s="1" t="s">
        <v>59</v>
      </c>
      <c r="E292" s="15"/>
      <c r="F292" s="16" t="str">
        <f>VLOOKUP($A292,ConstantsUnits!$A:$C,3,false)</f>
        <v>ReducedNeutronComptonWavelength</v>
      </c>
      <c r="G292" s="17" t="str">
        <f t="shared" si="1"/>
        <v>2.1001941552e-16</v>
      </c>
      <c r="H292" s="17">
        <f t="shared" si="2"/>
        <v>0</v>
      </c>
      <c r="I292" s="17" t="str">
        <f t="shared" si="3"/>
        <v>0.0000000012e-16</v>
      </c>
      <c r="J292" s="17">
        <f t="shared" si="4"/>
        <v>0</v>
      </c>
      <c r="K292" s="17" t="b">
        <f t="shared" si="5"/>
        <v>0</v>
      </c>
      <c r="L292" s="16" t="str">
        <f>IFERROR(__xludf.DUMMYFUNCTION("if(regexmatch(B292,""e(.*)$""),regexextract(B292,""e(.*)$""),"""")"),"-16")</f>
        <v>-16</v>
      </c>
      <c r="M292" s="18"/>
      <c r="N292" s="18">
        <f>countif(ConstantsUnits!C:C,F292)</f>
        <v>1</v>
      </c>
      <c r="O292" s="16" t="str">
        <f>VLOOKUP($A292,ConstantsUnits!$A:$A,1,false)</f>
        <v>reduced neutron Compton wavelength</v>
      </c>
    </row>
    <row r="293">
      <c r="A293" s="1" t="s">
        <v>993</v>
      </c>
      <c r="B293" s="1" t="s">
        <v>1231</v>
      </c>
      <c r="C293" s="1" t="s">
        <v>1232</v>
      </c>
      <c r="D293" s="1" t="s">
        <v>108</v>
      </c>
      <c r="E293" s="15"/>
      <c r="F293" s="16" t="str">
        <f>VLOOKUP($A293,ConstantsUnits!$A:$C,3,false)</f>
        <v>ReducedPlanckConstant</v>
      </c>
      <c r="G293" s="17" t="str">
        <f t="shared" si="1"/>
        <v>1.054571817e-34</v>
      </c>
      <c r="H293" s="17">
        <f t="shared" si="2"/>
        <v>0</v>
      </c>
      <c r="I293" s="17" t="str">
        <f t="shared" si="3"/>
        <v>(exact)</v>
      </c>
      <c r="J293" s="17" t="str">
        <f t="shared" si="4"/>
        <v/>
      </c>
      <c r="K293" s="17" t="b">
        <f t="shared" si="5"/>
        <v>1</v>
      </c>
      <c r="L293" s="16" t="str">
        <f>IFERROR(__xludf.DUMMYFUNCTION("if(regexmatch(B293,""e(.*)$""),regexextract(B293,""e(.*)$""),"""")"),"-34")</f>
        <v>-34</v>
      </c>
      <c r="M293" s="18"/>
      <c r="N293" s="18">
        <f>countif(ConstantsUnits!C:C,F293)</f>
        <v>1</v>
      </c>
      <c r="O293" s="16" t="str">
        <f>VLOOKUP($A293,ConstantsUnits!$A:$A,1,false)</f>
        <v>reduced Planck constant</v>
      </c>
    </row>
    <row r="294">
      <c r="A294" s="1" t="s">
        <v>997</v>
      </c>
      <c r="B294" s="1" t="s">
        <v>1521</v>
      </c>
      <c r="C294" s="1" t="s">
        <v>1232</v>
      </c>
      <c r="D294" s="1" t="s">
        <v>774</v>
      </c>
      <c r="E294" s="15"/>
      <c r="F294" s="16" t="str">
        <f>VLOOKUP($A294,ConstantsUnits!$A:$C,3,false)</f>
        <v>ReducedPlanckConstantInEvS</v>
      </c>
      <c r="G294" s="17" t="str">
        <f t="shared" si="1"/>
        <v>6.582119569e-16</v>
      </c>
      <c r="H294" s="17">
        <f t="shared" si="2"/>
        <v>0</v>
      </c>
      <c r="I294" s="17" t="str">
        <f t="shared" si="3"/>
        <v>(exact)</v>
      </c>
      <c r="J294" s="17" t="str">
        <f t="shared" si="4"/>
        <v/>
      </c>
      <c r="K294" s="17" t="b">
        <f t="shared" si="5"/>
        <v>1</v>
      </c>
      <c r="L294" s="16" t="str">
        <f>IFERROR(__xludf.DUMMYFUNCTION("if(regexmatch(B294,""e(.*)$""),regexextract(B294,""e(.*)$""),"""")"),"-16")</f>
        <v>-16</v>
      </c>
      <c r="M294" s="18"/>
      <c r="N294" s="18">
        <f>countif(ConstantsUnits!C:C,F294)</f>
        <v>1</v>
      </c>
      <c r="O294" s="16" t="str">
        <f>VLOOKUP($A294,ConstantsUnits!$A:$A,1,false)</f>
        <v>reduced Planck constant in eV s</v>
      </c>
    </row>
    <row r="295">
      <c r="A295" s="1" t="s">
        <v>998</v>
      </c>
      <c r="B295" s="1" t="s">
        <v>1634</v>
      </c>
      <c r="C295" s="1" t="s">
        <v>1232</v>
      </c>
      <c r="D295" s="1" t="s">
        <v>999</v>
      </c>
      <c r="E295" s="15"/>
      <c r="F295" s="16" t="str">
        <f>VLOOKUP($A295,ConstantsUnits!$A:$C,3,false)</f>
        <v>ReducedPlanckConstantTimesCInMevFm</v>
      </c>
      <c r="G295" s="17" t="str">
        <f t="shared" si="1"/>
        <v>197.3269804</v>
      </c>
      <c r="H295" s="17">
        <f t="shared" si="2"/>
        <v>197.3269804</v>
      </c>
      <c r="I295" s="17" t="str">
        <f t="shared" si="3"/>
        <v>(exact)</v>
      </c>
      <c r="J295" s="17" t="str">
        <f t="shared" si="4"/>
        <v/>
      </c>
      <c r="K295" s="17" t="b">
        <f t="shared" si="5"/>
        <v>1</v>
      </c>
      <c r="L295" s="16" t="str">
        <f>IFERROR(__xludf.DUMMYFUNCTION("if(regexmatch(B295,""e(.*)$""),regexextract(B295,""e(.*)$""),"""")"),"")</f>
        <v/>
      </c>
      <c r="M295" s="18"/>
      <c r="N295" s="18">
        <f>countif(ConstantsUnits!C:C,F295)</f>
        <v>1</v>
      </c>
      <c r="O295" s="16" t="str">
        <f>VLOOKUP($A295,ConstantsUnits!$A:$A,1,false)</f>
        <v>reduced Planck constant times c in MeV fm</v>
      </c>
    </row>
    <row r="296">
      <c r="A296" s="1" t="s">
        <v>1001</v>
      </c>
      <c r="B296" s="1" t="s">
        <v>1635</v>
      </c>
      <c r="C296" s="1" t="s">
        <v>1636</v>
      </c>
      <c r="D296" s="1" t="s">
        <v>59</v>
      </c>
      <c r="E296" s="15"/>
      <c r="F296" s="16" t="str">
        <f>VLOOKUP($A296,ConstantsUnits!$A:$C,3,false)</f>
        <v>ReducedProtonComptonWavelength</v>
      </c>
      <c r="G296" s="17" t="str">
        <f t="shared" si="1"/>
        <v>2.10308910336e-16</v>
      </c>
      <c r="H296" s="17">
        <f t="shared" si="2"/>
        <v>0</v>
      </c>
      <c r="I296" s="17" t="str">
        <f t="shared" si="3"/>
        <v>0.00000000064e-16</v>
      </c>
      <c r="J296" s="17">
        <f t="shared" si="4"/>
        <v>0</v>
      </c>
      <c r="K296" s="17" t="b">
        <f t="shared" si="5"/>
        <v>0</v>
      </c>
      <c r="L296" s="16" t="str">
        <f>IFERROR(__xludf.DUMMYFUNCTION("if(regexmatch(B296,""e(.*)$""),regexextract(B296,""e(.*)$""),"""")"),"-16")</f>
        <v>-16</v>
      </c>
      <c r="M296" s="18"/>
      <c r="N296" s="18">
        <f>countif(ConstantsUnits!C:C,F296)</f>
        <v>1</v>
      </c>
      <c r="O296" s="16" t="str">
        <f>VLOOKUP($A296,ConstantsUnits!$A:$A,1,false)</f>
        <v>reduced proton Compton wavelength</v>
      </c>
    </row>
    <row r="297">
      <c r="A297" s="1" t="s">
        <v>1003</v>
      </c>
      <c r="B297" s="1" t="s">
        <v>1637</v>
      </c>
      <c r="C297" s="1" t="s">
        <v>1638</v>
      </c>
      <c r="D297" s="1" t="s">
        <v>59</v>
      </c>
      <c r="E297" s="15"/>
      <c r="F297" s="16" t="str">
        <f>VLOOKUP($A297,ConstantsUnits!$A:$C,3,false)</f>
        <v>ReducedTauComptonWavelength</v>
      </c>
      <c r="G297" s="17" t="str">
        <f t="shared" si="1"/>
        <v>1.110538e-16</v>
      </c>
      <c r="H297" s="17">
        <f t="shared" si="2"/>
        <v>0</v>
      </c>
      <c r="I297" s="17" t="str">
        <f t="shared" si="3"/>
        <v>0.000075e-16</v>
      </c>
      <c r="J297" s="17">
        <f t="shared" si="4"/>
        <v>0</v>
      </c>
      <c r="K297" s="17" t="b">
        <f t="shared" si="5"/>
        <v>0</v>
      </c>
      <c r="L297" s="16" t="str">
        <f>IFERROR(__xludf.DUMMYFUNCTION("if(regexmatch(B297,""e(.*)$""),regexextract(B297,""e(.*)$""),"""")"),"-16")</f>
        <v>-16</v>
      </c>
      <c r="M297" s="18"/>
      <c r="N297" s="18">
        <f>countif(ConstantsUnits!C:C,F297)</f>
        <v>1</v>
      </c>
      <c r="O297" s="16" t="str">
        <f>VLOOKUP($A297,ConstantsUnits!$A:$A,1,false)</f>
        <v>reduced tau Compton wavelength</v>
      </c>
    </row>
    <row r="298">
      <c r="A298" s="1" t="s">
        <v>1005</v>
      </c>
      <c r="B298" s="1" t="s">
        <v>1639</v>
      </c>
      <c r="C298" s="1" t="s">
        <v>1640</v>
      </c>
      <c r="D298" s="1" t="s">
        <v>83</v>
      </c>
      <c r="E298" s="15"/>
      <c r="F298" s="16" t="str">
        <f>VLOOKUP($A298,ConstantsUnits!$A:$C,3,false)</f>
        <v>RydbergConstant</v>
      </c>
      <c r="G298" s="17" t="str">
        <f t="shared" si="1"/>
        <v>10973731.568160</v>
      </c>
      <c r="H298" s="17">
        <f t="shared" si="2"/>
        <v>10973731.57</v>
      </c>
      <c r="I298" s="17" t="str">
        <f t="shared" si="3"/>
        <v>0.000021</v>
      </c>
      <c r="J298" s="17">
        <f t="shared" si="4"/>
        <v>0.000021</v>
      </c>
      <c r="K298" s="17" t="b">
        <f t="shared" si="5"/>
        <v>0</v>
      </c>
      <c r="L298" s="16" t="str">
        <f>IFERROR(__xludf.DUMMYFUNCTION("if(regexmatch(B298,""e(.*)$""),regexextract(B298,""e(.*)$""),"""")"),"")</f>
        <v/>
      </c>
      <c r="M298" s="18"/>
      <c r="N298" s="18">
        <f>countif(ConstantsUnits!C:C,F298)</f>
        <v>1</v>
      </c>
      <c r="O298" s="16" t="str">
        <f>VLOOKUP($A298,ConstantsUnits!$A:$A,1,false)</f>
        <v>Rydberg constant</v>
      </c>
    </row>
    <row r="299">
      <c r="A299" s="1" t="s">
        <v>1008</v>
      </c>
      <c r="B299" s="1" t="s">
        <v>1641</v>
      </c>
      <c r="C299" s="1" t="s">
        <v>1642</v>
      </c>
      <c r="D299" s="1" t="s">
        <v>79</v>
      </c>
      <c r="E299" s="15"/>
      <c r="F299" s="16" t="str">
        <f>VLOOKUP($A299,ConstantsUnits!$A:$C,3,false)</f>
        <v>RydbergConstantTimesCInHz</v>
      </c>
      <c r="G299" s="17" t="str">
        <f t="shared" si="1"/>
        <v>3.2898419602508e15</v>
      </c>
      <c r="H299" s="17">
        <f t="shared" si="2"/>
        <v>3.28984E+15</v>
      </c>
      <c r="I299" s="17" t="str">
        <f t="shared" si="3"/>
        <v>0.0000000000064e15</v>
      </c>
      <c r="J299" s="17">
        <f t="shared" si="4"/>
        <v>6400</v>
      </c>
      <c r="K299" s="17" t="b">
        <f t="shared" si="5"/>
        <v>0</v>
      </c>
      <c r="L299" s="16" t="str">
        <f>IFERROR(__xludf.DUMMYFUNCTION("if(regexmatch(B299,""e(.*)$""),regexextract(B299,""e(.*)$""),"""")"),"15")</f>
        <v>15</v>
      </c>
      <c r="M299" s="18"/>
      <c r="N299" s="18">
        <f>countif(ConstantsUnits!C:C,F299)</f>
        <v>1</v>
      </c>
      <c r="O299" s="16" t="str">
        <f>VLOOKUP($A299,ConstantsUnits!$A:$A,1,false)</f>
        <v>Rydberg constant times c in Hz</v>
      </c>
    </row>
    <row r="300">
      <c r="A300" s="1" t="s">
        <v>1010</v>
      </c>
      <c r="B300" s="1" t="s">
        <v>1643</v>
      </c>
      <c r="C300" s="1" t="s">
        <v>1644</v>
      </c>
      <c r="D300" s="1" t="s">
        <v>70</v>
      </c>
      <c r="E300" s="15"/>
      <c r="F300" s="16" t="str">
        <f>VLOOKUP($A300,ConstantsUnits!$A:$C,3,false)</f>
        <v>RydbergConstantTimesHcInEV</v>
      </c>
      <c r="G300" s="17" t="str">
        <f t="shared" si="1"/>
        <v>13.605693122994</v>
      </c>
      <c r="H300" s="17">
        <f t="shared" si="2"/>
        <v>13.60569312</v>
      </c>
      <c r="I300" s="17" t="str">
        <f t="shared" si="3"/>
        <v>0.000000000026</v>
      </c>
      <c r="J300" s="17">
        <f t="shared" si="4"/>
        <v>0</v>
      </c>
      <c r="K300" s="17" t="b">
        <f t="shared" si="5"/>
        <v>0</v>
      </c>
      <c r="L300" s="16" t="str">
        <f>IFERROR(__xludf.DUMMYFUNCTION("if(regexmatch(B300,""e(.*)$""),regexextract(B300,""e(.*)$""),"""")"),"")</f>
        <v/>
      </c>
      <c r="M300" s="18"/>
      <c r="N300" s="18">
        <f>countif(ConstantsUnits!C:C,F300)</f>
        <v>1</v>
      </c>
      <c r="O300" s="16" t="str">
        <f>VLOOKUP($A300,ConstantsUnits!$A:$A,1,false)</f>
        <v>Rydberg constant times hc in eV</v>
      </c>
    </row>
    <row r="301">
      <c r="A301" s="1" t="s">
        <v>1012</v>
      </c>
      <c r="B301" s="1" t="s">
        <v>1645</v>
      </c>
      <c r="C301" s="1" t="s">
        <v>1646</v>
      </c>
      <c r="D301" s="1" t="s">
        <v>41</v>
      </c>
      <c r="E301" s="15"/>
      <c r="F301" s="16" t="str">
        <f>VLOOKUP($A301,ConstantsUnits!$A:$C,3,false)</f>
        <v>RydbergConstantTimesHcInJ</v>
      </c>
      <c r="G301" s="17" t="str">
        <f t="shared" si="1"/>
        <v>2.1798723611035e-18</v>
      </c>
      <c r="H301" s="17">
        <f t="shared" si="2"/>
        <v>0</v>
      </c>
      <c r="I301" s="17" t="str">
        <f t="shared" si="3"/>
        <v>0.0000000000042e-18</v>
      </c>
      <c r="J301" s="17">
        <f t="shared" si="4"/>
        <v>0</v>
      </c>
      <c r="K301" s="17" t="b">
        <f t="shared" si="5"/>
        <v>0</v>
      </c>
      <c r="L301" s="16" t="str">
        <f>IFERROR(__xludf.DUMMYFUNCTION("if(regexmatch(B301,""e(.*)$""),regexextract(B301,""e(.*)$""),"""")"),"-18")</f>
        <v>-18</v>
      </c>
      <c r="M301" s="18"/>
      <c r="N301" s="18">
        <f>countif(ConstantsUnits!C:C,F301)</f>
        <v>1</v>
      </c>
      <c r="O301" s="16" t="str">
        <f>VLOOKUP($A301,ConstantsUnits!$A:$A,1,false)</f>
        <v>Rydberg constant times hc in J</v>
      </c>
    </row>
    <row r="302">
      <c r="A302" s="1" t="s">
        <v>1014</v>
      </c>
      <c r="B302" s="1" t="s">
        <v>1647</v>
      </c>
      <c r="C302" s="1" t="s">
        <v>1648</v>
      </c>
      <c r="E302" s="15"/>
      <c r="F302" s="16" t="str">
        <f>VLOOKUP($A302,ConstantsUnits!$A:$C,3,false)</f>
        <v>SackurTetrodeConstant1K100KPa</v>
      </c>
      <c r="G302" s="17" t="str">
        <f t="shared" si="1"/>
        <v>-1.15170753706</v>
      </c>
      <c r="H302" s="17">
        <f t="shared" si="2"/>
        <v>-1.151707537</v>
      </c>
      <c r="I302" s="17" t="str">
        <f t="shared" si="3"/>
        <v>0.00000000045</v>
      </c>
      <c r="J302" s="17">
        <f t="shared" si="4"/>
        <v>0.00000000045</v>
      </c>
      <c r="K302" s="17" t="b">
        <f t="shared" si="5"/>
        <v>0</v>
      </c>
      <c r="L302" s="16" t="str">
        <f>IFERROR(__xludf.DUMMYFUNCTION("if(regexmatch(B302,""e(.*)$""),regexextract(B302,""e(.*)$""),"""")"),"")</f>
        <v/>
      </c>
      <c r="M302" s="18"/>
      <c r="N302" s="18">
        <f>countif(ConstantsUnits!C:C,F302)</f>
        <v>1</v>
      </c>
      <c r="O302" s="16" t="str">
        <f>VLOOKUP($A302,ConstantsUnits!$A:$A,1,false)</f>
        <v>Sackur-Tetrode constant (1 K, 100 kPa)</v>
      </c>
    </row>
    <row r="303">
      <c r="A303" s="1" t="s">
        <v>1017</v>
      </c>
      <c r="B303" s="1" t="s">
        <v>1649</v>
      </c>
      <c r="C303" s="1" t="s">
        <v>1648</v>
      </c>
      <c r="E303" s="15"/>
      <c r="F303" s="16" t="str">
        <f>VLOOKUP($A303,ConstantsUnits!$A:$C,3,false)</f>
        <v>SackurTetrodeConstant1K101KPa</v>
      </c>
      <c r="G303" s="17" t="str">
        <f t="shared" si="1"/>
        <v>-1.16487052358</v>
      </c>
      <c r="H303" s="17">
        <f t="shared" si="2"/>
        <v>-1.164870524</v>
      </c>
      <c r="I303" s="17" t="str">
        <f t="shared" si="3"/>
        <v>0.00000000045</v>
      </c>
      <c r="J303" s="17">
        <f t="shared" si="4"/>
        <v>0.00000000045</v>
      </c>
      <c r="K303" s="17" t="b">
        <f t="shared" si="5"/>
        <v>0</v>
      </c>
      <c r="L303" s="16" t="str">
        <f>IFERROR(__xludf.DUMMYFUNCTION("if(regexmatch(B303,""e(.*)$""),regexextract(B303,""e(.*)$""),"""")"),"")</f>
        <v/>
      </c>
      <c r="M303" s="18"/>
      <c r="N303" s="18">
        <f>countif(ConstantsUnits!C:C,F303)</f>
        <v>1</v>
      </c>
      <c r="O303" s="16" t="str">
        <f>VLOOKUP($A303,ConstantsUnits!$A:$A,1,false)</f>
        <v>Sackur-Tetrode constant (1 K, 101.325 kPa)</v>
      </c>
    </row>
    <row r="304">
      <c r="A304" s="1" t="s">
        <v>1019</v>
      </c>
      <c r="B304" s="1" t="s">
        <v>1447</v>
      </c>
      <c r="C304" s="1" t="s">
        <v>1232</v>
      </c>
      <c r="D304" s="1" t="s">
        <v>1020</v>
      </c>
      <c r="E304" s="15"/>
      <c r="F304" s="16" t="str">
        <f>VLOOKUP($A304,ConstantsUnits!$A:$C,3,false)</f>
        <v>SecondRadiationConstant</v>
      </c>
      <c r="G304" s="17" t="str">
        <f t="shared" si="1"/>
        <v>1.438776877e-2</v>
      </c>
      <c r="H304" s="17">
        <f t="shared" si="2"/>
        <v>0.01438776877</v>
      </c>
      <c r="I304" s="17" t="str">
        <f t="shared" si="3"/>
        <v>(exact)</v>
      </c>
      <c r="J304" s="17" t="str">
        <f t="shared" si="4"/>
        <v/>
      </c>
      <c r="K304" s="17" t="b">
        <f t="shared" si="5"/>
        <v>1</v>
      </c>
      <c r="L304" s="16" t="str">
        <f>IFERROR(__xludf.DUMMYFUNCTION("if(regexmatch(B304,""e(.*)$""),regexextract(B304,""e(.*)$""),"""")"),"-2")</f>
        <v>-2</v>
      </c>
      <c r="M304" s="18"/>
      <c r="N304" s="18">
        <f>countif(ConstantsUnits!C:C,F304)</f>
        <v>1</v>
      </c>
      <c r="O304" s="16" t="str">
        <f>VLOOKUP($A304,ConstantsUnits!$A:$A,1,false)</f>
        <v>second radiation constant</v>
      </c>
    </row>
    <row r="305">
      <c r="A305" s="1" t="s">
        <v>1024</v>
      </c>
      <c r="B305" s="1" t="s">
        <v>1650</v>
      </c>
      <c r="C305" s="1" t="s">
        <v>1651</v>
      </c>
      <c r="D305" s="1" t="s">
        <v>361</v>
      </c>
      <c r="E305" s="15"/>
      <c r="F305" s="16" t="str">
        <f>VLOOKUP($A305,ConstantsUnits!$A:$C,3,false)</f>
        <v>ShieldedHelionGyromagneticRatio</v>
      </c>
      <c r="G305" s="17" t="str">
        <f t="shared" si="1"/>
        <v>2.037894569e8</v>
      </c>
      <c r="H305" s="17">
        <f t="shared" si="2"/>
        <v>203789456.9</v>
      </c>
      <c r="I305" s="17" t="str">
        <f t="shared" si="3"/>
        <v>0.000000024e8</v>
      </c>
      <c r="J305" s="17">
        <f t="shared" si="4"/>
        <v>2.4</v>
      </c>
      <c r="K305" s="17" t="b">
        <f t="shared" si="5"/>
        <v>0</v>
      </c>
      <c r="L305" s="16" t="str">
        <f>IFERROR(__xludf.DUMMYFUNCTION("if(regexmatch(B305,""e(.*)$""),regexextract(B305,""e(.*)$""),"""")"),"8")</f>
        <v>8</v>
      </c>
      <c r="M305" s="18"/>
      <c r="N305" s="18">
        <f>countif(ConstantsUnits!C:C,F305)</f>
        <v>1</v>
      </c>
      <c r="O305" s="16" t="str">
        <f>VLOOKUP($A305,ConstantsUnits!$A:$A,1,false)</f>
        <v>shielded helion gyromag. ratio</v>
      </c>
    </row>
    <row r="306">
      <c r="A306" s="1" t="s">
        <v>1028</v>
      </c>
      <c r="B306" s="1" t="s">
        <v>1652</v>
      </c>
      <c r="C306" s="1" t="s">
        <v>1653</v>
      </c>
      <c r="D306" s="1" t="s">
        <v>367</v>
      </c>
      <c r="E306" s="15"/>
      <c r="F306" s="16" t="str">
        <f>VLOOKUP($A306,ConstantsUnits!$A:$C,3,false)</f>
        <v>ShieldedHelionGyromag.RatioInMhzPerT</v>
      </c>
      <c r="G306" s="17" t="str">
        <f t="shared" si="1"/>
        <v>32.43409942</v>
      </c>
      <c r="H306" s="17">
        <f t="shared" si="2"/>
        <v>32.43409942</v>
      </c>
      <c r="I306" s="17" t="str">
        <f t="shared" si="3"/>
        <v>0.00000038</v>
      </c>
      <c r="J306" s="17">
        <f t="shared" si="4"/>
        <v>0.00000038</v>
      </c>
      <c r="K306" s="17" t="b">
        <f t="shared" si="5"/>
        <v>0</v>
      </c>
      <c r="L306" s="16" t="str">
        <f>IFERROR(__xludf.DUMMYFUNCTION("if(regexmatch(B306,""e(.*)$""),regexextract(B306,""e(.*)$""),"""")"),"")</f>
        <v/>
      </c>
      <c r="M306" s="18"/>
      <c r="N306" s="18">
        <f>countif(ConstantsUnits!C:C,F306)</f>
        <v>1</v>
      </c>
      <c r="O306" s="16" t="str">
        <f>VLOOKUP($A306,ConstantsUnits!$A:$A,1,false)</f>
        <v>shielded helion gyromag. ratio in MHz/T</v>
      </c>
    </row>
    <row r="307">
      <c r="A307" s="1" t="s">
        <v>1030</v>
      </c>
      <c r="B307" s="1" t="s">
        <v>1654</v>
      </c>
      <c r="C307" s="1" t="s">
        <v>1409</v>
      </c>
      <c r="D307" s="1" t="s">
        <v>165</v>
      </c>
      <c r="E307" s="15"/>
      <c r="F307" s="16" t="str">
        <f>VLOOKUP($A307,ConstantsUnits!$A:$C,3,false)</f>
        <v>ShieldedHelionMagneticMoment</v>
      </c>
      <c r="G307" s="17" t="str">
        <f t="shared" si="1"/>
        <v>-1.074553090e-26</v>
      </c>
      <c r="H307" s="17">
        <f t="shared" si="2"/>
        <v>0</v>
      </c>
      <c r="I307" s="17" t="str">
        <f t="shared" si="3"/>
        <v>0.000000013e-26</v>
      </c>
      <c r="J307" s="17">
        <f t="shared" si="4"/>
        <v>0</v>
      </c>
      <c r="K307" s="17" t="b">
        <f t="shared" si="5"/>
        <v>0</v>
      </c>
      <c r="L307" s="16" t="str">
        <f>IFERROR(__xludf.DUMMYFUNCTION("if(regexmatch(B307,""e(.*)$""),regexextract(B307,""e(.*)$""),"""")"),"-26")</f>
        <v>-26</v>
      </c>
      <c r="M307" s="18"/>
      <c r="N307" s="18">
        <f>countif(ConstantsUnits!C:C,F307)</f>
        <v>1</v>
      </c>
      <c r="O307" s="16" t="str">
        <f>VLOOKUP($A307,ConstantsUnits!$A:$A,1,false)</f>
        <v>shielded helion mag. mom.</v>
      </c>
    </row>
    <row r="308">
      <c r="A308" s="1" t="s">
        <v>1033</v>
      </c>
      <c r="B308" s="1" t="s">
        <v>1655</v>
      </c>
      <c r="C308" s="1" t="s">
        <v>1411</v>
      </c>
      <c r="E308" s="15"/>
      <c r="F308" s="16" t="str">
        <f>VLOOKUP($A308,ConstantsUnits!$A:$C,3,false)</f>
        <v>ShieldedHelionMagneticMomentToBohrMagnetonRatio</v>
      </c>
      <c r="G308" s="17" t="str">
        <f t="shared" si="1"/>
        <v>-1.158671471e-3</v>
      </c>
      <c r="H308" s="17">
        <f t="shared" si="2"/>
        <v>-0.001158671471</v>
      </c>
      <c r="I308" s="17" t="str">
        <f t="shared" si="3"/>
        <v>0.000000014e-3</v>
      </c>
      <c r="J308" s="17">
        <f t="shared" si="4"/>
        <v>0</v>
      </c>
      <c r="K308" s="17" t="b">
        <f t="shared" si="5"/>
        <v>0</v>
      </c>
      <c r="L308" s="16" t="str">
        <f>IFERROR(__xludf.DUMMYFUNCTION("if(regexmatch(B308,""e(.*)$""),regexextract(B308,""e(.*)$""),"""")"),"-3")</f>
        <v>-3</v>
      </c>
      <c r="M308" s="18"/>
      <c r="N308" s="18">
        <f>countif(ConstantsUnits!C:C,F308)</f>
        <v>1</v>
      </c>
      <c r="O308" s="16" t="str">
        <f>VLOOKUP($A308,ConstantsUnits!$A:$A,1,false)</f>
        <v>shielded helion mag. mom. to Bohr magneton ratio</v>
      </c>
    </row>
    <row r="309">
      <c r="A309" s="1" t="s">
        <v>1036</v>
      </c>
      <c r="B309" s="1" t="s">
        <v>1656</v>
      </c>
      <c r="C309" s="1" t="s">
        <v>1413</v>
      </c>
      <c r="E309" s="15"/>
      <c r="F309" s="16" t="str">
        <f>VLOOKUP($A309,ConstantsUnits!$A:$C,3,false)</f>
        <v>ShieldedHelionMagneticMomentToNuclearMagnetonRatio</v>
      </c>
      <c r="G309" s="17" t="str">
        <f t="shared" si="1"/>
        <v>-2.127497719</v>
      </c>
      <c r="H309" s="17">
        <f t="shared" si="2"/>
        <v>-2.127497719</v>
      </c>
      <c r="I309" s="17" t="str">
        <f t="shared" si="3"/>
        <v>0.000000025</v>
      </c>
      <c r="J309" s="17">
        <f t="shared" si="4"/>
        <v>0.000000025</v>
      </c>
      <c r="K309" s="17" t="b">
        <f t="shared" si="5"/>
        <v>0</v>
      </c>
      <c r="L309" s="16" t="str">
        <f>IFERROR(__xludf.DUMMYFUNCTION("if(regexmatch(B309,""e(.*)$""),regexextract(B309,""e(.*)$""),"""")"),"")</f>
        <v/>
      </c>
      <c r="M309" s="18"/>
      <c r="N309" s="18">
        <f>countif(ConstantsUnits!C:C,F309)</f>
        <v>1</v>
      </c>
      <c r="O309" s="16" t="str">
        <f>VLOOKUP($A309,ConstantsUnits!$A:$A,1,false)</f>
        <v>shielded helion mag. mom. to nuclear magneton ratio</v>
      </c>
    </row>
    <row r="310">
      <c r="A310" s="1" t="s">
        <v>1039</v>
      </c>
      <c r="B310" s="1" t="s">
        <v>1657</v>
      </c>
      <c r="C310" s="1" t="s">
        <v>1658</v>
      </c>
      <c r="E310" s="15"/>
      <c r="F310" s="16" t="str">
        <f>VLOOKUP($A310,ConstantsUnits!$A:$C,3,false)</f>
        <v>ShieldedHelionToProtonMagneticMomentRatio</v>
      </c>
      <c r="G310" s="17" t="str">
        <f t="shared" si="1"/>
        <v>-0.7617665618</v>
      </c>
      <c r="H310" s="17">
        <f t="shared" si="2"/>
        <v>-0.7617665618</v>
      </c>
      <c r="I310" s="17" t="str">
        <f t="shared" si="3"/>
        <v>0.0000000089</v>
      </c>
      <c r="J310" s="17">
        <f t="shared" si="4"/>
        <v>0.0000000089</v>
      </c>
      <c r="K310" s="17" t="b">
        <f t="shared" si="5"/>
        <v>0</v>
      </c>
      <c r="L310" s="16" t="str">
        <f>IFERROR(__xludf.DUMMYFUNCTION("if(regexmatch(B310,""e(.*)$""),regexextract(B310,""e(.*)$""),"""")"),"")</f>
        <v/>
      </c>
      <c r="M310" s="18"/>
      <c r="N310" s="18">
        <f>countif(ConstantsUnits!C:C,F310)</f>
        <v>1</v>
      </c>
      <c r="O310" s="16" t="str">
        <f>VLOOKUP($A310,ConstantsUnits!$A:$A,1,false)</f>
        <v>shielded helion to proton mag. mom. ratio</v>
      </c>
    </row>
    <row r="311">
      <c r="A311" s="1" t="s">
        <v>1042</v>
      </c>
      <c r="B311" s="1" t="s">
        <v>1659</v>
      </c>
      <c r="C311" s="1" t="s">
        <v>1660</v>
      </c>
      <c r="E311" s="15"/>
      <c r="F311" s="16" t="str">
        <f>VLOOKUP($A311,ConstantsUnits!$A:$C,3,false)</f>
        <v>ShieldedHelionToShieldedProtonMagneticMomentRatio</v>
      </c>
      <c r="G311" s="17" t="str">
        <f t="shared" si="1"/>
        <v>-0.7617861313</v>
      </c>
      <c r="H311" s="17">
        <f t="shared" si="2"/>
        <v>-0.7617861313</v>
      </c>
      <c r="I311" s="17" t="str">
        <f t="shared" si="3"/>
        <v>0.0000000033</v>
      </c>
      <c r="J311" s="17">
        <f t="shared" si="4"/>
        <v>0.0000000033</v>
      </c>
      <c r="K311" s="17" t="b">
        <f t="shared" si="5"/>
        <v>0</v>
      </c>
      <c r="L311" s="16" t="str">
        <f>IFERROR(__xludf.DUMMYFUNCTION("if(regexmatch(B311,""e(.*)$""),regexextract(B311,""e(.*)$""),"""")"),"")</f>
        <v/>
      </c>
      <c r="M311" s="18"/>
      <c r="N311" s="18">
        <f>countif(ConstantsUnits!C:C,F311)</f>
        <v>1</v>
      </c>
      <c r="O311" s="16" t="str">
        <f>VLOOKUP($A311,ConstantsUnits!$A:$A,1,false)</f>
        <v>shielded helion to shielded proton mag. mom. ratio</v>
      </c>
    </row>
    <row r="312">
      <c r="A312" s="1" t="s">
        <v>1045</v>
      </c>
      <c r="B312" s="1" t="s">
        <v>1661</v>
      </c>
      <c r="C312" s="1" t="s">
        <v>1662</v>
      </c>
      <c r="D312" s="1" t="s">
        <v>361</v>
      </c>
      <c r="E312" s="15"/>
      <c r="F312" s="16" t="str">
        <f>VLOOKUP($A312,ConstantsUnits!$A:$C,3,false)</f>
        <v>ShieldedProtonGyromagneticRatio</v>
      </c>
      <c r="G312" s="17" t="str">
        <f t="shared" si="1"/>
        <v>2.675153151e8</v>
      </c>
      <c r="H312" s="17">
        <f t="shared" si="2"/>
        <v>267515315.1</v>
      </c>
      <c r="I312" s="17" t="str">
        <f t="shared" si="3"/>
        <v>0.000000029e8</v>
      </c>
      <c r="J312" s="17">
        <f t="shared" si="4"/>
        <v>2.9</v>
      </c>
      <c r="K312" s="17" t="b">
        <f t="shared" si="5"/>
        <v>0</v>
      </c>
      <c r="L312" s="16" t="str">
        <f>IFERROR(__xludf.DUMMYFUNCTION("if(regexmatch(B312,""e(.*)$""),regexextract(B312,""e(.*)$""),"""")"),"8")</f>
        <v>8</v>
      </c>
      <c r="M312" s="18"/>
      <c r="N312" s="18">
        <f>countif(ConstantsUnits!C:C,F312)</f>
        <v>1</v>
      </c>
      <c r="O312" s="16" t="str">
        <f>VLOOKUP($A312,ConstantsUnits!$A:$A,1,false)</f>
        <v>shielded proton gyromag. ratio</v>
      </c>
    </row>
    <row r="313">
      <c r="A313" s="1" t="s">
        <v>1048</v>
      </c>
      <c r="B313" s="1" t="s">
        <v>1663</v>
      </c>
      <c r="C313" s="1" t="s">
        <v>1563</v>
      </c>
      <c r="D313" s="1" t="s">
        <v>367</v>
      </c>
      <c r="E313" s="15"/>
      <c r="F313" s="16" t="str">
        <f>VLOOKUP($A313,ConstantsUnits!$A:$C,3,false)</f>
        <v>ShieldedProtonGyromagneticRatioOver2Pi</v>
      </c>
      <c r="G313" s="17" t="str">
        <f t="shared" si="1"/>
        <v>42.57638474</v>
      </c>
      <c r="H313" s="17">
        <f t="shared" si="2"/>
        <v>42.57638474</v>
      </c>
      <c r="I313" s="17" t="str">
        <f t="shared" si="3"/>
        <v>0.00000046</v>
      </c>
      <c r="J313" s="17">
        <f t="shared" si="4"/>
        <v>0.00000046</v>
      </c>
      <c r="K313" s="17" t="b">
        <f t="shared" si="5"/>
        <v>0</v>
      </c>
      <c r="L313" s="16" t="str">
        <f>IFERROR(__xludf.DUMMYFUNCTION("if(regexmatch(B313,""e(.*)$""),regexextract(B313,""e(.*)$""),"""")"),"")</f>
        <v/>
      </c>
      <c r="M313" s="18"/>
      <c r="N313" s="18">
        <f>countif(ConstantsUnits!C:C,F313)</f>
        <v>1</v>
      </c>
      <c r="O313" s="16" t="str">
        <f>VLOOKUP($A313,ConstantsUnits!$A:$A,1,false)</f>
        <v>shielded proton gyromag. ratio in MHz/T</v>
      </c>
    </row>
    <row r="314">
      <c r="A314" s="1" t="s">
        <v>1050</v>
      </c>
      <c r="B314" s="1" t="s">
        <v>1664</v>
      </c>
      <c r="C314" s="1" t="s">
        <v>1665</v>
      </c>
      <c r="D314" s="1" t="s">
        <v>165</v>
      </c>
      <c r="E314" s="15"/>
      <c r="F314" s="16" t="str">
        <f>VLOOKUP($A314,ConstantsUnits!$A:$C,3,false)</f>
        <v>ShieldedProtonMagneticMoment</v>
      </c>
      <c r="G314" s="17" t="str">
        <f t="shared" si="1"/>
        <v>1.410570560e-26</v>
      </c>
      <c r="H314" s="17">
        <f t="shared" si="2"/>
        <v>0</v>
      </c>
      <c r="I314" s="17" t="str">
        <f t="shared" si="3"/>
        <v>0.000000015e-26</v>
      </c>
      <c r="J314" s="17">
        <f t="shared" si="4"/>
        <v>0</v>
      </c>
      <c r="K314" s="17" t="b">
        <f t="shared" si="5"/>
        <v>0</v>
      </c>
      <c r="L314" s="16" t="str">
        <f>IFERROR(__xludf.DUMMYFUNCTION("if(regexmatch(B314,""e(.*)$""),regexextract(B314,""e(.*)$""),"""")"),"-26")</f>
        <v>-26</v>
      </c>
      <c r="M314" s="18"/>
      <c r="N314" s="18">
        <f>countif(ConstantsUnits!C:C,F314)</f>
        <v>1</v>
      </c>
      <c r="O314" s="16" t="str">
        <f>VLOOKUP($A314,ConstantsUnits!$A:$A,1,false)</f>
        <v>shielded proton mag. mom.</v>
      </c>
    </row>
    <row r="315">
      <c r="A315" s="1" t="s">
        <v>1053</v>
      </c>
      <c r="B315" s="1" t="s">
        <v>1666</v>
      </c>
      <c r="C315" s="1" t="s">
        <v>1667</v>
      </c>
      <c r="E315" s="15"/>
      <c r="F315" s="16" t="str">
        <f>VLOOKUP($A315,ConstantsUnits!$A:$C,3,false)</f>
        <v>ShieldedProtonMagneticMomentToBohrMagnetonRatio</v>
      </c>
      <c r="G315" s="17" t="str">
        <f t="shared" si="1"/>
        <v>1.520993128e-3</v>
      </c>
      <c r="H315" s="17">
        <f t="shared" si="2"/>
        <v>0.001520993128</v>
      </c>
      <c r="I315" s="17" t="str">
        <f t="shared" si="3"/>
        <v>0.000000017e-3</v>
      </c>
      <c r="J315" s="17">
        <f t="shared" si="4"/>
        <v>0</v>
      </c>
      <c r="K315" s="17" t="b">
        <f t="shared" si="5"/>
        <v>0</v>
      </c>
      <c r="L315" s="16" t="str">
        <f>IFERROR(__xludf.DUMMYFUNCTION("if(regexmatch(B315,""e(.*)$""),regexextract(B315,""e(.*)$""),"""")"),"-3")</f>
        <v>-3</v>
      </c>
      <c r="M315" s="18"/>
      <c r="N315" s="18">
        <f>countif(ConstantsUnits!C:C,F315)</f>
        <v>1</v>
      </c>
      <c r="O315" s="16" t="str">
        <f>VLOOKUP($A315,ConstantsUnits!$A:$A,1,false)</f>
        <v>shielded proton mag. mom. to Bohr magneton ratio</v>
      </c>
    </row>
    <row r="316">
      <c r="A316" s="1" t="s">
        <v>1056</v>
      </c>
      <c r="B316" s="1" t="s">
        <v>1668</v>
      </c>
      <c r="C316" s="1" t="s">
        <v>1669</v>
      </c>
      <c r="E316" s="15"/>
      <c r="F316" s="16" t="str">
        <f>VLOOKUP($A316,ConstantsUnits!$A:$C,3,false)</f>
        <v>ShieldedProtonMagneticMomentToNuclearMagnetonRatio</v>
      </c>
      <c r="G316" s="17" t="str">
        <f t="shared" si="1"/>
        <v>2.792775599</v>
      </c>
      <c r="H316" s="17">
        <f t="shared" si="2"/>
        <v>2.792775599</v>
      </c>
      <c r="I316" s="17" t="str">
        <f t="shared" si="3"/>
        <v>0.000000030</v>
      </c>
      <c r="J316" s="17">
        <f t="shared" si="4"/>
        <v>0.00000003</v>
      </c>
      <c r="K316" s="17" t="b">
        <f t="shared" si="5"/>
        <v>0</v>
      </c>
      <c r="L316" s="16" t="str">
        <f>IFERROR(__xludf.DUMMYFUNCTION("if(regexmatch(B316,""e(.*)$""),regexextract(B316,""e(.*)$""),"""")"),"")</f>
        <v/>
      </c>
      <c r="M316" s="18"/>
      <c r="N316" s="18">
        <f>countif(ConstantsUnits!C:C,F316)</f>
        <v>1</v>
      </c>
      <c r="O316" s="16" t="str">
        <f>VLOOKUP($A316,ConstantsUnits!$A:$A,1,false)</f>
        <v>shielded proton mag. mom. to nuclear magneton ratio</v>
      </c>
    </row>
    <row r="317">
      <c r="A317" s="1" t="s">
        <v>1059</v>
      </c>
      <c r="B317" s="19" t="s">
        <v>1670</v>
      </c>
      <c r="C317" s="19" t="s">
        <v>1671</v>
      </c>
      <c r="E317" s="15"/>
      <c r="F317" s="16" t="str">
        <f>VLOOKUP($A317,ConstantsUnits!$A:$C,3,false)</f>
        <v>ShieldingDifferenceOfDAndPInHd</v>
      </c>
      <c r="G317" s="17" t="str">
        <f t="shared" si="1"/>
        <v>2.0200e-8</v>
      </c>
      <c r="H317" s="17">
        <f t="shared" si="2"/>
        <v>0.0000000202</v>
      </c>
      <c r="I317" s="17" t="str">
        <f t="shared" si="3"/>
        <v>0.0020e-8</v>
      </c>
      <c r="J317" s="17">
        <f t="shared" si="4"/>
        <v>0</v>
      </c>
      <c r="K317" s="17" t="b">
        <f t="shared" si="5"/>
        <v>0</v>
      </c>
      <c r="L317" s="16" t="str">
        <f>IFERROR(__xludf.DUMMYFUNCTION("if(regexmatch(B317,""e(.*)$""),regexextract(B317,""e(.*)$""),"""")"),"-8")</f>
        <v>-8</v>
      </c>
      <c r="M317" s="18"/>
      <c r="N317" s="18">
        <f>countif(ConstantsUnits!C:C,F317)</f>
        <v>1</v>
      </c>
      <c r="O317" s="16" t="str">
        <f>VLOOKUP($A317,ConstantsUnits!$A:$A,1,false)</f>
        <v>shielding difference of d and p in HD</v>
      </c>
    </row>
    <row r="318">
      <c r="A318" s="1" t="s">
        <v>1061</v>
      </c>
      <c r="B318" s="19" t="s">
        <v>1672</v>
      </c>
      <c r="C318" s="19" t="s">
        <v>1671</v>
      </c>
      <c r="E318" s="15"/>
      <c r="F318" s="16" t="str">
        <f>VLOOKUP($A318,ConstantsUnits!$A:$C,3,false)</f>
        <v>ShieldingDifferenceOfTAndPInHt</v>
      </c>
      <c r="G318" s="17" t="str">
        <f t="shared" si="1"/>
        <v>2.4140e-8</v>
      </c>
      <c r="H318" s="17">
        <f t="shared" si="2"/>
        <v>0.00000002414</v>
      </c>
      <c r="I318" s="17" t="str">
        <f t="shared" si="3"/>
        <v>0.0020e-8</v>
      </c>
      <c r="J318" s="17">
        <f t="shared" si="4"/>
        <v>0</v>
      </c>
      <c r="K318" s="17" t="b">
        <f t="shared" si="5"/>
        <v>0</v>
      </c>
      <c r="L318" s="16" t="str">
        <f>IFERROR(__xludf.DUMMYFUNCTION("if(regexmatch(B318,""e(.*)$""),regexextract(B318,""e(.*)$""),"""")"),"-8")</f>
        <v>-8</v>
      </c>
      <c r="M318" s="18"/>
      <c r="N318" s="18">
        <f>countif(ConstantsUnits!C:C,F318)</f>
        <v>1</v>
      </c>
      <c r="O318" s="16" t="str">
        <f>VLOOKUP($A318,ConstantsUnits!$A:$A,1,false)</f>
        <v>shielding difference of t and p in HT</v>
      </c>
    </row>
    <row r="319">
      <c r="A319" s="1" t="s">
        <v>1063</v>
      </c>
      <c r="B319" s="1" t="s">
        <v>1445</v>
      </c>
      <c r="C319" s="1" t="s">
        <v>1232</v>
      </c>
      <c r="D319" s="1" t="s">
        <v>196</v>
      </c>
      <c r="E319" s="15"/>
      <c r="F319" s="16" t="str">
        <f>VLOOKUP($A319,ConstantsUnits!$A:$C,3,false)</f>
        <v>SpeedOfLight_Vacuum</v>
      </c>
      <c r="G319" s="17" t="str">
        <f t="shared" si="1"/>
        <v>299792458</v>
      </c>
      <c r="H319" s="17">
        <f t="shared" si="2"/>
        <v>299792458</v>
      </c>
      <c r="I319" s="17" t="str">
        <f t="shared" si="3"/>
        <v>(exact)</v>
      </c>
      <c r="J319" s="17" t="str">
        <f t="shared" si="4"/>
        <v/>
      </c>
      <c r="K319" s="17" t="b">
        <f t="shared" si="5"/>
        <v>0</v>
      </c>
      <c r="L319" s="16" t="str">
        <f>IFERROR(__xludf.DUMMYFUNCTION("if(regexmatch(B319,""e(.*)$""),regexextract(B319,""e(.*)$""),"""")"),"")</f>
        <v/>
      </c>
      <c r="M319" s="18"/>
      <c r="N319" s="18">
        <f>countif(ConstantsUnits!C:C,F319)</f>
        <v>1</v>
      </c>
      <c r="O319" s="16" t="str">
        <f>VLOOKUP($A319,ConstantsUnits!$A:$A,1,false)</f>
        <v>speed of light in vacuum</v>
      </c>
    </row>
    <row r="320">
      <c r="A320" s="1" t="s">
        <v>1067</v>
      </c>
      <c r="B320" s="1" t="s">
        <v>1673</v>
      </c>
      <c r="C320" s="1" t="s">
        <v>1232</v>
      </c>
      <c r="D320" s="1" t="s">
        <v>1068</v>
      </c>
      <c r="E320" s="15"/>
      <c r="F320" s="16" t="str">
        <f>VLOOKUP($A320,ConstantsUnits!$A:$C,3,false)</f>
        <v>StandardAccelerationOfGravity</v>
      </c>
      <c r="G320" s="17" t="str">
        <f t="shared" si="1"/>
        <v>9.80665</v>
      </c>
      <c r="H320" s="17">
        <f t="shared" si="2"/>
        <v>9.80665</v>
      </c>
      <c r="I320" s="17" t="str">
        <f t="shared" si="3"/>
        <v>(exact)</v>
      </c>
      <c r="J320" s="17" t="str">
        <f t="shared" si="4"/>
        <v/>
      </c>
      <c r="K320" s="17" t="b">
        <f t="shared" si="5"/>
        <v>0</v>
      </c>
      <c r="L320" s="16" t="str">
        <f>IFERROR(__xludf.DUMMYFUNCTION("if(regexmatch(B320,""e(.*)$""),regexextract(B320,""e(.*)$""),"""")"),"")</f>
        <v/>
      </c>
      <c r="M320" s="18"/>
      <c r="N320" s="18">
        <f>countif(ConstantsUnits!C:C,F320)</f>
        <v>1</v>
      </c>
      <c r="O320" s="16" t="str">
        <f>VLOOKUP($A320,ConstantsUnits!$A:$A,1,false)</f>
        <v>standard acceleration of gravity</v>
      </c>
    </row>
    <row r="321">
      <c r="A321" s="1" t="s">
        <v>1072</v>
      </c>
      <c r="B321" s="1" t="s">
        <v>1674</v>
      </c>
      <c r="C321" s="1" t="s">
        <v>1232</v>
      </c>
      <c r="D321" s="1" t="s">
        <v>1073</v>
      </c>
      <c r="E321" s="15"/>
      <c r="F321" s="16" t="str">
        <f>VLOOKUP($A321,ConstantsUnits!$A:$C,3,false)</f>
        <v>StandardAtmosphere</v>
      </c>
      <c r="G321" s="17" t="str">
        <f t="shared" si="1"/>
        <v>101325</v>
      </c>
      <c r="H321" s="17">
        <f t="shared" si="2"/>
        <v>101325</v>
      </c>
      <c r="I321" s="17" t="str">
        <f t="shared" si="3"/>
        <v>(exact)</v>
      </c>
      <c r="J321" s="17" t="str">
        <f t="shared" si="4"/>
        <v/>
      </c>
      <c r="K321" s="17" t="b">
        <f t="shared" si="5"/>
        <v>0</v>
      </c>
      <c r="L321" s="16" t="str">
        <f>IFERROR(__xludf.DUMMYFUNCTION("if(regexmatch(B321,""e(.*)$""),regexextract(B321,""e(.*)$""),"""")"),"")</f>
        <v/>
      </c>
      <c r="M321" s="18"/>
      <c r="N321" s="18">
        <f>countif(ConstantsUnits!C:C,F321)</f>
        <v>1</v>
      </c>
      <c r="O321" s="16" t="str">
        <f>VLOOKUP($A321,ConstantsUnits!$A:$A,1,false)</f>
        <v>standard atmosphere</v>
      </c>
    </row>
    <row r="322">
      <c r="A322" s="1" t="s">
        <v>1077</v>
      </c>
      <c r="B322" s="1" t="s">
        <v>1675</v>
      </c>
      <c r="C322" s="1" t="s">
        <v>1232</v>
      </c>
      <c r="D322" s="1" t="s">
        <v>1073</v>
      </c>
      <c r="E322" s="15"/>
      <c r="F322" s="16" t="str">
        <f>VLOOKUP($A322,ConstantsUnits!$A:$C,3,false)</f>
        <v>Standard-StatePressure</v>
      </c>
      <c r="G322" s="17" t="str">
        <f t="shared" si="1"/>
        <v>100000</v>
      </c>
      <c r="H322" s="17">
        <f t="shared" si="2"/>
        <v>100000</v>
      </c>
      <c r="I322" s="17" t="str">
        <f t="shared" si="3"/>
        <v>(exact)</v>
      </c>
      <c r="J322" s="17" t="str">
        <f t="shared" si="4"/>
        <v/>
      </c>
      <c r="K322" s="17" t="b">
        <f t="shared" si="5"/>
        <v>0</v>
      </c>
      <c r="L322" s="16" t="str">
        <f>IFERROR(__xludf.DUMMYFUNCTION("if(regexmatch(B322,""e(.*)$""),regexextract(B322,""e(.*)$""),"""")"),"")</f>
        <v/>
      </c>
      <c r="M322" s="18"/>
      <c r="N322" s="18">
        <f>countif(ConstantsUnits!C:C,F322)</f>
        <v>1</v>
      </c>
      <c r="O322" s="16" t="str">
        <f>VLOOKUP($A322,ConstantsUnits!$A:$A,1,false)</f>
        <v>standard-state pressure</v>
      </c>
    </row>
    <row r="323">
      <c r="A323" s="1" t="s">
        <v>1079</v>
      </c>
      <c r="B323" s="1" t="s">
        <v>1676</v>
      </c>
      <c r="C323" s="1" t="s">
        <v>1232</v>
      </c>
      <c r="D323" s="1" t="s">
        <v>1080</v>
      </c>
      <c r="E323" s="15"/>
      <c r="F323" s="16" t="str">
        <f>VLOOKUP($A323,ConstantsUnits!$A:$C,3,false)</f>
        <v>StefanBoltzmannConstant</v>
      </c>
      <c r="G323" s="17" t="str">
        <f t="shared" si="1"/>
        <v>5.670374419e-8</v>
      </c>
      <c r="H323" s="17">
        <f t="shared" si="2"/>
        <v>0.00000005670374419</v>
      </c>
      <c r="I323" s="17" t="str">
        <f t="shared" si="3"/>
        <v>(exact)</v>
      </c>
      <c r="J323" s="17" t="str">
        <f t="shared" si="4"/>
        <v/>
      </c>
      <c r="K323" s="17" t="b">
        <f t="shared" si="5"/>
        <v>1</v>
      </c>
      <c r="L323" s="16" t="str">
        <f>IFERROR(__xludf.DUMMYFUNCTION("if(regexmatch(B323,""e(.*)$""),regexextract(B323,""e(.*)$""),"""")"),"-8")</f>
        <v>-8</v>
      </c>
      <c r="M323" s="18"/>
      <c r="N323" s="18">
        <f>countif(ConstantsUnits!C:C,F323)</f>
        <v>1</v>
      </c>
      <c r="O323" s="16" t="str">
        <f>VLOOKUP($A323,ConstantsUnits!$A:$A,1,false)</f>
        <v>Stefan-Boltzmann constant</v>
      </c>
    </row>
    <row r="324">
      <c r="A324" s="1" t="s">
        <v>1084</v>
      </c>
      <c r="B324" s="1" t="s">
        <v>1677</v>
      </c>
      <c r="C324" s="1" t="s">
        <v>1678</v>
      </c>
      <c r="D324" s="1" t="s">
        <v>59</v>
      </c>
      <c r="E324" s="15"/>
      <c r="F324" s="16" t="str">
        <f>VLOOKUP($A324,ConstantsUnits!$A:$C,3,false)</f>
        <v>TauComptonWavelength</v>
      </c>
      <c r="G324" s="17" t="str">
        <f t="shared" si="1"/>
        <v>6.97771e-16</v>
      </c>
      <c r="H324" s="17">
        <f t="shared" si="2"/>
        <v>0</v>
      </c>
      <c r="I324" s="17" t="str">
        <f t="shared" si="3"/>
        <v>0.00047e-16</v>
      </c>
      <c r="J324" s="17">
        <f t="shared" si="4"/>
        <v>0</v>
      </c>
      <c r="K324" s="17" t="b">
        <f t="shared" si="5"/>
        <v>0</v>
      </c>
      <c r="L324" s="16" t="str">
        <f>IFERROR(__xludf.DUMMYFUNCTION("if(regexmatch(B324,""e(.*)$""),regexextract(B324,""e(.*)$""),"""")"),"-16")</f>
        <v>-16</v>
      </c>
      <c r="M324" s="18"/>
      <c r="N324" s="18">
        <f>countif(ConstantsUnits!C:C,F324)</f>
        <v>1</v>
      </c>
      <c r="O324" s="16" t="str">
        <f>VLOOKUP($A324,ConstantsUnits!$A:$A,1,false)</f>
        <v>tau Compton wavelength</v>
      </c>
    </row>
    <row r="325">
      <c r="A325" s="1" t="s">
        <v>1089</v>
      </c>
      <c r="B325" s="19" t="s">
        <v>1679</v>
      </c>
      <c r="C325" s="19" t="s">
        <v>1680</v>
      </c>
      <c r="E325" s="15"/>
      <c r="F325" s="16" t="str">
        <f>VLOOKUP($A325,ConstantsUnits!$A:$C,3,false)</f>
        <v>TauElectronMassRatio</v>
      </c>
      <c r="G325" s="17" t="str">
        <f t="shared" si="1"/>
        <v>3477.23</v>
      </c>
      <c r="H325" s="17">
        <f t="shared" si="2"/>
        <v>3477.23</v>
      </c>
      <c r="I325" s="17" t="str">
        <f t="shared" si="3"/>
        <v>0.23</v>
      </c>
      <c r="J325" s="17">
        <f t="shared" si="4"/>
        <v>0.23</v>
      </c>
      <c r="K325" s="17" t="b">
        <f t="shared" si="5"/>
        <v>0</v>
      </c>
      <c r="L325" s="16" t="str">
        <f>IFERROR(__xludf.DUMMYFUNCTION("if(regexmatch(B325,""e(.*)$""),regexextract(B325,""e(.*)$""),"""")"),"")</f>
        <v/>
      </c>
      <c r="M325" s="18"/>
      <c r="N325" s="18">
        <f>countif(ConstantsUnits!C:C,F325)</f>
        <v>1</v>
      </c>
      <c r="O325" s="16" t="str">
        <f>VLOOKUP($A325,ConstantsUnits!$A:$A,1,false)</f>
        <v>tau-electron mass ratio</v>
      </c>
    </row>
    <row r="326">
      <c r="A326" s="1" t="s">
        <v>1092</v>
      </c>
      <c r="B326" s="19" t="s">
        <v>1681</v>
      </c>
      <c r="C326" s="19" t="s">
        <v>1682</v>
      </c>
      <c r="D326" s="1" t="s">
        <v>45</v>
      </c>
      <c r="E326" s="15"/>
      <c r="F326" s="16" t="str">
        <f>VLOOKUP($A326,ConstantsUnits!$A:$C,3,false)</f>
        <v>TauEnergyEquivalent</v>
      </c>
      <c r="G326" s="17" t="str">
        <f t="shared" si="1"/>
        <v>1776.86</v>
      </c>
      <c r="H326" s="17">
        <f t="shared" si="2"/>
        <v>1776.86</v>
      </c>
      <c r="I326" s="17" t="str">
        <f t="shared" si="3"/>
        <v>0.12</v>
      </c>
      <c r="J326" s="17">
        <f t="shared" si="4"/>
        <v>0.12</v>
      </c>
      <c r="K326" s="17" t="b">
        <f t="shared" si="5"/>
        <v>0</v>
      </c>
      <c r="L326" s="16" t="str">
        <f>IFERROR(__xludf.DUMMYFUNCTION("if(regexmatch(B326,""e(.*)$""),regexextract(B326,""e(.*)$""),"""")"),"")</f>
        <v/>
      </c>
      <c r="M326" s="18"/>
      <c r="N326" s="18">
        <f>countif(ConstantsUnits!C:C,F326)</f>
        <v>1</v>
      </c>
      <c r="O326" s="16" t="str">
        <f>VLOOKUP($A326,ConstantsUnits!$A:$A,1,false)</f>
        <v>tau energy equivalent</v>
      </c>
    </row>
    <row r="327">
      <c r="A327" s="1" t="s">
        <v>1094</v>
      </c>
      <c r="B327" s="1" t="s">
        <v>1683</v>
      </c>
      <c r="C327" s="1" t="s">
        <v>1684</v>
      </c>
      <c r="D327" s="1" t="s">
        <v>38</v>
      </c>
      <c r="E327" s="15"/>
      <c r="F327" s="16" t="str">
        <f>VLOOKUP($A327,ConstantsUnits!$A:$C,3,false)</f>
        <v>TauMass</v>
      </c>
      <c r="G327" s="17" t="str">
        <f t="shared" si="1"/>
        <v>3.16754e-27</v>
      </c>
      <c r="H327" s="17">
        <f t="shared" si="2"/>
        <v>0</v>
      </c>
      <c r="I327" s="17" t="str">
        <f t="shared" si="3"/>
        <v>0.00021e-27</v>
      </c>
      <c r="J327" s="17">
        <f t="shared" si="4"/>
        <v>0</v>
      </c>
      <c r="K327" s="17" t="b">
        <f t="shared" si="5"/>
        <v>0</v>
      </c>
      <c r="L327" s="16" t="str">
        <f>IFERROR(__xludf.DUMMYFUNCTION("if(regexmatch(B327,""e(.*)$""),regexextract(B327,""e(.*)$""),"""")"),"-27")</f>
        <v>-27</v>
      </c>
      <c r="M327" s="18"/>
      <c r="N327" s="18">
        <f>countif(ConstantsUnits!C:C,F327)</f>
        <v>1</v>
      </c>
      <c r="O327" s="16" t="str">
        <f>VLOOKUP($A327,ConstantsUnits!$A:$A,1,false)</f>
        <v>tau mass</v>
      </c>
    </row>
    <row r="328">
      <c r="A328" s="1" t="s">
        <v>1097</v>
      </c>
      <c r="B328" s="1" t="s">
        <v>1685</v>
      </c>
      <c r="C328" s="1" t="s">
        <v>1686</v>
      </c>
      <c r="D328" s="1" t="s">
        <v>41</v>
      </c>
      <c r="E328" s="15"/>
      <c r="F328" s="16" t="str">
        <f>VLOOKUP($A328,ConstantsUnits!$A:$C,3,false)</f>
        <v>TauMassEnergyEquivalent</v>
      </c>
      <c r="G328" s="17" t="str">
        <f t="shared" si="1"/>
        <v>2.84684e-10</v>
      </c>
      <c r="H328" s="17">
        <f t="shared" si="2"/>
        <v>0.000000000284684</v>
      </c>
      <c r="I328" s="17" t="str">
        <f t="shared" si="3"/>
        <v>0.00019e-10</v>
      </c>
      <c r="J328" s="17">
        <f t="shared" si="4"/>
        <v>0</v>
      </c>
      <c r="K328" s="17" t="b">
        <f t="shared" si="5"/>
        <v>0</v>
      </c>
      <c r="L328" s="16" t="str">
        <f>IFERROR(__xludf.DUMMYFUNCTION("if(regexmatch(B328,""e(.*)$""),regexextract(B328,""e(.*)$""),"""")"),"-10")</f>
        <v>-10</v>
      </c>
      <c r="M328" s="18"/>
      <c r="N328" s="18">
        <f>countif(ConstantsUnits!C:C,F328)</f>
        <v>1</v>
      </c>
      <c r="O328" s="16" t="str">
        <f>VLOOKUP($A328,ConstantsUnits!$A:$A,1,false)</f>
        <v>tau mass energy equivalent</v>
      </c>
    </row>
    <row r="329">
      <c r="A329" s="1" t="s">
        <v>1100</v>
      </c>
      <c r="B329" s="1" t="s">
        <v>1687</v>
      </c>
      <c r="C329" s="1" t="s">
        <v>1688</v>
      </c>
      <c r="D329" s="1" t="s">
        <v>48</v>
      </c>
      <c r="E329" s="15"/>
      <c r="F329" s="16" t="str">
        <f>VLOOKUP($A329,ConstantsUnits!$A:$C,3,false)</f>
        <v>TauMassInAtomicMassUnit</v>
      </c>
      <c r="G329" s="17" t="str">
        <f t="shared" si="1"/>
        <v>1.90754</v>
      </c>
      <c r="H329" s="17">
        <f t="shared" si="2"/>
        <v>1.90754</v>
      </c>
      <c r="I329" s="17" t="str">
        <f t="shared" si="3"/>
        <v>0.00013</v>
      </c>
      <c r="J329" s="17">
        <f t="shared" si="4"/>
        <v>0.00013</v>
      </c>
      <c r="K329" s="17" t="b">
        <f t="shared" si="5"/>
        <v>0</v>
      </c>
      <c r="L329" s="16" t="str">
        <f>IFERROR(__xludf.DUMMYFUNCTION("if(regexmatch(B329,""e(.*)$""),regexextract(B329,""e(.*)$""),"""")"),"")</f>
        <v/>
      </c>
      <c r="M329" s="18"/>
      <c r="N329" s="18">
        <f>countif(ConstantsUnits!C:C,F329)</f>
        <v>1</v>
      </c>
      <c r="O329" s="16" t="str">
        <f>VLOOKUP($A329,ConstantsUnits!$A:$A,1,false)</f>
        <v>tau mass in u</v>
      </c>
    </row>
    <row r="330">
      <c r="A330" s="1" t="s">
        <v>1102</v>
      </c>
      <c r="B330" s="1" t="s">
        <v>1689</v>
      </c>
      <c r="C330" s="1" t="s">
        <v>1690</v>
      </c>
      <c r="D330" s="1" t="s">
        <v>51</v>
      </c>
      <c r="E330" s="15"/>
      <c r="F330" s="16" t="str">
        <f>VLOOKUP($A330,ConstantsUnits!$A:$C,3,false)</f>
        <v>TauMolarMass</v>
      </c>
      <c r="G330" s="17" t="str">
        <f t="shared" si="1"/>
        <v>1.90754e-3</v>
      </c>
      <c r="H330" s="17">
        <f t="shared" si="2"/>
        <v>0.00190754</v>
      </c>
      <c r="I330" s="17" t="str">
        <f t="shared" si="3"/>
        <v>0.00013e-3</v>
      </c>
      <c r="J330" s="17">
        <f t="shared" si="4"/>
        <v>0.00000013</v>
      </c>
      <c r="K330" s="17" t="b">
        <f t="shared" si="5"/>
        <v>0</v>
      </c>
      <c r="L330" s="16" t="str">
        <f>IFERROR(__xludf.DUMMYFUNCTION("if(regexmatch(B330,""e(.*)$""),regexextract(B330,""e(.*)$""),"""")"),"-3")</f>
        <v>-3</v>
      </c>
      <c r="M330" s="18"/>
      <c r="N330" s="18">
        <f>countif(ConstantsUnits!C:C,F330)</f>
        <v>1</v>
      </c>
      <c r="O330" s="16" t="str">
        <f>VLOOKUP($A330,ConstantsUnits!$A:$A,1,false)</f>
        <v>tau molar mass</v>
      </c>
    </row>
    <row r="331">
      <c r="A331" s="1" t="s">
        <v>1105</v>
      </c>
      <c r="B331" s="19" t="s">
        <v>1691</v>
      </c>
      <c r="C331" s="19" t="s">
        <v>1692</v>
      </c>
      <c r="E331" s="15"/>
      <c r="F331" s="16" t="str">
        <f>VLOOKUP($A331,ConstantsUnits!$A:$C,3,false)</f>
        <v>TauMuonMassRatio</v>
      </c>
      <c r="G331" s="17" t="str">
        <f t="shared" si="1"/>
        <v>16.8170</v>
      </c>
      <c r="H331" s="17">
        <f t="shared" si="2"/>
        <v>16.817</v>
      </c>
      <c r="I331" s="17" t="str">
        <f t="shared" si="3"/>
        <v>0.0011</v>
      </c>
      <c r="J331" s="17">
        <f t="shared" si="4"/>
        <v>0.0011</v>
      </c>
      <c r="K331" s="17" t="b">
        <f t="shared" si="5"/>
        <v>0</v>
      </c>
      <c r="L331" s="16" t="str">
        <f>IFERROR(__xludf.DUMMYFUNCTION("if(regexmatch(B331,""e(.*)$""),regexextract(B331,""e(.*)$""),"""")"),"")</f>
        <v/>
      </c>
      <c r="M331" s="18"/>
      <c r="N331" s="18">
        <f>countif(ConstantsUnits!C:C,F331)</f>
        <v>1</v>
      </c>
      <c r="O331" s="16" t="str">
        <f>VLOOKUP($A331,ConstantsUnits!$A:$A,1,false)</f>
        <v>tau-muon mass ratio</v>
      </c>
    </row>
    <row r="332">
      <c r="A332" s="1" t="s">
        <v>1108</v>
      </c>
      <c r="B332" s="1" t="s">
        <v>1693</v>
      </c>
      <c r="C332" s="1" t="s">
        <v>1688</v>
      </c>
      <c r="E332" s="15"/>
      <c r="F332" s="16" t="str">
        <f>VLOOKUP($A332,ConstantsUnits!$A:$C,3,false)</f>
        <v>TauNeutronMassRatio</v>
      </c>
      <c r="G332" s="17" t="str">
        <f t="shared" si="1"/>
        <v>1.89115</v>
      </c>
      <c r="H332" s="17">
        <f t="shared" si="2"/>
        <v>1.89115</v>
      </c>
      <c r="I332" s="17" t="str">
        <f t="shared" si="3"/>
        <v>0.00013</v>
      </c>
      <c r="J332" s="17">
        <f t="shared" si="4"/>
        <v>0.00013</v>
      </c>
      <c r="K332" s="17" t="b">
        <f t="shared" si="5"/>
        <v>0</v>
      </c>
      <c r="L332" s="16" t="str">
        <f>IFERROR(__xludf.DUMMYFUNCTION("if(regexmatch(B332,""e(.*)$""),regexextract(B332,""e(.*)$""),"""")"),"")</f>
        <v/>
      </c>
      <c r="M332" s="18"/>
      <c r="N332" s="18">
        <f>countif(ConstantsUnits!C:C,F332)</f>
        <v>1</v>
      </c>
      <c r="O332" s="16" t="str">
        <f>VLOOKUP($A332,ConstantsUnits!$A:$A,1,false)</f>
        <v>tau-neutron mass ratio</v>
      </c>
    </row>
    <row r="333">
      <c r="A333" s="1" t="s">
        <v>1111</v>
      </c>
      <c r="B333" s="1" t="s">
        <v>1694</v>
      </c>
      <c r="C333" s="1" t="s">
        <v>1688</v>
      </c>
      <c r="E333" s="15"/>
      <c r="F333" s="16" t="str">
        <f>VLOOKUP($A333,ConstantsUnits!$A:$C,3,false)</f>
        <v>TauProtonMassRatio</v>
      </c>
      <c r="G333" s="17" t="str">
        <f t="shared" si="1"/>
        <v>1.89376</v>
      </c>
      <c r="H333" s="17">
        <f t="shared" si="2"/>
        <v>1.89376</v>
      </c>
      <c r="I333" s="17" t="str">
        <f t="shared" si="3"/>
        <v>0.00013</v>
      </c>
      <c r="J333" s="17">
        <f t="shared" si="4"/>
        <v>0.00013</v>
      </c>
      <c r="K333" s="17" t="b">
        <f t="shared" si="5"/>
        <v>0</v>
      </c>
      <c r="L333" s="16" t="str">
        <f>IFERROR(__xludf.DUMMYFUNCTION("if(regexmatch(B333,""e(.*)$""),regexextract(B333,""e(.*)$""),"""")"),"")</f>
        <v/>
      </c>
      <c r="M333" s="18"/>
      <c r="N333" s="18">
        <f>countif(ConstantsUnits!C:C,F333)</f>
        <v>1</v>
      </c>
      <c r="O333" s="16" t="str">
        <f>VLOOKUP($A333,ConstantsUnits!$A:$A,1,false)</f>
        <v>tau-proton mass ratio</v>
      </c>
    </row>
    <row r="334">
      <c r="A334" s="1" t="s">
        <v>1114</v>
      </c>
      <c r="B334" s="1" t="s">
        <v>1695</v>
      </c>
      <c r="C334" s="1" t="s">
        <v>1696</v>
      </c>
      <c r="D334" s="1" t="s">
        <v>1115</v>
      </c>
      <c r="E334" s="15"/>
      <c r="F334" s="16" t="str">
        <f>VLOOKUP($A334,ConstantsUnits!$A:$C,3,false)</f>
        <v>ThomsonCrossSection</v>
      </c>
      <c r="G334" s="17" t="str">
        <f t="shared" si="1"/>
        <v>6.6524587321e-29</v>
      </c>
      <c r="H334" s="17">
        <f t="shared" si="2"/>
        <v>0</v>
      </c>
      <c r="I334" s="17" t="str">
        <f t="shared" si="3"/>
        <v>0.0000000060e-29</v>
      </c>
      <c r="J334" s="17">
        <f t="shared" si="4"/>
        <v>0</v>
      </c>
      <c r="K334" s="17" t="b">
        <f t="shared" si="5"/>
        <v>0</v>
      </c>
      <c r="L334" s="16" t="str">
        <f>IFERROR(__xludf.DUMMYFUNCTION("if(regexmatch(B334,""e(.*)$""),regexextract(B334,""e(.*)$""),"""")"),"-29")</f>
        <v>-29</v>
      </c>
      <c r="M334" s="18"/>
      <c r="N334" s="18">
        <f>countif(ConstantsUnits!C:C,F334)</f>
        <v>1</v>
      </c>
      <c r="O334" s="16" t="str">
        <f>VLOOKUP($A334,ConstantsUnits!$A:$A,1,false)</f>
        <v>Thomson cross section</v>
      </c>
    </row>
    <row r="335">
      <c r="A335" s="1" t="s">
        <v>1120</v>
      </c>
      <c r="B335" s="1" t="s">
        <v>1697</v>
      </c>
      <c r="C335" s="1" t="s">
        <v>1698</v>
      </c>
      <c r="E335" s="15"/>
      <c r="F335" s="16" t="str">
        <f>VLOOKUP($A335,ConstantsUnits!$A:$C,3,false)</f>
        <v>TritonElectronMassRatio</v>
      </c>
      <c r="G335" s="17" t="str">
        <f t="shared" si="1"/>
        <v>5496.92153573</v>
      </c>
      <c r="H335" s="17">
        <f t="shared" si="2"/>
        <v>5496.921536</v>
      </c>
      <c r="I335" s="17" t="str">
        <f t="shared" si="3"/>
        <v>0.00000027</v>
      </c>
      <c r="J335" s="17">
        <f t="shared" si="4"/>
        <v>0.00000027</v>
      </c>
      <c r="K335" s="17" t="b">
        <f t="shared" si="5"/>
        <v>0</v>
      </c>
      <c r="L335" s="16" t="str">
        <f>IFERROR(__xludf.DUMMYFUNCTION("if(regexmatch(B335,""e(.*)$""),regexextract(B335,""e(.*)$""),"""")"),"")</f>
        <v/>
      </c>
      <c r="M335" s="18"/>
      <c r="N335" s="18">
        <f>countif(ConstantsUnits!C:C,F335)</f>
        <v>1</v>
      </c>
      <c r="O335" s="16" t="str">
        <f>VLOOKUP($A335,ConstantsUnits!$A:$A,1,false)</f>
        <v>triton-electron mass ratio</v>
      </c>
    </row>
    <row r="336">
      <c r="A336" s="1" t="s">
        <v>1123</v>
      </c>
      <c r="B336" s="1" t="s">
        <v>1699</v>
      </c>
      <c r="C336" s="1" t="s">
        <v>1700</v>
      </c>
      <c r="E336" s="15"/>
      <c r="F336" s="16" t="str">
        <f>VLOOKUP($A336,ConstantsUnits!$A:$C,3,false)</f>
        <v>TritonGFactor</v>
      </c>
      <c r="G336" s="17" t="str">
        <f t="shared" si="1"/>
        <v>5.957924931</v>
      </c>
      <c r="H336" s="17">
        <f t="shared" si="2"/>
        <v>5.957924931</v>
      </c>
      <c r="I336" s="17" t="str">
        <f t="shared" si="3"/>
        <v>0.000000012</v>
      </c>
      <c r="J336" s="17">
        <f t="shared" si="4"/>
        <v>0.000000012</v>
      </c>
      <c r="K336" s="17" t="b">
        <f t="shared" si="5"/>
        <v>0</v>
      </c>
      <c r="L336" s="16" t="str">
        <f>IFERROR(__xludf.DUMMYFUNCTION("if(regexmatch(B336,""e(.*)$""),regexextract(B336,""e(.*)$""),"""")"),"")</f>
        <v/>
      </c>
      <c r="M336" s="18"/>
      <c r="N336" s="18">
        <f>countif(ConstantsUnits!C:C,F336)</f>
        <v>1</v>
      </c>
      <c r="O336" s="16" t="str">
        <f>VLOOKUP($A336,ConstantsUnits!$A:$A,1,false)</f>
        <v>triton g factor</v>
      </c>
    </row>
    <row r="337">
      <c r="A337" s="1" t="s">
        <v>1126</v>
      </c>
      <c r="B337" s="1" t="s">
        <v>1701</v>
      </c>
      <c r="C337" s="1" t="s">
        <v>1702</v>
      </c>
      <c r="D337" s="1" t="s">
        <v>165</v>
      </c>
      <c r="E337" s="15"/>
      <c r="F337" s="16" t="str">
        <f>VLOOKUP($A337,ConstantsUnits!$A:$C,3,false)</f>
        <v>TritonMagneticMoment</v>
      </c>
      <c r="G337" s="17" t="str">
        <f t="shared" si="1"/>
        <v>1.5046095202e-26</v>
      </c>
      <c r="H337" s="17">
        <f t="shared" si="2"/>
        <v>0</v>
      </c>
      <c r="I337" s="17" t="str">
        <f t="shared" si="3"/>
        <v>0.0000000030e-26</v>
      </c>
      <c r="J337" s="17">
        <f t="shared" si="4"/>
        <v>0</v>
      </c>
      <c r="K337" s="17" t="b">
        <f t="shared" si="5"/>
        <v>0</v>
      </c>
      <c r="L337" s="16" t="str">
        <f>IFERROR(__xludf.DUMMYFUNCTION("if(regexmatch(B337,""e(.*)$""),regexextract(B337,""e(.*)$""),"""")"),"-26")</f>
        <v>-26</v>
      </c>
      <c r="M337" s="18"/>
      <c r="N337" s="18">
        <f>countif(ConstantsUnits!C:C,F337)</f>
        <v>1</v>
      </c>
      <c r="O337" s="16" t="str">
        <f>VLOOKUP($A337,ConstantsUnits!$A:$A,1,false)</f>
        <v>triton mag. mom.</v>
      </c>
    </row>
    <row r="338">
      <c r="A338" s="1" t="s">
        <v>1129</v>
      </c>
      <c r="B338" s="1" t="s">
        <v>1703</v>
      </c>
      <c r="C338" s="1" t="s">
        <v>1704</v>
      </c>
      <c r="E338" s="15"/>
      <c r="F338" s="16" t="str">
        <f>VLOOKUP($A338,ConstantsUnits!$A:$C,3,false)</f>
        <v>TritonMagneticMomentToBohrMagnetonRatio</v>
      </c>
      <c r="G338" s="17" t="str">
        <f t="shared" si="1"/>
        <v>1.6223936651e-3</v>
      </c>
      <c r="H338" s="17">
        <f t="shared" si="2"/>
        <v>0.001622393665</v>
      </c>
      <c r="I338" s="17" t="str">
        <f t="shared" si="3"/>
        <v>0.0000000032e-3</v>
      </c>
      <c r="J338" s="17">
        <f t="shared" si="4"/>
        <v>0</v>
      </c>
      <c r="K338" s="17" t="b">
        <f t="shared" si="5"/>
        <v>0</v>
      </c>
      <c r="L338" s="16" t="str">
        <f>IFERROR(__xludf.DUMMYFUNCTION("if(regexmatch(B338,""e(.*)$""),regexextract(B338,""e(.*)$""),"""")"),"-3")</f>
        <v>-3</v>
      </c>
      <c r="M338" s="18"/>
      <c r="N338" s="18">
        <f>countif(ConstantsUnits!C:C,F338)</f>
        <v>1</v>
      </c>
      <c r="O338" s="16" t="str">
        <f>VLOOKUP($A338,ConstantsUnits!$A:$A,1,false)</f>
        <v>triton mag. mom. to Bohr magneton ratio</v>
      </c>
    </row>
    <row r="339">
      <c r="A339" s="1" t="s">
        <v>1132</v>
      </c>
      <c r="B339" s="1" t="s">
        <v>1705</v>
      </c>
      <c r="C339" s="1" t="s">
        <v>1706</v>
      </c>
      <c r="E339" s="15"/>
      <c r="F339" s="16" t="str">
        <f>VLOOKUP($A339,ConstantsUnits!$A:$C,3,false)</f>
        <v>TritonMagneticMomentToNuclearMagnetonRatio</v>
      </c>
      <c r="G339" s="17" t="str">
        <f t="shared" si="1"/>
        <v>2.9789624656</v>
      </c>
      <c r="H339" s="17">
        <f t="shared" si="2"/>
        <v>2.978962466</v>
      </c>
      <c r="I339" s="17" t="str">
        <f t="shared" si="3"/>
        <v>0.0000000059</v>
      </c>
      <c r="J339" s="17">
        <f t="shared" si="4"/>
        <v>0.0000000059</v>
      </c>
      <c r="K339" s="17" t="b">
        <f t="shared" si="5"/>
        <v>0</v>
      </c>
      <c r="L339" s="16" t="str">
        <f>IFERROR(__xludf.DUMMYFUNCTION("if(regexmatch(B339,""e(.*)$""),regexextract(B339,""e(.*)$""),"""")"),"")</f>
        <v/>
      </c>
      <c r="M339" s="18"/>
      <c r="N339" s="18">
        <f>countif(ConstantsUnits!C:C,F339)</f>
        <v>1</v>
      </c>
      <c r="O339" s="16" t="str">
        <f>VLOOKUP($A339,ConstantsUnits!$A:$A,1,false)</f>
        <v>triton mag. mom. to nuclear magneton ratio</v>
      </c>
    </row>
    <row r="340">
      <c r="A340" s="1" t="s">
        <v>1135</v>
      </c>
      <c r="B340" s="1" t="s">
        <v>1707</v>
      </c>
      <c r="C340" s="1" t="s">
        <v>1415</v>
      </c>
      <c r="D340" s="1" t="s">
        <v>38</v>
      </c>
      <c r="E340" s="15"/>
      <c r="F340" s="16" t="str">
        <f>VLOOKUP($A340,ConstantsUnits!$A:$C,3,false)</f>
        <v>TritonMass</v>
      </c>
      <c r="G340" s="17" t="str">
        <f t="shared" si="1"/>
        <v>5.0073567446e-27</v>
      </c>
      <c r="H340" s="17">
        <f t="shared" si="2"/>
        <v>0</v>
      </c>
      <c r="I340" s="17" t="str">
        <f t="shared" si="3"/>
        <v>0.0000000015e-27</v>
      </c>
      <c r="J340" s="17">
        <f t="shared" si="4"/>
        <v>0</v>
      </c>
      <c r="K340" s="17" t="b">
        <f t="shared" si="5"/>
        <v>0</v>
      </c>
      <c r="L340" s="16" t="str">
        <f>IFERROR(__xludf.DUMMYFUNCTION("if(regexmatch(B340,""e(.*)$""),regexextract(B340,""e(.*)$""),"""")"),"-27")</f>
        <v>-27</v>
      </c>
      <c r="M340" s="18"/>
      <c r="N340" s="18">
        <f>countif(ConstantsUnits!C:C,F340)</f>
        <v>1</v>
      </c>
      <c r="O340" s="16" t="str">
        <f>VLOOKUP($A340,ConstantsUnits!$A:$A,1,false)</f>
        <v>triton mass</v>
      </c>
    </row>
    <row r="341">
      <c r="A341" s="1" t="s">
        <v>1138</v>
      </c>
      <c r="B341" s="1" t="s">
        <v>1708</v>
      </c>
      <c r="C341" s="1" t="s">
        <v>1417</v>
      </c>
      <c r="D341" s="1" t="s">
        <v>41</v>
      </c>
      <c r="E341" s="15"/>
      <c r="F341" s="16" t="str">
        <f>VLOOKUP($A341,ConstantsUnits!$A:$C,3,false)</f>
        <v>TritonMassEnergyEquivalent</v>
      </c>
      <c r="G341" s="17" t="str">
        <f t="shared" si="1"/>
        <v>4.5003878060e-10</v>
      </c>
      <c r="H341" s="17">
        <f t="shared" si="2"/>
        <v>0.0000000004500387806</v>
      </c>
      <c r="I341" s="17" t="str">
        <f t="shared" si="3"/>
        <v>0.0000000014e-10</v>
      </c>
      <c r="J341" s="17">
        <f t="shared" si="4"/>
        <v>0</v>
      </c>
      <c r="K341" s="17" t="b">
        <f t="shared" si="5"/>
        <v>0</v>
      </c>
      <c r="L341" s="16" t="str">
        <f>IFERROR(__xludf.DUMMYFUNCTION("if(regexmatch(B341,""e(.*)$""),regexextract(B341,""e(.*)$""),"""")"),"-10")</f>
        <v>-10</v>
      </c>
      <c r="M341" s="18"/>
      <c r="N341" s="18">
        <f>countif(ConstantsUnits!C:C,F341)</f>
        <v>1</v>
      </c>
      <c r="O341" s="16" t="str">
        <f>VLOOKUP($A341,ConstantsUnits!$A:$A,1,false)</f>
        <v>triton mass energy equivalent</v>
      </c>
    </row>
    <row r="342">
      <c r="A342" s="1" t="s">
        <v>1141</v>
      </c>
      <c r="B342" s="1" t="s">
        <v>1709</v>
      </c>
      <c r="C342" s="1" t="s">
        <v>1419</v>
      </c>
      <c r="D342" s="1" t="s">
        <v>45</v>
      </c>
      <c r="E342" s="15"/>
      <c r="F342" s="16" t="str">
        <f>VLOOKUP($A342,ConstantsUnits!$A:$C,3,false)</f>
        <v>TritonMassEnergyEquivalentInMeV</v>
      </c>
      <c r="G342" s="17" t="str">
        <f t="shared" si="1"/>
        <v>2808.92113298</v>
      </c>
      <c r="H342" s="17">
        <f t="shared" si="2"/>
        <v>2808.921133</v>
      </c>
      <c r="I342" s="17" t="str">
        <f t="shared" si="3"/>
        <v>0.00000085</v>
      </c>
      <c r="J342" s="17">
        <f t="shared" si="4"/>
        <v>0.00000085</v>
      </c>
      <c r="K342" s="17" t="b">
        <f t="shared" si="5"/>
        <v>0</v>
      </c>
      <c r="L342" s="16" t="str">
        <f>IFERROR(__xludf.DUMMYFUNCTION("if(regexmatch(B342,""e(.*)$""),regexextract(B342,""e(.*)$""),"""")"),"")</f>
        <v/>
      </c>
      <c r="M342" s="18"/>
      <c r="N342" s="18">
        <f>countif(ConstantsUnits!C:C,F342)</f>
        <v>1</v>
      </c>
      <c r="O342" s="16" t="str">
        <f>VLOOKUP($A342,ConstantsUnits!$A:$A,1,false)</f>
        <v>triton mass energy equivalent in MeV</v>
      </c>
    </row>
    <row r="343">
      <c r="A343" s="1" t="s">
        <v>1143</v>
      </c>
      <c r="B343" s="1" t="s">
        <v>1710</v>
      </c>
      <c r="C343" s="1" t="s">
        <v>1711</v>
      </c>
      <c r="D343" s="1" t="s">
        <v>48</v>
      </c>
      <c r="E343" s="15"/>
      <c r="F343" s="16" t="str">
        <f>VLOOKUP($A343,ConstantsUnits!$A:$C,3,false)</f>
        <v>TritonMassInAtomicMassUnit</v>
      </c>
      <c r="G343" s="17" t="str">
        <f t="shared" si="1"/>
        <v>3.01550071621</v>
      </c>
      <c r="H343" s="17">
        <f t="shared" si="2"/>
        <v>3.015500716</v>
      </c>
      <c r="I343" s="17" t="str">
        <f t="shared" si="3"/>
        <v>0.00000000012</v>
      </c>
      <c r="J343" s="17">
        <f t="shared" si="4"/>
        <v>0.00000000012</v>
      </c>
      <c r="K343" s="17" t="b">
        <f t="shared" si="5"/>
        <v>0</v>
      </c>
      <c r="L343" s="16" t="str">
        <f>IFERROR(__xludf.DUMMYFUNCTION("if(regexmatch(B343,""e(.*)$""),regexextract(B343,""e(.*)$""),"""")"),"")</f>
        <v/>
      </c>
      <c r="M343" s="18"/>
      <c r="N343" s="18">
        <f>countif(ConstantsUnits!C:C,F343)</f>
        <v>1</v>
      </c>
      <c r="O343" s="16" t="str">
        <f>VLOOKUP($A343,ConstantsUnits!$A:$A,1,false)</f>
        <v>triton mass in u</v>
      </c>
    </row>
    <row r="344">
      <c r="A344" s="1" t="s">
        <v>1146</v>
      </c>
      <c r="B344" s="1" t="s">
        <v>1712</v>
      </c>
      <c r="C344" s="1" t="s">
        <v>1713</v>
      </c>
      <c r="D344" s="1" t="s">
        <v>51</v>
      </c>
      <c r="E344" s="15"/>
      <c r="F344" s="16" t="str">
        <f>VLOOKUP($A344,ConstantsUnits!$A:$C,3,false)</f>
        <v>TritonMolarMass</v>
      </c>
      <c r="G344" s="17" t="str">
        <f t="shared" si="1"/>
        <v>3.01550071517e-3</v>
      </c>
      <c r="H344" s="17">
        <f t="shared" si="2"/>
        <v>0.003015500715</v>
      </c>
      <c r="I344" s="17" t="str">
        <f t="shared" si="3"/>
        <v>0.00000000092e-3</v>
      </c>
      <c r="J344" s="17">
        <f t="shared" si="4"/>
        <v>0</v>
      </c>
      <c r="K344" s="17" t="b">
        <f t="shared" si="5"/>
        <v>0</v>
      </c>
      <c r="L344" s="16" t="str">
        <f>IFERROR(__xludf.DUMMYFUNCTION("if(regexmatch(B344,""e(.*)$""),regexextract(B344,""e(.*)$""),"""")"),"-3")</f>
        <v>-3</v>
      </c>
      <c r="M344" s="18"/>
      <c r="N344" s="18">
        <f>countif(ConstantsUnits!C:C,F344)</f>
        <v>1</v>
      </c>
      <c r="O344" s="16" t="str">
        <f>VLOOKUP($A344,ConstantsUnits!$A:$A,1,false)</f>
        <v>triton molar mass</v>
      </c>
    </row>
    <row r="345">
      <c r="A345" s="1" t="s">
        <v>1149</v>
      </c>
      <c r="B345" s="1" t="s">
        <v>1714</v>
      </c>
      <c r="C345" s="1" t="s">
        <v>1352</v>
      </c>
      <c r="E345" s="15"/>
      <c r="F345" s="16" t="str">
        <f>VLOOKUP($A345,ConstantsUnits!$A:$C,3,false)</f>
        <v>TritonNeutronMagneticMomentRatio</v>
      </c>
      <c r="G345" s="17" t="str">
        <f t="shared" si="1"/>
        <v>2.99371703414</v>
      </c>
      <c r="H345" s="17">
        <f t="shared" si="2"/>
        <v>2.993717034</v>
      </c>
      <c r="I345" s="17" t="str">
        <f t="shared" si="3"/>
        <v>0.00000000015</v>
      </c>
      <c r="J345" s="17">
        <f t="shared" si="4"/>
        <v>0.00000000015</v>
      </c>
      <c r="K345" s="17" t="b">
        <f t="shared" si="5"/>
        <v>0</v>
      </c>
      <c r="L345" s="16" t="str">
        <f>IFERROR(__xludf.DUMMYFUNCTION("if(regexmatch(B345,""e(.*)$""),regexextract(B345,""e(.*)$""),"""")"),"")</f>
        <v/>
      </c>
      <c r="M345" s="18"/>
      <c r="N345" s="18">
        <f>countif(ConstantsUnits!C:C,F345)</f>
        <v>1</v>
      </c>
      <c r="O345" s="16" t="str">
        <f>VLOOKUP($A345,ConstantsUnits!$A:$A,1,false)</f>
        <v>triton-proton mass ratio</v>
      </c>
    </row>
    <row r="346">
      <c r="A346" s="1" t="s">
        <v>1152</v>
      </c>
      <c r="B346" s="1" t="s">
        <v>1710</v>
      </c>
      <c r="C346" s="1" t="s">
        <v>1711</v>
      </c>
      <c r="E346" s="15"/>
      <c r="F346" s="16" t="str">
        <f>VLOOKUP($A346,ConstantsUnits!$A:$C,3,false)</f>
        <v>TritonProtonMagneticMomentRatio</v>
      </c>
      <c r="G346" s="17" t="str">
        <f t="shared" si="1"/>
        <v>3.01550071621</v>
      </c>
      <c r="H346" s="17">
        <f t="shared" si="2"/>
        <v>3.015500716</v>
      </c>
      <c r="I346" s="17" t="str">
        <f t="shared" si="3"/>
        <v>0.00000000012</v>
      </c>
      <c r="J346" s="17">
        <f t="shared" si="4"/>
        <v>0.00000000012</v>
      </c>
      <c r="K346" s="17" t="b">
        <f t="shared" si="5"/>
        <v>0</v>
      </c>
      <c r="L346" s="16" t="str">
        <f>IFERROR(__xludf.DUMMYFUNCTION("if(regexmatch(B346,""e(.*)$""),regexextract(B346,""e(.*)$""),"""")"),"")</f>
        <v/>
      </c>
      <c r="M346" s="18"/>
      <c r="N346" s="18">
        <f>countif(ConstantsUnits!C:C,F346)</f>
        <v>1</v>
      </c>
      <c r="O346" s="16" t="str">
        <f>VLOOKUP($A346,ConstantsUnits!$A:$A,1,false)</f>
        <v>triton relative atomic mass</v>
      </c>
    </row>
    <row r="347">
      <c r="A347" s="1" t="s">
        <v>1155</v>
      </c>
      <c r="B347" s="1" t="s">
        <v>1715</v>
      </c>
      <c r="C347" s="1" t="s">
        <v>1716</v>
      </c>
      <c r="E347" s="15"/>
      <c r="F347" s="16" t="str">
        <f>VLOOKUP($A347,ConstantsUnits!$A:$C,3,false)</f>
        <v>TritonProtonMassRatio</v>
      </c>
      <c r="G347" s="17" t="str">
        <f t="shared" si="1"/>
        <v>1.0666399191</v>
      </c>
      <c r="H347" s="17">
        <f t="shared" si="2"/>
        <v>1.066639919</v>
      </c>
      <c r="I347" s="17" t="str">
        <f t="shared" si="3"/>
        <v>0.0000000021</v>
      </c>
      <c r="J347" s="17">
        <f t="shared" si="4"/>
        <v>0.0000000021</v>
      </c>
      <c r="K347" s="17" t="b">
        <f t="shared" si="5"/>
        <v>0</v>
      </c>
      <c r="L347" s="16" t="str">
        <f>IFERROR(__xludf.DUMMYFUNCTION("if(regexmatch(B347,""e(.*)$""),regexextract(B347,""e(.*)$""),"""")"),"")</f>
        <v/>
      </c>
      <c r="M347" s="18"/>
      <c r="N347" s="18">
        <f>countif(ConstantsUnits!C:C,F347)</f>
        <v>1</v>
      </c>
      <c r="O347" s="16" t="str">
        <f>VLOOKUP($A347,ConstantsUnits!$A:$A,1,false)</f>
        <v>triton to proton mag. mom. ratio</v>
      </c>
    </row>
    <row r="348">
      <c r="A348" s="1" t="s">
        <v>1158</v>
      </c>
      <c r="B348" s="1" t="s">
        <v>1211</v>
      </c>
      <c r="C348" s="1" t="s">
        <v>1212</v>
      </c>
      <c r="D348" s="1" t="s">
        <v>38</v>
      </c>
      <c r="E348" s="15"/>
      <c r="F348" s="16" t="str">
        <f>VLOOKUP($A348,ConstantsUnits!$A:$C,3,false)</f>
        <v>UnifiedAtomicMassUnit</v>
      </c>
      <c r="G348" s="17" t="str">
        <f t="shared" si="1"/>
        <v>1.66053906660e-27</v>
      </c>
      <c r="H348" s="17">
        <f t="shared" si="2"/>
        <v>0</v>
      </c>
      <c r="I348" s="17" t="str">
        <f t="shared" si="3"/>
        <v>0.00000000050e-27</v>
      </c>
      <c r="J348" s="17">
        <f t="shared" si="4"/>
        <v>0</v>
      </c>
      <c r="K348" s="17" t="b">
        <f t="shared" si="5"/>
        <v>0</v>
      </c>
      <c r="L348" s="16" t="str">
        <f>IFERROR(__xludf.DUMMYFUNCTION("if(regexmatch(B348,""e(.*)$""),regexextract(B348,""e(.*)$""),"""")"),"-27")</f>
        <v>-27</v>
      </c>
      <c r="M348" s="18"/>
      <c r="N348" s="18">
        <f>countif(ConstantsUnits!C:C,F348)</f>
        <v>1</v>
      </c>
      <c r="O348" s="16" t="str">
        <f>VLOOKUP($A348,ConstantsUnits!$A:$A,1,false)</f>
        <v>unified atomic mass unit</v>
      </c>
    </row>
    <row r="349">
      <c r="A349" s="1" t="s">
        <v>1161</v>
      </c>
      <c r="B349" s="1" t="s">
        <v>1717</v>
      </c>
      <c r="C349" s="1" t="s">
        <v>1718</v>
      </c>
      <c r="D349" s="1" t="s">
        <v>187</v>
      </c>
      <c r="E349" s="15"/>
      <c r="F349" s="16" t="str">
        <f>VLOOKUP($A349,ConstantsUnits!$A:$C,3,false)</f>
        <v>PermittivityOfVacuum</v>
      </c>
      <c r="G349" s="17" t="str">
        <f t="shared" si="1"/>
        <v>8.8541878128e-12</v>
      </c>
      <c r="H349" s="17">
        <f t="shared" si="2"/>
        <v>0</v>
      </c>
      <c r="I349" s="17" t="str">
        <f t="shared" si="3"/>
        <v>0.0000000013e-12</v>
      </c>
      <c r="J349" s="17">
        <f t="shared" si="4"/>
        <v>0</v>
      </c>
      <c r="K349" s="17" t="b">
        <f t="shared" si="5"/>
        <v>0</v>
      </c>
      <c r="L349" s="16" t="str">
        <f>IFERROR(__xludf.DUMMYFUNCTION("if(regexmatch(B349,""e(.*)$""),regexextract(B349,""e(.*)$""),"""")"),"-12")</f>
        <v>-12</v>
      </c>
      <c r="M349" s="18"/>
      <c r="N349" s="18">
        <f>countif(ConstantsUnits!C:C,F349)</f>
        <v>1</v>
      </c>
      <c r="O349" s="16" t="str">
        <f>VLOOKUP($A349,ConstantsUnits!$A:$A,1,false)</f>
        <v>vacuum electric permittivity</v>
      </c>
    </row>
    <row r="350">
      <c r="A350" s="1" t="s">
        <v>1165</v>
      </c>
      <c r="B350" s="1" t="s">
        <v>1719</v>
      </c>
      <c r="C350" s="1" t="s">
        <v>1720</v>
      </c>
      <c r="D350" s="1" t="s">
        <v>1166</v>
      </c>
      <c r="E350" s="15"/>
      <c r="F350" s="16" t="str">
        <f>VLOOKUP($A350,ConstantsUnits!$A:$C,3,false)</f>
        <v>ElectromagneticPermeabilityOfVacuum</v>
      </c>
      <c r="G350" s="17" t="str">
        <f t="shared" si="1"/>
        <v>1.25663706212e-6</v>
      </c>
      <c r="H350" s="17">
        <f t="shared" si="2"/>
        <v>0.000001256637062</v>
      </c>
      <c r="I350" s="17" t="str">
        <f t="shared" si="3"/>
        <v>0.00000000019e-6</v>
      </c>
      <c r="J350" s="17">
        <f t="shared" si="4"/>
        <v>0</v>
      </c>
      <c r="K350" s="17" t="b">
        <f t="shared" si="5"/>
        <v>0</v>
      </c>
      <c r="L350" s="16" t="str">
        <f>IFERROR(__xludf.DUMMYFUNCTION("if(regexmatch(B350,""e(.*)$""),regexextract(B350,""e(.*)$""),"""")"),"-6")</f>
        <v>-6</v>
      </c>
      <c r="M350" s="18"/>
      <c r="N350" s="18">
        <f>countif(ConstantsUnits!C:C,F350)</f>
        <v>1</v>
      </c>
      <c r="O350" s="16" t="str">
        <f>VLOOKUP($A350,ConstantsUnits!$A:$A,1,false)</f>
        <v>vacuum mag. permeability</v>
      </c>
    </row>
    <row r="351">
      <c r="A351" s="1" t="s">
        <v>1170</v>
      </c>
      <c r="B351" s="1" t="s">
        <v>1721</v>
      </c>
      <c r="C351" s="1" t="s">
        <v>1232</v>
      </c>
      <c r="D351" s="1" t="s">
        <v>252</v>
      </c>
      <c r="E351" s="15"/>
      <c r="F351" s="16" t="str">
        <f>VLOOKUP($A351,ConstantsUnits!$A:$C,3,false)</f>
        <v>VonKlitzingConstant</v>
      </c>
      <c r="G351" s="17" t="str">
        <f t="shared" si="1"/>
        <v>25812.80745</v>
      </c>
      <c r="H351" s="17">
        <f t="shared" si="2"/>
        <v>25812.80745</v>
      </c>
      <c r="I351" s="17" t="str">
        <f t="shared" si="3"/>
        <v>(exact)</v>
      </c>
      <c r="J351" s="17" t="str">
        <f t="shared" si="4"/>
        <v/>
      </c>
      <c r="K351" s="17" t="b">
        <f t="shared" si="5"/>
        <v>1</v>
      </c>
      <c r="L351" s="16" t="str">
        <f>IFERROR(__xludf.DUMMYFUNCTION("if(regexmatch(B351,""e(.*)$""),regexextract(B351,""e(.*)$""),"""")"),"")</f>
        <v/>
      </c>
      <c r="M351" s="18"/>
      <c r="N351" s="18">
        <f>countif(ConstantsUnits!C:C,F351)</f>
        <v>1</v>
      </c>
      <c r="O351" s="16" t="str">
        <f>VLOOKUP($A351,ConstantsUnits!$A:$A,1,false)</f>
        <v>von Klitzing constant</v>
      </c>
    </row>
    <row r="352">
      <c r="A352" s="1" t="s">
        <v>1173</v>
      </c>
      <c r="B352" s="1" t="s">
        <v>1722</v>
      </c>
      <c r="C352" s="1" t="s">
        <v>1723</v>
      </c>
      <c r="E352" s="15"/>
      <c r="F352" s="16" t="str">
        <f>VLOOKUP($A352,ConstantsUnits!$A:$C,3,false)</f>
        <v>WeakMixingAngle</v>
      </c>
      <c r="G352" s="17" t="str">
        <f t="shared" si="1"/>
        <v>0.22290</v>
      </c>
      <c r="H352" s="17">
        <f t="shared" si="2"/>
        <v>0.2229</v>
      </c>
      <c r="I352" s="17" t="str">
        <f t="shared" si="3"/>
        <v>0.00030</v>
      </c>
      <c r="J352" s="17">
        <f t="shared" si="4"/>
        <v>0.0003</v>
      </c>
      <c r="K352" s="17" t="b">
        <f t="shared" si="5"/>
        <v>0</v>
      </c>
      <c r="L352" s="16" t="str">
        <f>IFERROR(__xludf.DUMMYFUNCTION("if(regexmatch(B352,""e(.*)$""),regexextract(B352,""e(.*)$""),"""")"),"")</f>
        <v/>
      </c>
      <c r="M352" s="18"/>
      <c r="N352" s="18">
        <f>countif(ConstantsUnits!C:C,F352)</f>
        <v>1</v>
      </c>
      <c r="O352" s="16" t="str">
        <f>VLOOKUP($A352,ConstantsUnits!$A:$A,1,false)</f>
        <v>weak mixing angle</v>
      </c>
    </row>
    <row r="353">
      <c r="A353" s="1" t="s">
        <v>1176</v>
      </c>
      <c r="B353" s="1" t="s">
        <v>1724</v>
      </c>
      <c r="C353" s="1" t="s">
        <v>1232</v>
      </c>
      <c r="D353" s="1" t="s">
        <v>242</v>
      </c>
      <c r="E353" s="15"/>
      <c r="F353" s="16" t="str">
        <f>VLOOKUP($A353,ConstantsUnits!$A:$C,3,false)</f>
        <v>WienFrequencyDisplacementLawConstant</v>
      </c>
      <c r="G353" s="17" t="str">
        <f t="shared" si="1"/>
        <v>5.878925757e10</v>
      </c>
      <c r="H353" s="17">
        <f t="shared" si="2"/>
        <v>58789257570</v>
      </c>
      <c r="I353" s="17" t="str">
        <f t="shared" si="3"/>
        <v>(exact)</v>
      </c>
      <c r="J353" s="17" t="str">
        <f t="shared" si="4"/>
        <v/>
      </c>
      <c r="K353" s="17" t="b">
        <f t="shared" si="5"/>
        <v>1</v>
      </c>
      <c r="L353" s="16" t="str">
        <f>IFERROR(__xludf.DUMMYFUNCTION("if(regexmatch(B353,""e(.*)$""),regexextract(B353,""e(.*)$""),"""")"),"10")</f>
        <v>10</v>
      </c>
      <c r="M353" s="18"/>
      <c r="N353" s="18">
        <f>countif(ConstantsUnits!C:C,F353)</f>
        <v>1</v>
      </c>
      <c r="O353" s="16" t="str">
        <f>VLOOKUP($A353,ConstantsUnits!$A:$A,1,false)</f>
        <v>Wien frequency displacement law constant</v>
      </c>
    </row>
    <row r="354">
      <c r="A354" s="1" t="s">
        <v>1179</v>
      </c>
      <c r="B354" s="1" t="s">
        <v>1725</v>
      </c>
      <c r="C354" s="1" t="s">
        <v>1232</v>
      </c>
      <c r="D354" s="1" t="s">
        <v>1020</v>
      </c>
      <c r="E354" s="15"/>
      <c r="F354" s="16" t="str">
        <f>VLOOKUP($A354,ConstantsUnits!$A:$C,3,false)</f>
        <v>WienWavelengthDisplacementLawConstant</v>
      </c>
      <c r="G354" s="17" t="str">
        <f t="shared" si="1"/>
        <v>2.897771955e-3</v>
      </c>
      <c r="H354" s="17">
        <f t="shared" si="2"/>
        <v>0.002897771955</v>
      </c>
      <c r="I354" s="17" t="str">
        <f t="shared" si="3"/>
        <v>(exact)</v>
      </c>
      <c r="J354" s="17" t="str">
        <f t="shared" si="4"/>
        <v/>
      </c>
      <c r="K354" s="17" t="b">
        <f t="shared" si="5"/>
        <v>1</v>
      </c>
      <c r="L354" s="16" t="str">
        <f>IFERROR(__xludf.DUMMYFUNCTION("if(regexmatch(B354,""e(.*)$""),regexextract(B354,""e(.*)$""),"""")"),"-3")</f>
        <v>-3</v>
      </c>
      <c r="M354" s="18"/>
      <c r="N354" s="18">
        <f>countif(ConstantsUnits!C:C,F354)</f>
        <v>1</v>
      </c>
      <c r="O354" s="16" t="str">
        <f>VLOOKUP($A354,ConstantsUnits!$A:$A,1,false)</f>
        <v>Wien wavelength displacement law constant</v>
      </c>
    </row>
    <row r="355">
      <c r="A355" s="1" t="s">
        <v>1182</v>
      </c>
      <c r="B355" s="1" t="s">
        <v>1726</v>
      </c>
      <c r="C355" s="1" t="s">
        <v>1727</v>
      </c>
      <c r="E355" s="15"/>
      <c r="F355" s="16" t="str">
        <f>VLOOKUP($A355,ConstantsUnits!$A:$C,3,false)</f>
        <v>WToZMassRatio</v>
      </c>
      <c r="G355" s="17" t="str">
        <f t="shared" si="1"/>
        <v>0.88153</v>
      </c>
      <c r="H355" s="17">
        <f t="shared" si="2"/>
        <v>0.88153</v>
      </c>
      <c r="I355" s="17" t="str">
        <f t="shared" si="3"/>
        <v>0.00017</v>
      </c>
      <c r="J355" s="17">
        <f t="shared" si="4"/>
        <v>0.00017</v>
      </c>
      <c r="K355" s="17" t="b">
        <f t="shared" si="5"/>
        <v>0</v>
      </c>
      <c r="L355" s="16" t="str">
        <f>IFERROR(__xludf.DUMMYFUNCTION("if(regexmatch(B355,""e(.*)$""),regexextract(B355,""e(.*)$""),"""")"),"")</f>
        <v/>
      </c>
      <c r="M355" s="18"/>
      <c r="N355" s="18">
        <f>countif(ConstantsUnits!C:C,F355)</f>
        <v>1</v>
      </c>
      <c r="O355" s="16" t="str">
        <f>VLOOKUP($A355,ConstantsUnits!$A:$A,1,false)</f>
        <v>W to Z mass ratio</v>
      </c>
    </row>
  </sheetData>
  <customSheetViews>
    <customSheetView guid="{1E4E5AB5-5ABD-485B-A023-95EBDD768AAC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1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4" width="10.14"/>
    <col customWidth="1" min="15" max="15" width="49.57"/>
  </cols>
  <sheetData>
    <row r="1">
      <c r="A1" s="4" t="s">
        <v>1</v>
      </c>
      <c r="B1" s="4" t="s">
        <v>1184</v>
      </c>
      <c r="C1" s="4" t="s">
        <v>1185</v>
      </c>
      <c r="D1" s="4" t="s">
        <v>1186</v>
      </c>
      <c r="E1" s="5"/>
      <c r="F1" s="4" t="s">
        <v>0</v>
      </c>
      <c r="G1" s="13" t="s">
        <v>1187</v>
      </c>
      <c r="H1" s="13" t="s">
        <v>1188</v>
      </c>
      <c r="I1" s="13" t="s">
        <v>1189</v>
      </c>
      <c r="J1" s="13" t="s">
        <v>1190</v>
      </c>
      <c r="K1" s="13" t="s">
        <v>1191</v>
      </c>
      <c r="L1" s="13" t="s">
        <v>1192</v>
      </c>
      <c r="M1" s="14"/>
      <c r="N1" s="14" t="s">
        <v>1193</v>
      </c>
      <c r="O1" s="13" t="s">
        <v>1194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1728</v>
      </c>
      <c r="B2" s="1" t="s">
        <v>1729</v>
      </c>
      <c r="C2" s="1" t="s">
        <v>1730</v>
      </c>
      <c r="D2" s="1" t="s">
        <v>59</v>
      </c>
      <c r="F2" s="1" t="s">
        <v>671</v>
      </c>
      <c r="G2" s="17" t="str">
        <f t="shared" ref="G2:G336" si="1">SUBSTITUTE(SUBSTITUTE(B2," ",""),"...","")</f>
        <v>192.0155714e-12</v>
      </c>
      <c r="H2" s="17">
        <f t="shared" ref="H2:H336" si="2">value(G2)</f>
        <v>0.0000000001920155714</v>
      </c>
      <c r="I2" s="17" t="str">
        <f t="shared" ref="I2:I336" si="3">SUBSTITUTE(C2," ","")</f>
        <v>0.0000032e-12</v>
      </c>
      <c r="J2" s="17">
        <f t="shared" ref="J2:J336" si="4">if(I2="(exact)","",value(I2))</f>
        <v>0</v>
      </c>
      <c r="K2" s="17" t="b">
        <f t="shared" ref="K2:K336" si="5">ISNUMBER(search("...",B2))</f>
        <v>0</v>
      </c>
      <c r="L2" s="16" t="str">
        <f>IFERROR(__xludf.DUMMYFUNCTION("if(regexmatch(B2,""e(.*)$""),regexextract(B2,""e(.*)$""),"""")"),"-12")</f>
        <v>-12</v>
      </c>
      <c r="M2" s="18"/>
      <c r="N2" s="18">
        <f>countif(ConstantsUnits!C:C,F2)</f>
        <v>1</v>
      </c>
      <c r="O2" s="16" t="str">
        <f>ifna(VLOOKUP(A2,ConstantsUnits!A:A,1,false),"")</f>
        <v/>
      </c>
    </row>
    <row r="3">
      <c r="A3" s="1" t="s">
        <v>34</v>
      </c>
      <c r="B3" s="1" t="s">
        <v>1731</v>
      </c>
      <c r="C3" s="1" t="s">
        <v>1196</v>
      </c>
      <c r="F3" s="16" t="str">
        <f>ifna(VLOOKUP($A3,ConstantsUnits!$A:$C,3,false),"")</f>
        <v>AlphaParticleElectronMassRatio</v>
      </c>
      <c r="G3" s="17" t="str">
        <f t="shared" si="1"/>
        <v>7294.29954136</v>
      </c>
      <c r="H3" s="17">
        <f t="shared" si="2"/>
        <v>7294.299541</v>
      </c>
      <c r="I3" s="17" t="str">
        <f t="shared" si="3"/>
        <v>0.00000024</v>
      </c>
      <c r="J3" s="17">
        <f t="shared" si="4"/>
        <v>0.00000024</v>
      </c>
      <c r="K3" s="17" t="b">
        <f t="shared" si="5"/>
        <v>0</v>
      </c>
      <c r="L3" s="16" t="str">
        <f>IFERROR(__xludf.DUMMYFUNCTION("if(regexmatch(B3,""e(.*)$""),regexextract(B3,""e(.*)$""),"""")"),"")</f>
        <v/>
      </c>
      <c r="M3" s="18"/>
      <c r="N3" s="18">
        <f>countif(ConstantsUnits!C:C,F3)</f>
        <v>1</v>
      </c>
      <c r="O3" s="16" t="str">
        <f>ifna(VLOOKUP(A3,ConstantsUnits!A:A,1,false),"")</f>
        <v>alpha particle-electron mass ratio</v>
      </c>
    </row>
    <row r="4">
      <c r="A4" s="1" t="s">
        <v>37</v>
      </c>
      <c r="B4" s="1" t="s">
        <v>1732</v>
      </c>
      <c r="C4" s="1" t="s">
        <v>1733</v>
      </c>
      <c r="D4" s="1" t="s">
        <v>38</v>
      </c>
      <c r="F4" s="16" t="str">
        <f>ifna(VLOOKUP($A4,ConstantsUnits!$A:$C,3,false),"")</f>
        <v>AlphaParticleMass</v>
      </c>
      <c r="G4" s="17" t="str">
        <f t="shared" si="1"/>
        <v>6.644657230e-27</v>
      </c>
      <c r="H4" s="17">
        <f t="shared" si="2"/>
        <v>0</v>
      </c>
      <c r="I4" s="17" t="str">
        <f t="shared" si="3"/>
        <v>0.000000082e-27</v>
      </c>
      <c r="J4" s="17">
        <f t="shared" si="4"/>
        <v>0</v>
      </c>
      <c r="K4" s="17" t="b">
        <f t="shared" si="5"/>
        <v>0</v>
      </c>
      <c r="L4" s="16" t="str">
        <f>IFERROR(__xludf.DUMMYFUNCTION("if(regexmatch(B4,""e(.*)$""),regexextract(B4,""e(.*)$""),"""")"),"-27")</f>
        <v>-27</v>
      </c>
      <c r="M4" s="18"/>
      <c r="N4" s="18">
        <f>countif(ConstantsUnits!C:C,F4)</f>
        <v>1</v>
      </c>
      <c r="O4" s="16" t="str">
        <f>ifna(VLOOKUP(A4,ConstantsUnits!A:A,1,false),"")</f>
        <v>alpha particle mass</v>
      </c>
    </row>
    <row r="5">
      <c r="A5" s="1" t="s">
        <v>40</v>
      </c>
      <c r="B5" s="1" t="s">
        <v>1734</v>
      </c>
      <c r="C5" s="1" t="s">
        <v>1735</v>
      </c>
      <c r="D5" s="1" t="s">
        <v>41</v>
      </c>
      <c r="F5" s="16" t="str">
        <f>ifna(VLOOKUP($A5,ConstantsUnits!$A:$C,3,false),"")</f>
        <v>AlphaParticleMassEnergyEquivalent</v>
      </c>
      <c r="G5" s="17" t="str">
        <f t="shared" si="1"/>
        <v>5.971920097e-10</v>
      </c>
      <c r="H5" s="17">
        <f t="shared" si="2"/>
        <v>0.0000000005971920097</v>
      </c>
      <c r="I5" s="17" t="str">
        <f t="shared" si="3"/>
        <v>0.000000073e-10</v>
      </c>
      <c r="J5" s="17">
        <f t="shared" si="4"/>
        <v>0</v>
      </c>
      <c r="K5" s="17" t="b">
        <f t="shared" si="5"/>
        <v>0</v>
      </c>
      <c r="L5" s="16" t="str">
        <f>IFERROR(__xludf.DUMMYFUNCTION("if(regexmatch(B5,""e(.*)$""),regexextract(B5,""e(.*)$""),"""")"),"-10")</f>
        <v>-10</v>
      </c>
      <c r="M5" s="18"/>
      <c r="N5" s="18">
        <f>countif(ConstantsUnits!C:C,F5)</f>
        <v>1</v>
      </c>
      <c r="O5" s="16" t="str">
        <f>ifna(VLOOKUP(A5,ConstantsUnits!A:A,1,false),"")</f>
        <v>alpha particle mass energy equivalent</v>
      </c>
    </row>
    <row r="6">
      <c r="A6" s="1" t="s">
        <v>44</v>
      </c>
      <c r="B6" s="1" t="s">
        <v>1736</v>
      </c>
      <c r="C6" s="1" t="s">
        <v>1737</v>
      </c>
      <c r="D6" s="1" t="s">
        <v>45</v>
      </c>
      <c r="F6" s="16" t="str">
        <f>ifna(VLOOKUP($A6,ConstantsUnits!$A:$C,3,false),"")</f>
        <v>AlphaParticleMassEnergyEquivalentInMeV</v>
      </c>
      <c r="G6" s="17" t="str">
        <f t="shared" si="1"/>
        <v>3727.379378</v>
      </c>
      <c r="H6" s="17">
        <f t="shared" si="2"/>
        <v>3727.379378</v>
      </c>
      <c r="I6" s="17" t="str">
        <f t="shared" si="3"/>
        <v>0.000023</v>
      </c>
      <c r="J6" s="17">
        <f t="shared" si="4"/>
        <v>0.000023</v>
      </c>
      <c r="K6" s="17" t="b">
        <f t="shared" si="5"/>
        <v>0</v>
      </c>
      <c r="L6" s="16" t="str">
        <f>IFERROR(__xludf.DUMMYFUNCTION("if(regexmatch(B6,""e(.*)$""),regexextract(B6,""e(.*)$""),"""")"),"")</f>
        <v/>
      </c>
      <c r="M6" s="18"/>
      <c r="N6" s="18">
        <f>countif(ConstantsUnits!C:C,F6)</f>
        <v>1</v>
      </c>
      <c r="O6" s="16" t="str">
        <f>ifna(VLOOKUP(A6,ConstantsUnits!A:A,1,false),"")</f>
        <v>alpha particle mass energy equivalent in MeV</v>
      </c>
    </row>
    <row r="7">
      <c r="A7" s="1" t="s">
        <v>47</v>
      </c>
      <c r="B7" s="1" t="s">
        <v>1203</v>
      </c>
      <c r="C7" s="1" t="s">
        <v>1204</v>
      </c>
      <c r="D7" s="1" t="s">
        <v>48</v>
      </c>
      <c r="F7" s="16" t="str">
        <f>ifna(VLOOKUP($A7,ConstantsUnits!$A:$C,3,false),"")</f>
        <v>AlphaParticleMassInAtomicMassUnit</v>
      </c>
      <c r="G7" s="17" t="str">
        <f t="shared" si="1"/>
        <v>4.001506179127</v>
      </c>
      <c r="H7" s="17">
        <f t="shared" si="2"/>
        <v>4.001506179</v>
      </c>
      <c r="I7" s="17" t="str">
        <f t="shared" si="3"/>
        <v>0.000000000063</v>
      </c>
      <c r="J7" s="17">
        <f t="shared" si="4"/>
        <v>0</v>
      </c>
      <c r="K7" s="17" t="b">
        <f t="shared" si="5"/>
        <v>0</v>
      </c>
      <c r="L7" s="16" t="str">
        <f>IFERROR(__xludf.DUMMYFUNCTION("if(regexmatch(B7,""e(.*)$""),regexextract(B7,""e(.*)$""),"""")"),"")</f>
        <v/>
      </c>
      <c r="M7" s="18"/>
      <c r="N7" s="18">
        <f>countif(ConstantsUnits!C:C,F7)</f>
        <v>1</v>
      </c>
      <c r="O7" s="16" t="str">
        <f>ifna(VLOOKUP(A7,ConstantsUnits!A:A,1,false),"")</f>
        <v>alpha particle mass in u</v>
      </c>
    </row>
    <row r="8">
      <c r="A8" s="1" t="s">
        <v>50</v>
      </c>
      <c r="B8" s="1" t="s">
        <v>1738</v>
      </c>
      <c r="C8" s="1" t="s">
        <v>1739</v>
      </c>
      <c r="D8" s="1" t="s">
        <v>51</v>
      </c>
      <c r="F8" s="16" t="str">
        <f>ifna(VLOOKUP($A8,ConstantsUnits!$A:$C,3,false),"")</f>
        <v>AlphaParticleMolarMass</v>
      </c>
      <c r="G8" s="17" t="str">
        <f t="shared" si="1"/>
        <v>4.001506179127e-3</v>
      </c>
      <c r="H8" s="17">
        <f t="shared" si="2"/>
        <v>0.004001506179</v>
      </c>
      <c r="I8" s="17" t="str">
        <f t="shared" si="3"/>
        <v>0.000000000063e-3</v>
      </c>
      <c r="J8" s="17">
        <f t="shared" si="4"/>
        <v>0</v>
      </c>
      <c r="K8" s="17" t="b">
        <f t="shared" si="5"/>
        <v>0</v>
      </c>
      <c r="L8" s="16" t="str">
        <f>IFERROR(__xludf.DUMMYFUNCTION("if(regexmatch(B8,""e(.*)$""),regexextract(B8,""e(.*)$""),"""")"),"-3")</f>
        <v>-3</v>
      </c>
      <c r="M8" s="18"/>
      <c r="N8" s="18">
        <f>countif(ConstantsUnits!C:C,F8)</f>
        <v>1</v>
      </c>
      <c r="O8" s="16" t="str">
        <f>ifna(VLOOKUP(A8,ConstantsUnits!A:A,1,false),"")</f>
        <v>alpha particle molar mass</v>
      </c>
    </row>
    <row r="9">
      <c r="A9" s="1" t="s">
        <v>54</v>
      </c>
      <c r="B9" s="1" t="s">
        <v>1740</v>
      </c>
      <c r="C9" s="1" t="s">
        <v>1741</v>
      </c>
      <c r="F9" s="16" t="str">
        <f>ifna(VLOOKUP($A9,ConstantsUnits!$A:$C,3,false),"")</f>
        <v>AlphaParticleProtonMassRatio</v>
      </c>
      <c r="G9" s="17" t="str">
        <f t="shared" si="1"/>
        <v>3.97259968907</v>
      </c>
      <c r="H9" s="17">
        <f t="shared" si="2"/>
        <v>3.972599689</v>
      </c>
      <c r="I9" s="17" t="str">
        <f t="shared" si="3"/>
        <v>0.00000000036</v>
      </c>
      <c r="J9" s="17">
        <f t="shared" si="4"/>
        <v>0.00000000036</v>
      </c>
      <c r="K9" s="17" t="b">
        <f t="shared" si="5"/>
        <v>0</v>
      </c>
      <c r="L9" s="16" t="str">
        <f>IFERROR(__xludf.DUMMYFUNCTION("if(regexmatch(B9,""e(.*)$""),regexextract(B9,""e(.*)$""),"""")"),"")</f>
        <v/>
      </c>
      <c r="M9" s="18"/>
      <c r="N9" s="18">
        <f>countif(ConstantsUnits!C:C,F9)</f>
        <v>1</v>
      </c>
      <c r="O9" s="16" t="str">
        <f>ifna(VLOOKUP(A9,ConstantsUnits!A:A,1,false),"")</f>
        <v>alpha particle-proton mass ratio</v>
      </c>
    </row>
    <row r="10">
      <c r="A10" s="1" t="s">
        <v>58</v>
      </c>
      <c r="B10" s="1" t="s">
        <v>1209</v>
      </c>
      <c r="C10" s="1" t="s">
        <v>1210</v>
      </c>
      <c r="D10" s="1" t="s">
        <v>59</v>
      </c>
      <c r="F10" s="16" t="str">
        <f>ifna(VLOOKUP($A10,ConstantsUnits!$A:$C,3,false),"")</f>
        <v>AngstromStar</v>
      </c>
      <c r="G10" s="17" t="str">
        <f t="shared" si="1"/>
        <v>1.00001495e-10</v>
      </c>
      <c r="H10" s="17">
        <f t="shared" si="2"/>
        <v>0.000000000100001495</v>
      </c>
      <c r="I10" s="17" t="str">
        <f t="shared" si="3"/>
        <v>0.00000090e-10</v>
      </c>
      <c r="J10" s="17">
        <f t="shared" si="4"/>
        <v>0</v>
      </c>
      <c r="K10" s="17" t="b">
        <f t="shared" si="5"/>
        <v>0</v>
      </c>
      <c r="L10" s="16" t="str">
        <f>IFERROR(__xludf.DUMMYFUNCTION("if(regexmatch(B10,""e(.*)$""),regexextract(B10,""e(.*)$""),"""")"),"-10")</f>
        <v>-10</v>
      </c>
      <c r="M10" s="18"/>
      <c r="N10" s="18">
        <f>countif(ConstantsUnits!C:C,F10)</f>
        <v>1</v>
      </c>
      <c r="O10" s="16" t="str">
        <f>ifna(VLOOKUP(A10,ConstantsUnits!A:A,1,false),"")</f>
        <v>Angstrom star</v>
      </c>
    </row>
    <row r="11">
      <c r="A11" s="1" t="s">
        <v>62</v>
      </c>
      <c r="B11" s="1" t="s">
        <v>1742</v>
      </c>
      <c r="C11" s="1" t="s">
        <v>1743</v>
      </c>
      <c r="D11" s="1" t="s">
        <v>38</v>
      </c>
      <c r="F11" s="16" t="str">
        <f>ifna(VLOOKUP($A11,ConstantsUnits!$A:$C,3,false),"")</f>
        <v>AtomicMassConstant</v>
      </c>
      <c r="G11" s="17" t="str">
        <f t="shared" si="1"/>
        <v>1.660539040e-27</v>
      </c>
      <c r="H11" s="17">
        <f t="shared" si="2"/>
        <v>0</v>
      </c>
      <c r="I11" s="17" t="str">
        <f t="shared" si="3"/>
        <v>0.000000020e-27</v>
      </c>
      <c r="J11" s="17">
        <f t="shared" si="4"/>
        <v>0</v>
      </c>
      <c r="K11" s="17" t="b">
        <f t="shared" si="5"/>
        <v>0</v>
      </c>
      <c r="L11" s="16" t="str">
        <f>IFERROR(__xludf.DUMMYFUNCTION("if(regexmatch(B11,""e(.*)$""),regexextract(B11,""e(.*)$""),"""")"),"-27")</f>
        <v>-27</v>
      </c>
      <c r="M11" s="18"/>
      <c r="N11" s="18">
        <f>countif(ConstantsUnits!C:C,F11)</f>
        <v>1</v>
      </c>
      <c r="O11" s="16" t="str">
        <f>ifna(VLOOKUP(A11,ConstantsUnits!A:A,1,false),"")</f>
        <v>atomic mass constant</v>
      </c>
    </row>
    <row r="12">
      <c r="A12" s="1" t="s">
        <v>65</v>
      </c>
      <c r="B12" s="1" t="s">
        <v>1744</v>
      </c>
      <c r="C12" s="1" t="s">
        <v>1745</v>
      </c>
      <c r="D12" s="1" t="s">
        <v>41</v>
      </c>
      <c r="F12" s="16" t="str">
        <f>ifna(VLOOKUP($A12,ConstantsUnits!$A:$C,3,false),"")</f>
        <v>AtomicMassConstantEnergyEquivalent</v>
      </c>
      <c r="G12" s="17" t="str">
        <f t="shared" si="1"/>
        <v>1.492418062e-10</v>
      </c>
      <c r="H12" s="17">
        <f t="shared" si="2"/>
        <v>0.0000000001492418062</v>
      </c>
      <c r="I12" s="17" t="str">
        <f t="shared" si="3"/>
        <v>0.000000018e-10</v>
      </c>
      <c r="J12" s="17">
        <f t="shared" si="4"/>
        <v>0</v>
      </c>
      <c r="K12" s="17" t="b">
        <f t="shared" si="5"/>
        <v>0</v>
      </c>
      <c r="L12" s="16" t="str">
        <f>IFERROR(__xludf.DUMMYFUNCTION("if(regexmatch(B12,""e(.*)$""),regexextract(B12,""e(.*)$""),"""")"),"-10")</f>
        <v>-10</v>
      </c>
      <c r="M12" s="18"/>
      <c r="N12" s="18">
        <f>countif(ConstantsUnits!C:C,F12)</f>
        <v>1</v>
      </c>
      <c r="O12" s="16" t="str">
        <f>ifna(VLOOKUP(A12,ConstantsUnits!A:A,1,false),"")</f>
        <v>atomic mass constant energy equivalent</v>
      </c>
    </row>
    <row r="13">
      <c r="A13" s="1" t="s">
        <v>67</v>
      </c>
      <c r="B13" s="1" t="s">
        <v>1746</v>
      </c>
      <c r="C13" s="1" t="s">
        <v>1747</v>
      </c>
      <c r="D13" s="1" t="s">
        <v>45</v>
      </c>
      <c r="F13" s="16" t="str">
        <f>ifna(VLOOKUP($A13,ConstantsUnits!$A:$C,3,false),"")</f>
        <v>AtomicMassConstantEnergyEquivalentInMeV</v>
      </c>
      <c r="G13" s="17" t="str">
        <f t="shared" si="1"/>
        <v>931.4940954</v>
      </c>
      <c r="H13" s="17">
        <f t="shared" si="2"/>
        <v>931.4940954</v>
      </c>
      <c r="I13" s="17" t="str">
        <f t="shared" si="3"/>
        <v>0.0000057</v>
      </c>
      <c r="J13" s="17">
        <f t="shared" si="4"/>
        <v>0.0000057</v>
      </c>
      <c r="K13" s="17" t="b">
        <f t="shared" si="5"/>
        <v>0</v>
      </c>
      <c r="L13" s="16" t="str">
        <f>IFERROR(__xludf.DUMMYFUNCTION("if(regexmatch(B13,""e(.*)$""),regexextract(B13,""e(.*)$""),"""")"),"")</f>
        <v/>
      </c>
      <c r="M13" s="18"/>
      <c r="N13" s="18">
        <f>countif(ConstantsUnits!C:C,F13)</f>
        <v>1</v>
      </c>
      <c r="O13" s="16" t="str">
        <f>ifna(VLOOKUP(A13,ConstantsUnits!A:A,1,false),"")</f>
        <v>atomic mass constant energy equivalent in MeV</v>
      </c>
    </row>
    <row r="14">
      <c r="A14" s="1" t="s">
        <v>69</v>
      </c>
      <c r="B14" s="1" t="s">
        <v>1748</v>
      </c>
      <c r="C14" s="1" t="s">
        <v>1749</v>
      </c>
      <c r="D14" s="1" t="s">
        <v>70</v>
      </c>
      <c r="F14" s="16" t="str">
        <f>ifna(VLOOKUP($A14,ConstantsUnits!$A:$C,3,false),"")</f>
        <v>AtomicMassUnitElectronVoltRelationship</v>
      </c>
      <c r="G14" s="17" t="str">
        <f t="shared" si="1"/>
        <v>931.4940954e6</v>
      </c>
      <c r="H14" s="17">
        <f t="shared" si="2"/>
        <v>931494095.4</v>
      </c>
      <c r="I14" s="17" t="str">
        <f t="shared" si="3"/>
        <v>0.0000057e6</v>
      </c>
      <c r="J14" s="17">
        <f t="shared" si="4"/>
        <v>5.7</v>
      </c>
      <c r="K14" s="17" t="b">
        <f t="shared" si="5"/>
        <v>0</v>
      </c>
      <c r="L14" s="16" t="str">
        <f>IFERROR(__xludf.DUMMYFUNCTION("if(regexmatch(B14,""e(.*)$""),regexextract(B14,""e(.*)$""),"""")"),"6")</f>
        <v>6</v>
      </c>
      <c r="M14" s="18"/>
      <c r="N14" s="18">
        <f>countif(ConstantsUnits!C:C,F14)</f>
        <v>1</v>
      </c>
      <c r="O14" s="16" t="str">
        <f>ifna(VLOOKUP(A14,ConstantsUnits!A:A,1,false),"")</f>
        <v>atomic mass unit-electron volt relationship</v>
      </c>
    </row>
    <row r="15">
      <c r="A15" s="1" t="s">
        <v>73</v>
      </c>
      <c r="B15" s="1" t="s">
        <v>1750</v>
      </c>
      <c r="C15" s="1" t="s">
        <v>1751</v>
      </c>
      <c r="D15" s="1" t="s">
        <v>74</v>
      </c>
      <c r="F15" s="16" t="str">
        <f>ifna(VLOOKUP($A15,ConstantsUnits!$A:$C,3,false),"")</f>
        <v>AtomicMassUnitHartreeRelationship</v>
      </c>
      <c r="G15" s="17" t="str">
        <f t="shared" si="1"/>
        <v>3.4231776902e7</v>
      </c>
      <c r="H15" s="17">
        <f t="shared" si="2"/>
        <v>34231776.9</v>
      </c>
      <c r="I15" s="17" t="str">
        <f t="shared" si="3"/>
        <v>0.0000000016e7</v>
      </c>
      <c r="J15" s="17">
        <f t="shared" si="4"/>
        <v>0.016</v>
      </c>
      <c r="K15" s="17" t="b">
        <f t="shared" si="5"/>
        <v>0</v>
      </c>
      <c r="L15" s="16" t="str">
        <f>IFERROR(__xludf.DUMMYFUNCTION("if(regexmatch(B15,""e(.*)$""),regexextract(B15,""e(.*)$""),"""")"),"7")</f>
        <v>7</v>
      </c>
      <c r="M15" s="18"/>
      <c r="N15" s="18">
        <f>countif(ConstantsUnits!C:C,F15)</f>
        <v>1</v>
      </c>
      <c r="O15" s="16" t="str">
        <f>ifna(VLOOKUP(A15,ConstantsUnits!A:A,1,false),"")</f>
        <v>atomic mass unit-hartree relationship</v>
      </c>
    </row>
    <row r="16">
      <c r="A16" s="1" t="s">
        <v>78</v>
      </c>
      <c r="B16" s="1" t="s">
        <v>1752</v>
      </c>
      <c r="C16" s="1" t="s">
        <v>1753</v>
      </c>
      <c r="D16" s="1" t="s">
        <v>79</v>
      </c>
      <c r="F16" s="16" t="str">
        <f>ifna(VLOOKUP($A16,ConstantsUnits!$A:$C,3,false),"")</f>
        <v>AtomicMassUnitHertzRelationship</v>
      </c>
      <c r="G16" s="17" t="str">
        <f t="shared" si="1"/>
        <v>2.2523427206e23</v>
      </c>
      <c r="H16" s="17">
        <f t="shared" si="2"/>
        <v>2.25234E+23</v>
      </c>
      <c r="I16" s="17" t="str">
        <f t="shared" si="3"/>
        <v>0.0000000010e23</v>
      </c>
      <c r="J16" s="17">
        <f t="shared" si="4"/>
        <v>100000000000000</v>
      </c>
      <c r="K16" s="17" t="b">
        <f t="shared" si="5"/>
        <v>0</v>
      </c>
      <c r="L16" s="16" t="str">
        <f>IFERROR(__xludf.DUMMYFUNCTION("if(regexmatch(B16,""e(.*)$""),regexextract(B16,""e(.*)$""),"""")"),"23")</f>
        <v>23</v>
      </c>
      <c r="M16" s="18"/>
      <c r="N16" s="18">
        <f>countif(ConstantsUnits!C:C,F16)</f>
        <v>1</v>
      </c>
      <c r="O16" s="16" t="str">
        <f>ifna(VLOOKUP(A16,ConstantsUnits!A:A,1,false),"")</f>
        <v>atomic mass unit-hertz relationship</v>
      </c>
    </row>
    <row r="17">
      <c r="A17" s="1" t="s">
        <v>82</v>
      </c>
      <c r="B17" s="1" t="s">
        <v>1754</v>
      </c>
      <c r="C17" s="1" t="s">
        <v>1755</v>
      </c>
      <c r="D17" s="1" t="s">
        <v>83</v>
      </c>
      <c r="F17" s="16" t="str">
        <f>ifna(VLOOKUP($A17,ConstantsUnits!$A:$C,3,false),"")</f>
        <v>AtomicMassUnitInverseMeterRelationship</v>
      </c>
      <c r="G17" s="17" t="str">
        <f t="shared" si="1"/>
        <v>7.5130066166e14</v>
      </c>
      <c r="H17" s="17">
        <f t="shared" si="2"/>
        <v>751300661660000</v>
      </c>
      <c r="I17" s="17" t="str">
        <f t="shared" si="3"/>
        <v>0.0000000034e14</v>
      </c>
      <c r="J17" s="17">
        <f t="shared" si="4"/>
        <v>340000</v>
      </c>
      <c r="K17" s="17" t="b">
        <f t="shared" si="5"/>
        <v>0</v>
      </c>
      <c r="L17" s="16" t="str">
        <f>IFERROR(__xludf.DUMMYFUNCTION("if(regexmatch(B17,""e(.*)$""),regexextract(B17,""e(.*)$""),"""")"),"14")</f>
        <v>14</v>
      </c>
      <c r="M17" s="18"/>
      <c r="N17" s="18">
        <f>countif(ConstantsUnits!C:C,F17)</f>
        <v>1</v>
      </c>
      <c r="O17" s="16" t="str">
        <f>ifna(VLOOKUP(A17,ConstantsUnits!A:A,1,false),"")</f>
        <v>atomic mass unit-inverse meter relationship</v>
      </c>
    </row>
    <row r="18">
      <c r="A18" s="1" t="s">
        <v>87</v>
      </c>
      <c r="B18" s="1" t="s">
        <v>1744</v>
      </c>
      <c r="C18" s="1" t="s">
        <v>1745</v>
      </c>
      <c r="D18" s="1" t="s">
        <v>41</v>
      </c>
      <c r="F18" s="16" t="str">
        <f>ifna(VLOOKUP($A18,ConstantsUnits!$A:$C,3,false),"")</f>
        <v>AtomicMassUnitJouleRelationship</v>
      </c>
      <c r="G18" s="17" t="str">
        <f t="shared" si="1"/>
        <v>1.492418062e-10</v>
      </c>
      <c r="H18" s="17">
        <f t="shared" si="2"/>
        <v>0.0000000001492418062</v>
      </c>
      <c r="I18" s="17" t="str">
        <f t="shared" si="3"/>
        <v>0.000000018e-10</v>
      </c>
      <c r="J18" s="17">
        <f t="shared" si="4"/>
        <v>0</v>
      </c>
      <c r="K18" s="17" t="b">
        <f t="shared" si="5"/>
        <v>0</v>
      </c>
      <c r="L18" s="16" t="str">
        <f>IFERROR(__xludf.DUMMYFUNCTION("if(regexmatch(B18,""e(.*)$""),regexextract(B18,""e(.*)$""),"""")"),"-10")</f>
        <v>-10</v>
      </c>
      <c r="M18" s="18"/>
      <c r="N18" s="18">
        <f>countif(ConstantsUnits!C:C,F18)</f>
        <v>1</v>
      </c>
      <c r="O18" s="16" t="str">
        <f>ifna(VLOOKUP(A18,ConstantsUnits!A:A,1,false),"")</f>
        <v>atomic mass unit-joule relationship</v>
      </c>
    </row>
    <row r="19">
      <c r="A19" s="1" t="s">
        <v>90</v>
      </c>
      <c r="B19" s="1" t="s">
        <v>1756</v>
      </c>
      <c r="C19" s="1" t="s">
        <v>1757</v>
      </c>
      <c r="D19" s="1" t="s">
        <v>91</v>
      </c>
      <c r="F19" s="16" t="str">
        <f>ifna(VLOOKUP($A19,ConstantsUnits!$A:$C,3,false),"")</f>
        <v>AtomicMassUnitKelvinRelationship</v>
      </c>
      <c r="G19" s="17" t="str">
        <f t="shared" si="1"/>
        <v>1.08095438e13</v>
      </c>
      <c r="H19" s="17">
        <f t="shared" si="2"/>
        <v>10809543800000</v>
      </c>
      <c r="I19" s="17" t="str">
        <f t="shared" si="3"/>
        <v>0.00000062e13</v>
      </c>
      <c r="J19" s="17">
        <f t="shared" si="4"/>
        <v>6200000</v>
      </c>
      <c r="K19" s="17" t="b">
        <f t="shared" si="5"/>
        <v>0</v>
      </c>
      <c r="L19" s="16" t="str">
        <f>IFERROR(__xludf.DUMMYFUNCTION("if(regexmatch(B19,""e(.*)$""),regexextract(B19,""e(.*)$""),"""")"),"13")</f>
        <v>13</v>
      </c>
      <c r="M19" s="18"/>
      <c r="N19" s="18">
        <f>countif(ConstantsUnits!C:C,F19)</f>
        <v>1</v>
      </c>
      <c r="O19" s="16" t="str">
        <f>ifna(VLOOKUP(A19,ConstantsUnits!A:A,1,false),"")</f>
        <v>atomic mass unit-kelvin relationship</v>
      </c>
    </row>
    <row r="20">
      <c r="A20" s="1" t="s">
        <v>94</v>
      </c>
      <c r="B20" s="1" t="s">
        <v>1742</v>
      </c>
      <c r="C20" s="1" t="s">
        <v>1743</v>
      </c>
      <c r="D20" s="1" t="s">
        <v>38</v>
      </c>
      <c r="F20" s="16" t="str">
        <f>ifna(VLOOKUP($A20,ConstantsUnits!$A:$C,3,false),"")</f>
        <v>AtomicMassUnitKilogramRelationship</v>
      </c>
      <c r="G20" s="17" t="str">
        <f t="shared" si="1"/>
        <v>1.660539040e-27</v>
      </c>
      <c r="H20" s="17">
        <f t="shared" si="2"/>
        <v>0</v>
      </c>
      <c r="I20" s="17" t="str">
        <f t="shared" si="3"/>
        <v>0.000000020e-27</v>
      </c>
      <c r="J20" s="17">
        <f t="shared" si="4"/>
        <v>0</v>
      </c>
      <c r="K20" s="17" t="b">
        <f t="shared" si="5"/>
        <v>0</v>
      </c>
      <c r="L20" s="16" t="str">
        <f>IFERROR(__xludf.DUMMYFUNCTION("if(regexmatch(B20,""e(.*)$""),regexextract(B20,""e(.*)$""),"""")"),"-27")</f>
        <v>-27</v>
      </c>
      <c r="M20" s="18"/>
      <c r="N20" s="18">
        <f>countif(ConstantsUnits!C:C,F20)</f>
        <v>1</v>
      </c>
      <c r="O20" s="16" t="str">
        <f>ifna(VLOOKUP(A20,ConstantsUnits!A:A,1,false),"")</f>
        <v>atomic mass unit-kilogram relationship</v>
      </c>
    </row>
    <row r="21">
      <c r="A21" s="1" t="s">
        <v>97</v>
      </c>
      <c r="B21" s="1" t="s">
        <v>1758</v>
      </c>
      <c r="C21" s="1" t="s">
        <v>1759</v>
      </c>
      <c r="D21" s="1" t="s">
        <v>98</v>
      </c>
      <c r="F21" s="16" t="str">
        <f>ifna(VLOOKUP($A21,ConstantsUnits!$A:$C,3,false),"")</f>
        <v>AtomicUnitOf1stHyperpolarizablity</v>
      </c>
      <c r="G21" s="17" t="str">
        <f t="shared" si="1"/>
        <v>3.206361329e-53</v>
      </c>
      <c r="H21" s="17">
        <f t="shared" si="2"/>
        <v>0</v>
      </c>
      <c r="I21" s="17" t="str">
        <f t="shared" si="3"/>
        <v>0.000000020e-53</v>
      </c>
      <c r="J21" s="17">
        <f t="shared" si="4"/>
        <v>0</v>
      </c>
      <c r="K21" s="17" t="b">
        <f t="shared" si="5"/>
        <v>0</v>
      </c>
      <c r="L21" s="16" t="str">
        <f>IFERROR(__xludf.DUMMYFUNCTION("if(regexmatch(B21,""e(.*)$""),regexextract(B21,""e(.*)$""),"""")"),"-53")</f>
        <v>-53</v>
      </c>
      <c r="M21" s="18"/>
      <c r="N21" s="18">
        <f>countif(ConstantsUnits!C:C,F21)</f>
        <v>1</v>
      </c>
      <c r="O21" s="16" t="str">
        <f>ifna(VLOOKUP(A21,ConstantsUnits!A:A,1,false),"")</f>
        <v>atomic unit of 1st hyperpolarizability</v>
      </c>
    </row>
    <row r="22">
      <c r="A22" s="1" t="s">
        <v>102</v>
      </c>
      <c r="B22" s="1" t="s">
        <v>1760</v>
      </c>
      <c r="C22" s="1" t="s">
        <v>1761</v>
      </c>
      <c r="D22" s="1" t="s">
        <v>103</v>
      </c>
      <c r="F22" s="16" t="str">
        <f>ifna(VLOOKUP($A22,ConstantsUnits!$A:$C,3,false),"")</f>
        <v>AtomicUnitOf2ndHyperpolarizablity</v>
      </c>
      <c r="G22" s="17" t="str">
        <f t="shared" si="1"/>
        <v>6.235380085e-65</v>
      </c>
      <c r="H22" s="17">
        <f t="shared" si="2"/>
        <v>0</v>
      </c>
      <c r="I22" s="17" t="str">
        <f t="shared" si="3"/>
        <v>0.000000077e-65</v>
      </c>
      <c r="J22" s="17">
        <f t="shared" si="4"/>
        <v>0</v>
      </c>
      <c r="K22" s="17" t="b">
        <f t="shared" si="5"/>
        <v>0</v>
      </c>
      <c r="L22" s="16" t="str">
        <f>IFERROR(__xludf.DUMMYFUNCTION("if(regexmatch(B22,""e(.*)$""),regexextract(B22,""e(.*)$""),"""")"),"-65")</f>
        <v>-65</v>
      </c>
      <c r="M22" s="18"/>
      <c r="N22" s="18">
        <f>countif(ConstantsUnits!C:C,F22)</f>
        <v>1</v>
      </c>
      <c r="O22" s="16" t="str">
        <f>ifna(VLOOKUP(A22,ConstantsUnits!A:A,1,false),"")</f>
        <v>atomic unit of 2nd hyperpolarizability</v>
      </c>
    </row>
    <row r="23">
      <c r="A23" s="1" t="s">
        <v>107</v>
      </c>
      <c r="B23" s="1" t="s">
        <v>1762</v>
      </c>
      <c r="C23" s="1" t="s">
        <v>1763</v>
      </c>
      <c r="D23" s="1" t="s">
        <v>108</v>
      </c>
      <c r="F23" s="16" t="str">
        <f>ifna(VLOOKUP($A23,ConstantsUnits!$A:$C,3,false),"")</f>
        <v>AtomicUnitOfAction</v>
      </c>
      <c r="G23" s="17" t="str">
        <f t="shared" si="1"/>
        <v>1.054571800e-34</v>
      </c>
      <c r="H23" s="17">
        <f t="shared" si="2"/>
        <v>0</v>
      </c>
      <c r="I23" s="17" t="str">
        <f t="shared" si="3"/>
        <v>0.000000013e-34</v>
      </c>
      <c r="J23" s="17">
        <f t="shared" si="4"/>
        <v>0</v>
      </c>
      <c r="K23" s="17" t="b">
        <f t="shared" si="5"/>
        <v>0</v>
      </c>
      <c r="L23" s="16" t="str">
        <f>IFERROR(__xludf.DUMMYFUNCTION("if(regexmatch(B23,""e(.*)$""),regexextract(B23,""e(.*)$""),"""")"),"-34")</f>
        <v>-34</v>
      </c>
      <c r="M23" s="18"/>
      <c r="N23" s="18">
        <f>countif(ConstantsUnits!C:C,F23)</f>
        <v>1</v>
      </c>
      <c r="O23" s="16" t="str">
        <f>ifna(VLOOKUP(A23,ConstantsUnits!A:A,1,false),"")</f>
        <v>atomic unit of action</v>
      </c>
    </row>
    <row r="24">
      <c r="A24" s="1" t="s">
        <v>112</v>
      </c>
      <c r="B24" s="1" t="s">
        <v>1764</v>
      </c>
      <c r="C24" s="1" t="s">
        <v>1765</v>
      </c>
      <c r="D24" s="1" t="s">
        <v>113</v>
      </c>
      <c r="F24" s="16" t="str">
        <f>ifna(VLOOKUP($A24,ConstantsUnits!$A:$C,3,false),"")</f>
        <v>AtomicUnitOfCharge</v>
      </c>
      <c r="G24" s="17" t="str">
        <f t="shared" si="1"/>
        <v>1.6021766208e-19</v>
      </c>
      <c r="H24" s="17">
        <f t="shared" si="2"/>
        <v>0</v>
      </c>
      <c r="I24" s="17" t="str">
        <f t="shared" si="3"/>
        <v>0.0000000098e-19</v>
      </c>
      <c r="J24" s="17">
        <f t="shared" si="4"/>
        <v>0</v>
      </c>
      <c r="K24" s="17" t="b">
        <f t="shared" si="5"/>
        <v>0</v>
      </c>
      <c r="L24" s="16" t="str">
        <f>IFERROR(__xludf.DUMMYFUNCTION("if(regexmatch(B24,""e(.*)$""),regexextract(B24,""e(.*)$""),"""")"),"-19")</f>
        <v>-19</v>
      </c>
      <c r="M24" s="18"/>
      <c r="N24" s="18">
        <f>countif(ConstantsUnits!C:C,F24)</f>
        <v>1</v>
      </c>
      <c r="O24" s="16" t="str">
        <f>ifna(VLOOKUP(A24,ConstantsUnits!A:A,1,false),"")</f>
        <v>atomic unit of charge</v>
      </c>
    </row>
    <row r="25">
      <c r="A25" s="1" t="s">
        <v>117</v>
      </c>
      <c r="B25" s="1" t="s">
        <v>1766</v>
      </c>
      <c r="C25" s="1" t="s">
        <v>1767</v>
      </c>
      <c r="D25" s="1" t="s">
        <v>118</v>
      </c>
      <c r="F25" s="16" t="str">
        <f>ifna(VLOOKUP($A25,ConstantsUnits!$A:$C,3,false),"")</f>
        <v>AtomicUnitOfChargeDensity</v>
      </c>
      <c r="G25" s="17" t="str">
        <f t="shared" si="1"/>
        <v>1.0812023770e12</v>
      </c>
      <c r="H25" s="17">
        <f t="shared" si="2"/>
        <v>1081202377000</v>
      </c>
      <c r="I25" s="17" t="str">
        <f t="shared" si="3"/>
        <v>0.0000000067e12</v>
      </c>
      <c r="J25" s="17">
        <f t="shared" si="4"/>
        <v>6700</v>
      </c>
      <c r="K25" s="17" t="b">
        <f t="shared" si="5"/>
        <v>0</v>
      </c>
      <c r="L25" s="16" t="str">
        <f>IFERROR(__xludf.DUMMYFUNCTION("if(regexmatch(B25,""e(.*)$""),regexextract(B25,""e(.*)$""),"""")"),"12")</f>
        <v>12</v>
      </c>
      <c r="M25" s="18"/>
      <c r="N25" s="18">
        <f>countif(ConstantsUnits!C:C,F25)</f>
        <v>1</v>
      </c>
      <c r="O25" s="16" t="str">
        <f>ifna(VLOOKUP(A25,ConstantsUnits!A:A,1,false),"")</f>
        <v>atomic unit of charge density</v>
      </c>
    </row>
    <row r="26">
      <c r="A26" s="1" t="s">
        <v>122</v>
      </c>
      <c r="B26" s="1" t="s">
        <v>1768</v>
      </c>
      <c r="C26" s="1" t="s">
        <v>1769</v>
      </c>
      <c r="D26" s="1" t="s">
        <v>123</v>
      </c>
      <c r="F26" s="16" t="str">
        <f>ifna(VLOOKUP($A26,ConstantsUnits!$A:$C,3,false),"")</f>
        <v>AtomicUnitOfCurrent</v>
      </c>
      <c r="G26" s="17" t="str">
        <f t="shared" si="1"/>
        <v>6.623618183e-3</v>
      </c>
      <c r="H26" s="17">
        <f t="shared" si="2"/>
        <v>0.006623618183</v>
      </c>
      <c r="I26" s="17" t="str">
        <f t="shared" si="3"/>
        <v>0.000000041e-3</v>
      </c>
      <c r="J26" s="17">
        <f t="shared" si="4"/>
        <v>0</v>
      </c>
      <c r="K26" s="17" t="b">
        <f t="shared" si="5"/>
        <v>0</v>
      </c>
      <c r="L26" s="16" t="str">
        <f>IFERROR(__xludf.DUMMYFUNCTION("if(regexmatch(B26,""e(.*)$""),regexextract(B26,""e(.*)$""),"""")"),"-3")</f>
        <v>-3</v>
      </c>
      <c r="M26" s="18"/>
      <c r="N26" s="18">
        <f>countif(ConstantsUnits!C:C,F26)</f>
        <v>1</v>
      </c>
      <c r="O26" s="16" t="str">
        <f>ifna(VLOOKUP(A26,ConstantsUnits!A:A,1,false),"")</f>
        <v>atomic unit of current</v>
      </c>
    </row>
    <row r="27">
      <c r="A27" s="1" t="s">
        <v>126</v>
      </c>
      <c r="B27" s="1" t="s">
        <v>1770</v>
      </c>
      <c r="C27" s="1" t="s">
        <v>1771</v>
      </c>
      <c r="D27" s="1" t="s">
        <v>127</v>
      </c>
      <c r="F27" s="16" t="str">
        <f>ifna(VLOOKUP($A27,ConstantsUnits!$A:$C,3,false),"")</f>
        <v>AtomicUnitOfElectricDipoleMom.</v>
      </c>
      <c r="G27" s="17" t="str">
        <f t="shared" si="1"/>
        <v>8.478353552e-30</v>
      </c>
      <c r="H27" s="17">
        <f t="shared" si="2"/>
        <v>0</v>
      </c>
      <c r="I27" s="17" t="str">
        <f t="shared" si="3"/>
        <v>0.000000052e-30</v>
      </c>
      <c r="J27" s="17">
        <f t="shared" si="4"/>
        <v>0</v>
      </c>
      <c r="K27" s="17" t="b">
        <f t="shared" si="5"/>
        <v>0</v>
      </c>
      <c r="L27" s="16" t="str">
        <f>IFERROR(__xludf.DUMMYFUNCTION("if(regexmatch(B27,""e(.*)$""),regexextract(B27,""e(.*)$""),"""")"),"-30")</f>
        <v>-30</v>
      </c>
      <c r="M27" s="18"/>
      <c r="N27" s="18">
        <f>countif(ConstantsUnits!C:C,F27)</f>
        <v>1</v>
      </c>
      <c r="O27" s="16" t="str">
        <f>ifna(VLOOKUP(A27,ConstantsUnits!A:A,1,false),"")</f>
        <v>atomic unit of electric dipole mom.</v>
      </c>
    </row>
    <row r="28">
      <c r="A28" s="1" t="s">
        <v>130</v>
      </c>
      <c r="B28" s="1" t="s">
        <v>1772</v>
      </c>
      <c r="C28" s="1" t="s">
        <v>1773</v>
      </c>
      <c r="D28" s="1" t="s">
        <v>131</v>
      </c>
      <c r="F28" s="16" t="str">
        <f>ifna(VLOOKUP($A28,ConstantsUnits!$A:$C,3,false),"")</f>
        <v>AtomicUnitOfElectricField</v>
      </c>
      <c r="G28" s="17" t="str">
        <f t="shared" si="1"/>
        <v>5.142206707e11</v>
      </c>
      <c r="H28" s="17">
        <f t="shared" si="2"/>
        <v>514220670700</v>
      </c>
      <c r="I28" s="17" t="str">
        <f t="shared" si="3"/>
        <v>0.000000032e11</v>
      </c>
      <c r="J28" s="17">
        <f t="shared" si="4"/>
        <v>3200</v>
      </c>
      <c r="K28" s="17" t="b">
        <f t="shared" si="5"/>
        <v>0</v>
      </c>
      <c r="L28" s="16" t="str">
        <f>IFERROR(__xludf.DUMMYFUNCTION("if(regexmatch(B28,""e(.*)$""),regexextract(B28,""e(.*)$""),"""")"),"11")</f>
        <v>11</v>
      </c>
      <c r="M28" s="18"/>
      <c r="N28" s="18">
        <f>countif(ConstantsUnits!C:C,F28)</f>
        <v>1</v>
      </c>
      <c r="O28" s="16" t="str">
        <f>ifna(VLOOKUP(A28,ConstantsUnits!A:A,1,false),"")</f>
        <v>atomic unit of electric field</v>
      </c>
    </row>
    <row r="29">
      <c r="A29" s="1" t="s">
        <v>135</v>
      </c>
      <c r="B29" s="1" t="s">
        <v>1774</v>
      </c>
      <c r="C29" s="1" t="s">
        <v>1775</v>
      </c>
      <c r="D29" s="1" t="s">
        <v>136</v>
      </c>
      <c r="F29" s="16" t="str">
        <f>ifna(VLOOKUP($A29,ConstantsUnits!$A:$C,3,false),"")</f>
        <v>AtomicUnitOfElectricFieldGradient</v>
      </c>
      <c r="G29" s="17" t="str">
        <f t="shared" si="1"/>
        <v>9.717362356e21</v>
      </c>
      <c r="H29" s="17">
        <f t="shared" si="2"/>
        <v>9.71736E+21</v>
      </c>
      <c r="I29" s="17" t="str">
        <f t="shared" si="3"/>
        <v>0.000000060e21</v>
      </c>
      <c r="J29" s="17">
        <f t="shared" si="4"/>
        <v>60000000000000</v>
      </c>
      <c r="K29" s="17" t="b">
        <f t="shared" si="5"/>
        <v>0</v>
      </c>
      <c r="L29" s="16" t="str">
        <f>IFERROR(__xludf.DUMMYFUNCTION("if(regexmatch(B29,""e(.*)$""),regexextract(B29,""e(.*)$""),"""")"),"21")</f>
        <v>21</v>
      </c>
      <c r="M29" s="18"/>
      <c r="N29" s="18">
        <f>countif(ConstantsUnits!C:C,F29)</f>
        <v>1</v>
      </c>
      <c r="O29" s="16" t="str">
        <f>ifna(VLOOKUP(A29,ConstantsUnits!A:A,1,false),"")</f>
        <v>atomic unit of electric field gradient</v>
      </c>
    </row>
    <row r="30">
      <c r="A30" s="1" t="s">
        <v>140</v>
      </c>
      <c r="B30" s="1" t="s">
        <v>1776</v>
      </c>
      <c r="C30" s="1" t="s">
        <v>1777</v>
      </c>
      <c r="D30" s="1" t="s">
        <v>141</v>
      </c>
      <c r="F30" s="16" t="str">
        <f>ifna(VLOOKUP($A30,ConstantsUnits!$A:$C,3,false),"")</f>
        <v>AtomicUnitOfElectricPolarizablity</v>
      </c>
      <c r="G30" s="17" t="str">
        <f t="shared" si="1"/>
        <v>1.6487772731e-41</v>
      </c>
      <c r="H30" s="17">
        <f t="shared" si="2"/>
        <v>0</v>
      </c>
      <c r="I30" s="17" t="str">
        <f t="shared" si="3"/>
        <v>0.0000000011e-41</v>
      </c>
      <c r="J30" s="17">
        <f t="shared" si="4"/>
        <v>0</v>
      </c>
      <c r="K30" s="17" t="b">
        <f t="shared" si="5"/>
        <v>0</v>
      </c>
      <c r="L30" s="16" t="str">
        <f>IFERROR(__xludf.DUMMYFUNCTION("if(regexmatch(B30,""e(.*)$""),regexextract(B30,""e(.*)$""),"""")"),"-41")</f>
        <v>-41</v>
      </c>
      <c r="M30" s="18"/>
      <c r="N30" s="18">
        <f>countif(ConstantsUnits!C:C,F30)</f>
        <v>1</v>
      </c>
      <c r="O30" s="16" t="str">
        <f>ifna(VLOOKUP(A30,ConstantsUnits!A:A,1,false),"")</f>
        <v>atomic unit of electric polarizability</v>
      </c>
    </row>
    <row r="31">
      <c r="A31" s="1" t="s">
        <v>145</v>
      </c>
      <c r="B31" s="1" t="s">
        <v>1778</v>
      </c>
      <c r="C31" s="1" t="s">
        <v>1779</v>
      </c>
      <c r="D31" s="1" t="s">
        <v>146</v>
      </c>
      <c r="F31" s="16" t="str">
        <f>ifna(VLOOKUP($A31,ConstantsUnits!$A:$C,3,false),"")</f>
        <v>AtomicUnitOfElectricPotential</v>
      </c>
      <c r="G31" s="17" t="str">
        <f t="shared" si="1"/>
        <v>27.21138602</v>
      </c>
      <c r="H31" s="17">
        <f t="shared" si="2"/>
        <v>27.21138602</v>
      </c>
      <c r="I31" s="17" t="str">
        <f t="shared" si="3"/>
        <v>0.00000017</v>
      </c>
      <c r="J31" s="17">
        <f t="shared" si="4"/>
        <v>0.00000017</v>
      </c>
      <c r="K31" s="17" t="b">
        <f t="shared" si="5"/>
        <v>0</v>
      </c>
      <c r="L31" s="16" t="str">
        <f>IFERROR(__xludf.DUMMYFUNCTION("if(regexmatch(B31,""e(.*)$""),regexextract(B31,""e(.*)$""),"""")"),"")</f>
        <v/>
      </c>
      <c r="M31" s="18"/>
      <c r="N31" s="18">
        <f>countif(ConstantsUnits!C:C,F31)</f>
        <v>1</v>
      </c>
      <c r="O31" s="16" t="str">
        <f>ifna(VLOOKUP(A31,ConstantsUnits!A:A,1,false),"")</f>
        <v>atomic unit of electric potential</v>
      </c>
    </row>
    <row r="32">
      <c r="A32" s="1" t="s">
        <v>149</v>
      </c>
      <c r="B32" s="1" t="s">
        <v>1780</v>
      </c>
      <c r="C32" s="1" t="s">
        <v>1781</v>
      </c>
      <c r="D32" s="1" t="s">
        <v>150</v>
      </c>
      <c r="F32" s="16" t="str">
        <f>ifna(VLOOKUP($A32,ConstantsUnits!$A:$C,3,false),"")</f>
        <v>AtomicUnitOfElectricQuadrupoleMoment</v>
      </c>
      <c r="G32" s="17" t="str">
        <f t="shared" si="1"/>
        <v>4.486551484e-40</v>
      </c>
      <c r="H32" s="17">
        <f t="shared" si="2"/>
        <v>0</v>
      </c>
      <c r="I32" s="17" t="str">
        <f t="shared" si="3"/>
        <v>0.000000028e-40</v>
      </c>
      <c r="J32" s="17">
        <f t="shared" si="4"/>
        <v>0</v>
      </c>
      <c r="K32" s="17" t="b">
        <f t="shared" si="5"/>
        <v>0</v>
      </c>
      <c r="L32" s="16" t="str">
        <f>IFERROR(__xludf.DUMMYFUNCTION("if(regexmatch(B32,""e(.*)$""),regexextract(B32,""e(.*)$""),"""")"),"-40")</f>
        <v>-40</v>
      </c>
      <c r="M32" s="18"/>
      <c r="N32" s="18">
        <f>countif(ConstantsUnits!C:C,F32)</f>
        <v>1</v>
      </c>
      <c r="O32" s="16" t="str">
        <f>ifna(VLOOKUP(A32,ConstantsUnits!A:A,1,false),"")</f>
        <v>atomic unit of electric quadrupole mom.</v>
      </c>
    </row>
    <row r="33">
      <c r="A33" s="1" t="s">
        <v>154</v>
      </c>
      <c r="B33" s="1" t="s">
        <v>1782</v>
      </c>
      <c r="C33" s="1" t="s">
        <v>1783</v>
      </c>
      <c r="D33" s="1" t="s">
        <v>41</v>
      </c>
      <c r="F33" s="16" t="str">
        <f>ifna(VLOOKUP($A33,ConstantsUnits!$A:$C,3,false),"")</f>
        <v>AtomicUnitOfEnergy</v>
      </c>
      <c r="G33" s="17" t="str">
        <f t="shared" si="1"/>
        <v>4.359744650e-18</v>
      </c>
      <c r="H33" s="17">
        <f t="shared" si="2"/>
        <v>0</v>
      </c>
      <c r="I33" s="17" t="str">
        <f t="shared" si="3"/>
        <v>0.000000054e-18</v>
      </c>
      <c r="J33" s="17">
        <f t="shared" si="4"/>
        <v>0</v>
      </c>
      <c r="K33" s="17" t="b">
        <f t="shared" si="5"/>
        <v>0</v>
      </c>
      <c r="L33" s="16" t="str">
        <f>IFERROR(__xludf.DUMMYFUNCTION("if(regexmatch(B33,""e(.*)$""),regexextract(B33,""e(.*)$""),"""")"),"-18")</f>
        <v>-18</v>
      </c>
      <c r="M33" s="18"/>
      <c r="N33" s="18">
        <f>countif(ConstantsUnits!C:C,F33)</f>
        <v>1</v>
      </c>
      <c r="O33" s="16" t="str">
        <f>ifna(VLOOKUP(A33,ConstantsUnits!A:A,1,false),"")</f>
        <v>atomic unit of energy</v>
      </c>
    </row>
    <row r="34">
      <c r="A34" s="1" t="s">
        <v>157</v>
      </c>
      <c r="B34" s="1" t="s">
        <v>1784</v>
      </c>
      <c r="C34" s="1" t="s">
        <v>1785</v>
      </c>
      <c r="D34" s="1" t="s">
        <v>158</v>
      </c>
      <c r="F34" s="16" t="str">
        <f>ifna(VLOOKUP($A34,ConstantsUnits!$A:$C,3,false),"")</f>
        <v>AtomicUnitOfForce</v>
      </c>
      <c r="G34" s="17" t="str">
        <f t="shared" si="1"/>
        <v>8.23872336e-8</v>
      </c>
      <c r="H34" s="17">
        <f t="shared" si="2"/>
        <v>0.0000000823872336</v>
      </c>
      <c r="I34" s="17" t="str">
        <f t="shared" si="3"/>
        <v>0.00000010e-8</v>
      </c>
      <c r="J34" s="17">
        <f t="shared" si="4"/>
        <v>0</v>
      </c>
      <c r="K34" s="17" t="b">
        <f t="shared" si="5"/>
        <v>0</v>
      </c>
      <c r="L34" s="16" t="str">
        <f>IFERROR(__xludf.DUMMYFUNCTION("if(regexmatch(B34,""e(.*)$""),regexextract(B34,""e(.*)$""),"""")"),"-8")</f>
        <v>-8</v>
      </c>
      <c r="M34" s="18"/>
      <c r="N34" s="18">
        <f>countif(ConstantsUnits!C:C,F34)</f>
        <v>1</v>
      </c>
      <c r="O34" s="16" t="str">
        <f>ifna(VLOOKUP(A34,ConstantsUnits!A:A,1,false),"")</f>
        <v>atomic unit of force</v>
      </c>
    </row>
    <row r="35">
      <c r="A35" s="1" t="s">
        <v>161</v>
      </c>
      <c r="B35" s="1" t="s">
        <v>1786</v>
      </c>
      <c r="C35" s="1" t="s">
        <v>1787</v>
      </c>
      <c r="D35" s="1" t="s">
        <v>59</v>
      </c>
      <c r="F35" s="16" t="str">
        <f>ifna(VLOOKUP($A35,ConstantsUnits!$A:$C,3,false),"")</f>
        <v>AtomicUnitOfLength</v>
      </c>
      <c r="G35" s="17" t="str">
        <f t="shared" si="1"/>
        <v>0.52917721067e-10</v>
      </c>
      <c r="H35" s="17">
        <f t="shared" si="2"/>
        <v>0</v>
      </c>
      <c r="I35" s="17" t="str">
        <f t="shared" si="3"/>
        <v>0.00000000012e-10</v>
      </c>
      <c r="J35" s="17">
        <f t="shared" si="4"/>
        <v>0</v>
      </c>
      <c r="K35" s="17" t="b">
        <f t="shared" si="5"/>
        <v>0</v>
      </c>
      <c r="L35" s="16" t="str">
        <f>IFERROR(__xludf.DUMMYFUNCTION("if(regexmatch(B35,""e(.*)$""),regexextract(B35,""e(.*)$""),"""")"),"-10")</f>
        <v>-10</v>
      </c>
      <c r="M35" s="18"/>
      <c r="N35" s="18">
        <f>countif(ConstantsUnits!C:C,F35)</f>
        <v>1</v>
      </c>
      <c r="O35" s="16" t="str">
        <f>ifna(VLOOKUP(A35,ConstantsUnits!A:A,1,false),"")</f>
        <v>atomic unit of length</v>
      </c>
    </row>
    <row r="36">
      <c r="A36" s="1" t="s">
        <v>164</v>
      </c>
      <c r="B36" s="1" t="s">
        <v>1788</v>
      </c>
      <c r="C36" s="1" t="s">
        <v>1789</v>
      </c>
      <c r="D36" s="1" t="s">
        <v>165</v>
      </c>
      <c r="F36" s="16" t="str">
        <f>ifna(VLOOKUP($A36,ConstantsUnits!$A:$C,3,false),"")</f>
        <v>AtomicUnitOfMagneticDipoleMoment</v>
      </c>
      <c r="G36" s="17" t="str">
        <f t="shared" si="1"/>
        <v>1.854801999e-23</v>
      </c>
      <c r="H36" s="17">
        <f t="shared" si="2"/>
        <v>0</v>
      </c>
      <c r="I36" s="17" t="str">
        <f t="shared" si="3"/>
        <v>0.000000011e-23</v>
      </c>
      <c r="J36" s="17">
        <f t="shared" si="4"/>
        <v>0</v>
      </c>
      <c r="K36" s="17" t="b">
        <f t="shared" si="5"/>
        <v>0</v>
      </c>
      <c r="L36" s="16" t="str">
        <f>IFERROR(__xludf.DUMMYFUNCTION("if(regexmatch(B36,""e(.*)$""),regexextract(B36,""e(.*)$""),"""")"),"-23")</f>
        <v>-23</v>
      </c>
      <c r="M36" s="18"/>
      <c r="N36" s="18">
        <f>countif(ConstantsUnits!C:C,F36)</f>
        <v>1</v>
      </c>
      <c r="O36" s="16" t="str">
        <f>ifna(VLOOKUP(A36,ConstantsUnits!A:A,1,false),"")</f>
        <v>atomic unit of mag. dipole mom.</v>
      </c>
    </row>
    <row r="37">
      <c r="A37" s="1" t="s">
        <v>169</v>
      </c>
      <c r="B37" s="1" t="s">
        <v>1790</v>
      </c>
      <c r="C37" s="1" t="s">
        <v>1791</v>
      </c>
      <c r="D37" s="1" t="s">
        <v>170</v>
      </c>
      <c r="F37" s="16" t="str">
        <f>ifna(VLOOKUP($A37,ConstantsUnits!$A:$C,3,false),"")</f>
        <v>AtomicUnitOfMagneticFluxDensity</v>
      </c>
      <c r="G37" s="17" t="str">
        <f t="shared" si="1"/>
        <v>2.350517550e5</v>
      </c>
      <c r="H37" s="17">
        <f t="shared" si="2"/>
        <v>235051.755</v>
      </c>
      <c r="I37" s="17" t="str">
        <f t="shared" si="3"/>
        <v>0.000000014e5</v>
      </c>
      <c r="J37" s="17">
        <f t="shared" si="4"/>
        <v>0.0014</v>
      </c>
      <c r="K37" s="17" t="b">
        <f t="shared" si="5"/>
        <v>0</v>
      </c>
      <c r="L37" s="16" t="str">
        <f>IFERROR(__xludf.DUMMYFUNCTION("if(regexmatch(B37,""e(.*)$""),regexextract(B37,""e(.*)$""),"""")"),"5")</f>
        <v>5</v>
      </c>
      <c r="M37" s="18"/>
      <c r="N37" s="18">
        <f>countif(ConstantsUnits!C:C,F37)</f>
        <v>1</v>
      </c>
      <c r="O37" s="16" t="str">
        <f>ifna(VLOOKUP(A37,ConstantsUnits!A:A,1,false),"")</f>
        <v>atomic unit of mag. flux density</v>
      </c>
    </row>
    <row r="38">
      <c r="A38" s="1" t="s">
        <v>173</v>
      </c>
      <c r="B38" s="1" t="s">
        <v>1792</v>
      </c>
      <c r="C38" s="1" t="s">
        <v>1793</v>
      </c>
      <c r="D38" s="1" t="s">
        <v>174</v>
      </c>
      <c r="F38" s="16" t="str">
        <f>ifna(VLOOKUP($A38,ConstantsUnits!$A:$C,3,false),"")</f>
        <v>AtomicUnitOfMagnetizability</v>
      </c>
      <c r="G38" s="17" t="str">
        <f t="shared" si="1"/>
        <v>7.8910365886e-29</v>
      </c>
      <c r="H38" s="17">
        <f t="shared" si="2"/>
        <v>0</v>
      </c>
      <c r="I38" s="17" t="str">
        <f t="shared" si="3"/>
        <v>0.0000000090e-29</v>
      </c>
      <c r="J38" s="17">
        <f t="shared" si="4"/>
        <v>0</v>
      </c>
      <c r="K38" s="17" t="b">
        <f t="shared" si="5"/>
        <v>0</v>
      </c>
      <c r="L38" s="16" t="str">
        <f>IFERROR(__xludf.DUMMYFUNCTION("if(regexmatch(B38,""e(.*)$""),regexextract(B38,""e(.*)$""),"""")"),"-29")</f>
        <v>-29</v>
      </c>
      <c r="M38" s="18"/>
      <c r="N38" s="18">
        <f>countif(ConstantsUnits!C:C,F38)</f>
        <v>1</v>
      </c>
      <c r="O38" s="16" t="str">
        <f>ifna(VLOOKUP(A38,ConstantsUnits!A:A,1,false),"")</f>
        <v>atomic unit of magnetizability</v>
      </c>
    </row>
    <row r="39">
      <c r="A39" s="1" t="s">
        <v>178</v>
      </c>
      <c r="B39" s="1" t="s">
        <v>1794</v>
      </c>
      <c r="C39" s="1" t="s">
        <v>1795</v>
      </c>
      <c r="D39" s="1" t="s">
        <v>38</v>
      </c>
      <c r="F39" s="16" t="str">
        <f>ifna(VLOOKUP($A39,ConstantsUnits!$A:$C,3,false),"")</f>
        <v>AtomicUnitOfMass</v>
      </c>
      <c r="G39" s="17" t="str">
        <f t="shared" si="1"/>
        <v>9.10938356e-31</v>
      </c>
      <c r="H39" s="17">
        <f t="shared" si="2"/>
        <v>0</v>
      </c>
      <c r="I39" s="17" t="str">
        <f t="shared" si="3"/>
        <v>0.00000011e-31</v>
      </c>
      <c r="J39" s="17">
        <f t="shared" si="4"/>
        <v>0</v>
      </c>
      <c r="K39" s="17" t="b">
        <f t="shared" si="5"/>
        <v>0</v>
      </c>
      <c r="L39" s="16" t="str">
        <f>IFERROR(__xludf.DUMMYFUNCTION("if(regexmatch(B39,""e(.*)$""),regexextract(B39,""e(.*)$""),"""")"),"-31")</f>
        <v>-31</v>
      </c>
      <c r="M39" s="18"/>
      <c r="N39" s="18">
        <f>countif(ConstantsUnits!C:C,F39)</f>
        <v>1</v>
      </c>
      <c r="O39" s="16" t="str">
        <f>ifna(VLOOKUP(A39,ConstantsUnits!A:A,1,false),"")</f>
        <v>atomic unit of mass</v>
      </c>
    </row>
    <row r="40">
      <c r="A40" s="1" t="s">
        <v>1796</v>
      </c>
      <c r="B40" s="1" t="s">
        <v>1797</v>
      </c>
      <c r="C40" s="1" t="s">
        <v>1798</v>
      </c>
      <c r="D40" s="1" t="s">
        <v>182</v>
      </c>
      <c r="F40" s="1" t="s">
        <v>184</v>
      </c>
      <c r="G40" s="17" t="str">
        <f t="shared" si="1"/>
        <v>1.992851882e-24</v>
      </c>
      <c r="H40" s="17">
        <f t="shared" si="2"/>
        <v>0</v>
      </c>
      <c r="I40" s="17" t="str">
        <f t="shared" si="3"/>
        <v>0.000000024e-24</v>
      </c>
      <c r="J40" s="17">
        <f t="shared" si="4"/>
        <v>0</v>
      </c>
      <c r="K40" s="17" t="b">
        <f t="shared" si="5"/>
        <v>0</v>
      </c>
      <c r="L40" s="16" t="str">
        <f>IFERROR(__xludf.DUMMYFUNCTION("if(regexmatch(B40,""e(.*)$""),regexextract(B40,""e(.*)$""),"""")"),"-24")</f>
        <v>-24</v>
      </c>
      <c r="M40" s="18"/>
      <c r="N40" s="18">
        <f>countif(ConstantsUnits!C:C,F40)</f>
        <v>1</v>
      </c>
      <c r="O40" s="16" t="str">
        <f>ifna(VLOOKUP(A40,ConstantsUnits!A:A,1,false),"")</f>
        <v/>
      </c>
    </row>
    <row r="41">
      <c r="A41" s="1" t="s">
        <v>186</v>
      </c>
      <c r="B41" s="1" t="s">
        <v>1799</v>
      </c>
      <c r="C41" s="1" t="s">
        <v>1232</v>
      </c>
      <c r="D41" s="1" t="s">
        <v>187</v>
      </c>
      <c r="F41" s="16" t="str">
        <f>ifna(VLOOKUP($A41,ConstantsUnits!$A:$C,3,false),"")</f>
        <v>AtomicUnitOfPermittivity</v>
      </c>
      <c r="G41" s="17" t="str">
        <f t="shared" si="1"/>
        <v>1.112650056e-10</v>
      </c>
      <c r="H41" s="17">
        <f t="shared" si="2"/>
        <v>0.0000000001112650056</v>
      </c>
      <c r="I41" s="17" t="str">
        <f t="shared" si="3"/>
        <v>(exact)</v>
      </c>
      <c r="J41" s="17" t="str">
        <f t="shared" si="4"/>
        <v/>
      </c>
      <c r="K41" s="17" t="b">
        <f t="shared" si="5"/>
        <v>1</v>
      </c>
      <c r="L41" s="16" t="str">
        <f>IFERROR(__xludf.DUMMYFUNCTION("if(regexmatch(B41,""e(.*)$""),regexextract(B41,""e(.*)$""),"""")"),"-10")</f>
        <v>-10</v>
      </c>
      <c r="M41" s="18"/>
      <c r="N41" s="18">
        <f>countif(ConstantsUnits!C:C,F41)</f>
        <v>1</v>
      </c>
      <c r="O41" s="16" t="str">
        <f>ifna(VLOOKUP(A41,ConstantsUnits!A:A,1,false),"")</f>
        <v>atomic unit of permittivity</v>
      </c>
    </row>
    <row r="42">
      <c r="A42" s="1" t="s">
        <v>191</v>
      </c>
      <c r="B42" s="1" t="s">
        <v>1800</v>
      </c>
      <c r="C42" s="1" t="s">
        <v>1801</v>
      </c>
      <c r="D42" s="1" t="s">
        <v>192</v>
      </c>
      <c r="F42" s="16" t="str">
        <f>ifna(VLOOKUP($A42,ConstantsUnits!$A:$C,3,false),"")</f>
        <v>AtomicUnitOfTime</v>
      </c>
      <c r="G42" s="17" t="str">
        <f t="shared" si="1"/>
        <v>2.418884326509e-17</v>
      </c>
      <c r="H42" s="17">
        <f t="shared" si="2"/>
        <v>0</v>
      </c>
      <c r="I42" s="17" t="str">
        <f t="shared" si="3"/>
        <v>0.000000000014e-17</v>
      </c>
      <c r="J42" s="17">
        <f t="shared" si="4"/>
        <v>0</v>
      </c>
      <c r="K42" s="17" t="b">
        <f t="shared" si="5"/>
        <v>0</v>
      </c>
      <c r="L42" s="16" t="str">
        <f>IFERROR(__xludf.DUMMYFUNCTION("if(regexmatch(B42,""e(.*)$""),regexextract(B42,""e(.*)$""),"""")"),"-17")</f>
        <v>-17</v>
      </c>
      <c r="M42" s="18"/>
      <c r="N42" s="18">
        <f>countif(ConstantsUnits!C:C,F42)</f>
        <v>1</v>
      </c>
      <c r="O42" s="16" t="str">
        <f>ifna(VLOOKUP(A42,ConstantsUnits!A:A,1,false),"")</f>
        <v>atomic unit of time</v>
      </c>
    </row>
    <row r="43">
      <c r="A43" s="1" t="s">
        <v>195</v>
      </c>
      <c r="B43" s="1" t="s">
        <v>1802</v>
      </c>
      <c r="C43" s="1" t="s">
        <v>1803</v>
      </c>
      <c r="D43" s="1" t="s">
        <v>196</v>
      </c>
      <c r="F43" s="16" t="str">
        <f>ifna(VLOOKUP($A43,ConstantsUnits!$A:$C,3,false),"")</f>
        <v>AtomicUnitOfVelocity</v>
      </c>
      <c r="G43" s="17" t="str">
        <f t="shared" si="1"/>
        <v>2.18769126277e6</v>
      </c>
      <c r="H43" s="17">
        <f t="shared" si="2"/>
        <v>2187691.263</v>
      </c>
      <c r="I43" s="17" t="str">
        <f t="shared" si="3"/>
        <v>0.00000000050e6</v>
      </c>
      <c r="J43" s="17">
        <f t="shared" si="4"/>
        <v>0.0005</v>
      </c>
      <c r="K43" s="17" t="b">
        <f t="shared" si="5"/>
        <v>0</v>
      </c>
      <c r="L43" s="16" t="str">
        <f>IFERROR(__xludf.DUMMYFUNCTION("if(regexmatch(B43,""e(.*)$""),regexextract(B43,""e(.*)$""),"""")"),"6")</f>
        <v>6</v>
      </c>
      <c r="M43" s="18"/>
      <c r="N43" s="18">
        <f>countif(ConstantsUnits!C:C,F43)</f>
        <v>1</v>
      </c>
      <c r="O43" s="16" t="str">
        <f>ifna(VLOOKUP(A43,ConstantsUnits!A:A,1,false),"")</f>
        <v>atomic unit of velocity</v>
      </c>
    </row>
    <row r="44">
      <c r="A44" s="1" t="s">
        <v>200</v>
      </c>
      <c r="B44" s="1" t="s">
        <v>1804</v>
      </c>
      <c r="C44" s="1" t="s">
        <v>1805</v>
      </c>
      <c r="D44" s="1" t="s">
        <v>201</v>
      </c>
      <c r="F44" s="16" t="str">
        <f>ifna(VLOOKUP($A44,ConstantsUnits!$A:$C,3,false),"")</f>
        <v>AvogadroConstant</v>
      </c>
      <c r="G44" s="17" t="str">
        <f t="shared" si="1"/>
        <v>6.022140857e23</v>
      </c>
      <c r="H44" s="17">
        <f t="shared" si="2"/>
        <v>6.02214E+23</v>
      </c>
      <c r="I44" s="17" t="str">
        <f t="shared" si="3"/>
        <v>0.000000074e23</v>
      </c>
      <c r="J44" s="17">
        <f t="shared" si="4"/>
        <v>7.4E+15</v>
      </c>
      <c r="K44" s="17" t="b">
        <f t="shared" si="5"/>
        <v>0</v>
      </c>
      <c r="L44" s="16" t="str">
        <f>IFERROR(__xludf.DUMMYFUNCTION("if(regexmatch(B44,""e(.*)$""),regexextract(B44,""e(.*)$""),"""")"),"23")</f>
        <v>23</v>
      </c>
      <c r="M44" s="18"/>
      <c r="N44" s="18">
        <f>countif(ConstantsUnits!C:C,F44)</f>
        <v>1</v>
      </c>
      <c r="O44" s="16" t="str">
        <f>ifna(VLOOKUP(A44,ConstantsUnits!A:A,1,false),"")</f>
        <v>Avogadro constant</v>
      </c>
    </row>
    <row r="45">
      <c r="A45" s="1" t="s">
        <v>205</v>
      </c>
      <c r="B45" s="1" t="s">
        <v>1806</v>
      </c>
      <c r="C45" s="1" t="s">
        <v>1807</v>
      </c>
      <c r="D45" s="1" t="s">
        <v>165</v>
      </c>
      <c r="F45" s="16" t="str">
        <f>ifna(VLOOKUP($A45,ConstantsUnits!$A:$C,3,false),"")</f>
        <v>BohrMagneton</v>
      </c>
      <c r="G45" s="17" t="str">
        <f t="shared" si="1"/>
        <v>927.4009994e-26</v>
      </c>
      <c r="H45" s="17">
        <f t="shared" si="2"/>
        <v>0</v>
      </c>
      <c r="I45" s="17" t="str">
        <f t="shared" si="3"/>
        <v>0.0000057e-26</v>
      </c>
      <c r="J45" s="17">
        <f t="shared" si="4"/>
        <v>0</v>
      </c>
      <c r="K45" s="17" t="b">
        <f t="shared" si="5"/>
        <v>0</v>
      </c>
      <c r="L45" s="16" t="str">
        <f>IFERROR(__xludf.DUMMYFUNCTION("if(regexmatch(B45,""e(.*)$""),regexextract(B45,""e(.*)$""),"""")"),"-26")</f>
        <v>-26</v>
      </c>
      <c r="M45" s="18"/>
      <c r="N45" s="18">
        <f>countif(ConstantsUnits!C:C,F45)</f>
        <v>1</v>
      </c>
      <c r="O45" s="16" t="str">
        <f>ifna(VLOOKUP(A45,ConstantsUnits!A:A,1,false),"")</f>
        <v>Bohr magneton</v>
      </c>
    </row>
    <row r="46">
      <c r="A46" s="1" t="s">
        <v>208</v>
      </c>
      <c r="B46" s="1" t="s">
        <v>1808</v>
      </c>
      <c r="C46" s="1" t="s">
        <v>1809</v>
      </c>
      <c r="D46" s="1" t="s">
        <v>209</v>
      </c>
      <c r="F46" s="16" t="str">
        <f>ifna(VLOOKUP($A46,ConstantsUnits!$A:$C,3,false),"")</f>
        <v>BohrMagnetonInEVPerT</v>
      </c>
      <c r="G46" s="17" t="str">
        <f t="shared" si="1"/>
        <v>5.7883818012e-5</v>
      </c>
      <c r="H46" s="17">
        <f t="shared" si="2"/>
        <v>0.00005788381801</v>
      </c>
      <c r="I46" s="17" t="str">
        <f t="shared" si="3"/>
        <v>0.0000000026e-5</v>
      </c>
      <c r="J46" s="17">
        <f t="shared" si="4"/>
        <v>0</v>
      </c>
      <c r="K46" s="17" t="b">
        <f t="shared" si="5"/>
        <v>0</v>
      </c>
      <c r="L46" s="16" t="str">
        <f>IFERROR(__xludf.DUMMYFUNCTION("if(regexmatch(B46,""e(.*)$""),regexextract(B46,""e(.*)$""),"""")"),"-5")</f>
        <v>-5</v>
      </c>
      <c r="M46" s="18"/>
      <c r="N46" s="18">
        <f>countif(ConstantsUnits!C:C,F46)</f>
        <v>1</v>
      </c>
      <c r="O46" s="16" t="str">
        <f>ifna(VLOOKUP(A46,ConstantsUnits!A:A,1,false),"")</f>
        <v>Bohr magneton in eV/T</v>
      </c>
    </row>
    <row r="47">
      <c r="A47" s="1" t="s">
        <v>213</v>
      </c>
      <c r="B47" s="1" t="s">
        <v>1810</v>
      </c>
      <c r="C47" s="1" t="s">
        <v>1811</v>
      </c>
      <c r="D47" s="1" t="s">
        <v>214</v>
      </c>
      <c r="F47" s="16" t="str">
        <f>ifna(VLOOKUP($A47,ConstantsUnits!$A:$C,3,false),"")</f>
        <v>BohrMagnetonInHzPerT</v>
      </c>
      <c r="G47" s="17" t="str">
        <f t="shared" si="1"/>
        <v>13.996245042e9</v>
      </c>
      <c r="H47" s="17">
        <f t="shared" si="2"/>
        <v>13996245042</v>
      </c>
      <c r="I47" s="17" t="str">
        <f t="shared" si="3"/>
        <v>0.000000086e9</v>
      </c>
      <c r="J47" s="17">
        <f t="shared" si="4"/>
        <v>86</v>
      </c>
      <c r="K47" s="17" t="b">
        <f t="shared" si="5"/>
        <v>0</v>
      </c>
      <c r="L47" s="16" t="str">
        <f>IFERROR(__xludf.DUMMYFUNCTION("if(regexmatch(B47,""e(.*)$""),regexextract(B47,""e(.*)$""),"""")"),"9")</f>
        <v>9</v>
      </c>
      <c r="M47" s="18"/>
      <c r="N47" s="18">
        <f>countif(ConstantsUnits!C:C,F47)</f>
        <v>1</v>
      </c>
      <c r="O47" s="16" t="str">
        <f>ifna(VLOOKUP(A47,ConstantsUnits!A:A,1,false),"")</f>
        <v>Bohr magneton in Hz/T</v>
      </c>
    </row>
    <row r="48">
      <c r="A48" s="1" t="s">
        <v>1812</v>
      </c>
      <c r="B48" s="1" t="s">
        <v>1813</v>
      </c>
      <c r="C48" s="1" t="s">
        <v>1616</v>
      </c>
      <c r="D48" s="1" t="s">
        <v>219</v>
      </c>
      <c r="F48" s="1" t="s">
        <v>221</v>
      </c>
      <c r="G48" s="17" t="str">
        <f t="shared" si="1"/>
        <v>46.68644814</v>
      </c>
      <c r="H48" s="17">
        <f t="shared" si="2"/>
        <v>46.68644814</v>
      </c>
      <c r="I48" s="17" t="str">
        <f t="shared" si="3"/>
        <v>0.00000029</v>
      </c>
      <c r="J48" s="17">
        <f t="shared" si="4"/>
        <v>0.00000029</v>
      </c>
      <c r="K48" s="17" t="b">
        <f t="shared" si="5"/>
        <v>0</v>
      </c>
      <c r="L48" s="16" t="str">
        <f>IFERROR(__xludf.DUMMYFUNCTION("if(regexmatch(B48,""e(.*)$""),regexextract(B48,""e(.*)$""),"""")"),"")</f>
        <v/>
      </c>
      <c r="M48" s="18"/>
      <c r="N48" s="18">
        <f>countif(ConstantsUnits!C:C,F48)</f>
        <v>1</v>
      </c>
      <c r="O48" s="16" t="str">
        <f>ifna(VLOOKUP(A48,ConstantsUnits!A:A,1,false),"")</f>
        <v/>
      </c>
    </row>
    <row r="49">
      <c r="A49" s="1" t="s">
        <v>223</v>
      </c>
      <c r="B49" s="1" t="s">
        <v>1814</v>
      </c>
      <c r="C49" s="1" t="s">
        <v>1815</v>
      </c>
      <c r="D49" s="1" t="s">
        <v>224</v>
      </c>
      <c r="F49" s="16" t="str">
        <f>ifna(VLOOKUP($A49,ConstantsUnits!$A:$C,3,false),"")</f>
        <v>BohrMagnetonInKPerT</v>
      </c>
      <c r="G49" s="17" t="str">
        <f t="shared" si="1"/>
        <v>0.67171405</v>
      </c>
      <c r="H49" s="17">
        <f t="shared" si="2"/>
        <v>0.67171405</v>
      </c>
      <c r="I49" s="17" t="str">
        <f t="shared" si="3"/>
        <v>0.00000039</v>
      </c>
      <c r="J49" s="17">
        <f t="shared" si="4"/>
        <v>0.00000039</v>
      </c>
      <c r="K49" s="17" t="b">
        <f t="shared" si="5"/>
        <v>0</v>
      </c>
      <c r="L49" s="16" t="str">
        <f>IFERROR(__xludf.DUMMYFUNCTION("if(regexmatch(B49,""e(.*)$""),regexextract(B49,""e(.*)$""),"""")"),"")</f>
        <v/>
      </c>
      <c r="M49" s="18"/>
      <c r="N49" s="18">
        <f>countif(ConstantsUnits!C:C,F49)</f>
        <v>1</v>
      </c>
      <c r="O49" s="16" t="str">
        <f>ifna(VLOOKUP(A49,ConstantsUnits!A:A,1,false),"")</f>
        <v>Bohr magneton in K/T</v>
      </c>
    </row>
    <row r="50">
      <c r="A50" s="1" t="s">
        <v>228</v>
      </c>
      <c r="B50" s="1" t="s">
        <v>1786</v>
      </c>
      <c r="C50" s="1" t="s">
        <v>1787</v>
      </c>
      <c r="D50" s="1" t="s">
        <v>59</v>
      </c>
      <c r="F50" s="16" t="str">
        <f>ifna(VLOOKUP($A50,ConstantsUnits!$A:$C,3,false),"")</f>
        <v>BohrRadius</v>
      </c>
      <c r="G50" s="17" t="str">
        <f t="shared" si="1"/>
        <v>0.52917721067e-10</v>
      </c>
      <c r="H50" s="17">
        <f t="shared" si="2"/>
        <v>0</v>
      </c>
      <c r="I50" s="17" t="str">
        <f t="shared" si="3"/>
        <v>0.00000000012e-10</v>
      </c>
      <c r="J50" s="17">
        <f t="shared" si="4"/>
        <v>0</v>
      </c>
      <c r="K50" s="17" t="b">
        <f t="shared" si="5"/>
        <v>0</v>
      </c>
      <c r="L50" s="16" t="str">
        <f>IFERROR(__xludf.DUMMYFUNCTION("if(regexmatch(B50,""e(.*)$""),regexextract(B50,""e(.*)$""),"""")"),"-10")</f>
        <v>-10</v>
      </c>
      <c r="M50" s="18"/>
      <c r="N50" s="18">
        <f>countif(ConstantsUnits!C:C,F50)</f>
        <v>1</v>
      </c>
      <c r="O50" s="16" t="str">
        <f>ifna(VLOOKUP(A50,ConstantsUnits!A:A,1,false),"")</f>
        <v>Bohr radius</v>
      </c>
    </row>
    <row r="51">
      <c r="A51" s="1" t="s">
        <v>231</v>
      </c>
      <c r="B51" s="1" t="s">
        <v>1816</v>
      </c>
      <c r="C51" s="1" t="s">
        <v>1817</v>
      </c>
      <c r="D51" s="1" t="s">
        <v>232</v>
      </c>
      <c r="F51" s="16" t="str">
        <f>ifna(VLOOKUP($A51,ConstantsUnits!$A:$C,3,false),"")</f>
        <v>BoltzmannConstant</v>
      </c>
      <c r="G51" s="17" t="str">
        <f t="shared" si="1"/>
        <v>1.38064852e-23</v>
      </c>
      <c r="H51" s="17">
        <f t="shared" si="2"/>
        <v>0</v>
      </c>
      <c r="I51" s="17" t="str">
        <f t="shared" si="3"/>
        <v>0.00000079e-23</v>
      </c>
      <c r="J51" s="17">
        <f t="shared" si="4"/>
        <v>0</v>
      </c>
      <c r="K51" s="17" t="b">
        <f t="shared" si="5"/>
        <v>0</v>
      </c>
      <c r="L51" s="16" t="str">
        <f>IFERROR(__xludf.DUMMYFUNCTION("if(regexmatch(B51,""e(.*)$""),regexextract(B51,""e(.*)$""),"""")"),"-23")</f>
        <v>-23</v>
      </c>
      <c r="M51" s="18"/>
      <c r="N51" s="18">
        <f>countif(ConstantsUnits!C:C,F51)</f>
        <v>1</v>
      </c>
      <c r="O51" s="16" t="str">
        <f>ifna(VLOOKUP(A51,ConstantsUnits!A:A,1,false),"")</f>
        <v>Boltzmann constant</v>
      </c>
    </row>
    <row r="52">
      <c r="A52" s="1" t="s">
        <v>236</v>
      </c>
      <c r="B52" s="1" t="s">
        <v>1818</v>
      </c>
      <c r="C52" s="1" t="s">
        <v>1819</v>
      </c>
      <c r="D52" s="1" t="s">
        <v>237</v>
      </c>
      <c r="F52" s="16" t="str">
        <f>ifna(VLOOKUP($A52,ConstantsUnits!$A:$C,3,false),"")</f>
        <v>BoltzmannConstantInEVPerK</v>
      </c>
      <c r="G52" s="17" t="str">
        <f t="shared" si="1"/>
        <v>8.6173303e-5</v>
      </c>
      <c r="H52" s="17">
        <f t="shared" si="2"/>
        <v>0.000086173303</v>
      </c>
      <c r="I52" s="17" t="str">
        <f t="shared" si="3"/>
        <v>0.0000050e-5</v>
      </c>
      <c r="J52" s="17">
        <f t="shared" si="4"/>
        <v>0</v>
      </c>
      <c r="K52" s="17" t="b">
        <f t="shared" si="5"/>
        <v>0</v>
      </c>
      <c r="L52" s="16" t="str">
        <f>IFERROR(__xludf.DUMMYFUNCTION("if(regexmatch(B52,""e(.*)$""),regexextract(B52,""e(.*)$""),"""")"),"-5")</f>
        <v>-5</v>
      </c>
      <c r="M52" s="18"/>
      <c r="N52" s="18">
        <f>countif(ConstantsUnits!C:C,F52)</f>
        <v>1</v>
      </c>
      <c r="O52" s="16" t="str">
        <f>ifna(VLOOKUP(A52,ConstantsUnits!A:A,1,false),"")</f>
        <v>Boltzmann constant in eV/K</v>
      </c>
    </row>
    <row r="53">
      <c r="A53" s="1" t="s">
        <v>241</v>
      </c>
      <c r="B53" s="1" t="s">
        <v>1820</v>
      </c>
      <c r="C53" s="1" t="s">
        <v>1821</v>
      </c>
      <c r="D53" s="1" t="s">
        <v>242</v>
      </c>
      <c r="F53" s="16" t="str">
        <f>ifna(VLOOKUP($A53,ConstantsUnits!$A:$C,3,false),"")</f>
        <v>BoltzmannConstantInHzPerK</v>
      </c>
      <c r="G53" s="17" t="str">
        <f t="shared" si="1"/>
        <v>2.0836612e10</v>
      </c>
      <c r="H53" s="17">
        <f t="shared" si="2"/>
        <v>20836612000</v>
      </c>
      <c r="I53" s="17" t="str">
        <f t="shared" si="3"/>
        <v>0.0000012e10</v>
      </c>
      <c r="J53" s="17">
        <f t="shared" si="4"/>
        <v>12000</v>
      </c>
      <c r="K53" s="17" t="b">
        <f t="shared" si="5"/>
        <v>0</v>
      </c>
      <c r="L53" s="16" t="str">
        <f>IFERROR(__xludf.DUMMYFUNCTION("if(regexmatch(B53,""e(.*)$""),regexextract(B53,""e(.*)$""),"""")"),"10")</f>
        <v>10</v>
      </c>
      <c r="M53" s="18"/>
      <c r="N53" s="18">
        <f>countif(ConstantsUnits!C:C,F53)</f>
        <v>1</v>
      </c>
      <c r="O53" s="16" t="str">
        <f>ifna(VLOOKUP(A53,ConstantsUnits!A:A,1,false),"")</f>
        <v>Boltzmann constant in Hz/K</v>
      </c>
    </row>
    <row r="54">
      <c r="A54" s="1" t="s">
        <v>1822</v>
      </c>
      <c r="B54" s="1" t="s">
        <v>1823</v>
      </c>
      <c r="C54" s="1" t="s">
        <v>1824</v>
      </c>
      <c r="D54" s="1" t="s">
        <v>247</v>
      </c>
      <c r="F54" s="3" t="s">
        <v>249</v>
      </c>
      <c r="G54" s="17" t="str">
        <f t="shared" si="1"/>
        <v>69.503457</v>
      </c>
      <c r="H54" s="17">
        <f t="shared" si="2"/>
        <v>69.503457</v>
      </c>
      <c r="I54" s="17" t="str">
        <f t="shared" si="3"/>
        <v>0.000040</v>
      </c>
      <c r="J54" s="17">
        <f t="shared" si="4"/>
        <v>0.00004</v>
      </c>
      <c r="K54" s="17" t="b">
        <f t="shared" si="5"/>
        <v>0</v>
      </c>
      <c r="L54" s="16" t="str">
        <f>IFERROR(__xludf.DUMMYFUNCTION("if(regexmatch(B54,""e(.*)$""),regexextract(B54,""e(.*)$""),"""")"),"")</f>
        <v/>
      </c>
      <c r="M54" s="18"/>
      <c r="N54" s="18">
        <f>countif(ConstantsUnits!C:C,F54)</f>
        <v>1</v>
      </c>
      <c r="O54" s="16" t="str">
        <f>ifna(VLOOKUP(A54,ConstantsUnits!A:A,1,false),"")</f>
        <v/>
      </c>
    </row>
    <row r="55">
      <c r="A55" s="1" t="s">
        <v>251</v>
      </c>
      <c r="B55" s="1" t="s">
        <v>1825</v>
      </c>
      <c r="C55" s="1" t="s">
        <v>1232</v>
      </c>
      <c r="D55" s="1" t="s">
        <v>252</v>
      </c>
      <c r="F55" s="16" t="str">
        <f>ifna(VLOOKUP($A55,ConstantsUnits!$A:$C,3,false),"")</f>
        <v>CharacteristicImpedanceOfVacuum</v>
      </c>
      <c r="G55" s="17" t="str">
        <f t="shared" si="1"/>
        <v>376.730313461</v>
      </c>
      <c r="H55" s="17">
        <f t="shared" si="2"/>
        <v>376.7303135</v>
      </c>
      <c r="I55" s="17" t="str">
        <f t="shared" si="3"/>
        <v>(exact)</v>
      </c>
      <c r="J55" s="17" t="str">
        <f t="shared" si="4"/>
        <v/>
      </c>
      <c r="K55" s="17" t="b">
        <f t="shared" si="5"/>
        <v>1</v>
      </c>
      <c r="L55" s="16" t="str">
        <f>IFERROR(__xludf.DUMMYFUNCTION("if(regexmatch(B55,""e(.*)$""),regexextract(B55,""e(.*)$""),"""")"),"")</f>
        <v/>
      </c>
      <c r="M55" s="18"/>
      <c r="N55" s="18">
        <f>countif(ConstantsUnits!C:C,F55)</f>
        <v>1</v>
      </c>
      <c r="O55" s="16" t="str">
        <f>ifna(VLOOKUP(A55,ConstantsUnits!A:A,1,false),"")</f>
        <v>characteristic impedance of vacuum</v>
      </c>
    </row>
    <row r="56">
      <c r="A56" s="1" t="s">
        <v>256</v>
      </c>
      <c r="B56" s="1" t="s">
        <v>1826</v>
      </c>
      <c r="C56" s="1" t="s">
        <v>1827</v>
      </c>
      <c r="D56" s="1" t="s">
        <v>59</v>
      </c>
      <c r="F56" s="16" t="str">
        <f>ifna(VLOOKUP($A56,ConstantsUnits!$A:$C,3,false),"")</f>
        <v>ClassicalElectronRadius</v>
      </c>
      <c r="G56" s="17" t="str">
        <f t="shared" si="1"/>
        <v>2.8179403227e-15</v>
      </c>
      <c r="H56" s="17">
        <f t="shared" si="2"/>
        <v>0</v>
      </c>
      <c r="I56" s="17" t="str">
        <f t="shared" si="3"/>
        <v>0.0000000019e-15</v>
      </c>
      <c r="J56" s="17">
        <f t="shared" si="4"/>
        <v>0</v>
      </c>
      <c r="K56" s="17" t="b">
        <f t="shared" si="5"/>
        <v>0</v>
      </c>
      <c r="L56" s="16" t="str">
        <f>IFERROR(__xludf.DUMMYFUNCTION("if(regexmatch(B56,""e(.*)$""),regexextract(B56,""e(.*)$""),"""")"),"-15")</f>
        <v>-15</v>
      </c>
      <c r="M56" s="18"/>
      <c r="N56" s="18">
        <f>countif(ConstantsUnits!C:C,F56)</f>
        <v>1</v>
      </c>
      <c r="O56" s="16" t="str">
        <f>ifna(VLOOKUP(A56,ConstantsUnits!A:A,1,false),"")</f>
        <v>classical electron radius</v>
      </c>
    </row>
    <row r="57">
      <c r="A57" s="1" t="s">
        <v>259</v>
      </c>
      <c r="B57" s="1" t="s">
        <v>1828</v>
      </c>
      <c r="C57" s="1" t="s">
        <v>1829</v>
      </c>
      <c r="D57" s="1" t="s">
        <v>59</v>
      </c>
      <c r="F57" s="16" t="str">
        <f>ifna(VLOOKUP($A57,ConstantsUnits!$A:$C,3,false),"")</f>
        <v>ComptonWavelength</v>
      </c>
      <c r="G57" s="17" t="str">
        <f t="shared" si="1"/>
        <v>2.4263102367e-12</v>
      </c>
      <c r="H57" s="17">
        <f t="shared" si="2"/>
        <v>0</v>
      </c>
      <c r="I57" s="17" t="str">
        <f t="shared" si="3"/>
        <v>0.0000000011e-12</v>
      </c>
      <c r="J57" s="17">
        <f t="shared" si="4"/>
        <v>0</v>
      </c>
      <c r="K57" s="17" t="b">
        <f t="shared" si="5"/>
        <v>0</v>
      </c>
      <c r="L57" s="16" t="str">
        <f>IFERROR(__xludf.DUMMYFUNCTION("if(regexmatch(B57,""e(.*)$""),regexextract(B57,""e(.*)$""),"""")"),"-12")</f>
        <v>-12</v>
      </c>
      <c r="M57" s="18"/>
      <c r="N57" s="18">
        <f>countif(ConstantsUnits!C:C,F57)</f>
        <v>1</v>
      </c>
      <c r="O57" s="16" t="str">
        <f>ifna(VLOOKUP(A57,ConstantsUnits!A:A,1,false),"")</f>
        <v>Compton wavelength</v>
      </c>
    </row>
    <row r="58">
      <c r="A58" s="1" t="s">
        <v>1830</v>
      </c>
      <c r="B58" s="1" t="s">
        <v>1831</v>
      </c>
      <c r="C58" s="1" t="s">
        <v>1832</v>
      </c>
      <c r="D58" s="1" t="s">
        <v>59</v>
      </c>
      <c r="F58" s="3" t="s">
        <v>267</v>
      </c>
      <c r="G58" s="17" t="str">
        <f t="shared" si="1"/>
        <v>386.15926764e-15</v>
      </c>
      <c r="H58" s="17">
        <f t="shared" si="2"/>
        <v>0</v>
      </c>
      <c r="I58" s="17" t="str">
        <f t="shared" si="3"/>
        <v>0.00000018e-15</v>
      </c>
      <c r="J58" s="17">
        <f t="shared" si="4"/>
        <v>0</v>
      </c>
      <c r="K58" s="17" t="b">
        <f t="shared" si="5"/>
        <v>0</v>
      </c>
      <c r="L58" s="16" t="str">
        <f>IFERROR(__xludf.DUMMYFUNCTION("if(regexmatch(B58,""e(.*)$""),regexextract(B58,""e(.*)$""),"""")"),"-15")</f>
        <v>-15</v>
      </c>
      <c r="M58" s="18"/>
      <c r="N58" s="18">
        <f>countif(ConstantsUnits!C:C,F58)</f>
        <v>1</v>
      </c>
      <c r="O58" s="16" t="str">
        <f>ifna(VLOOKUP(A58,ConstantsUnits!A:A,1,false),"")</f>
        <v/>
      </c>
    </row>
    <row r="59">
      <c r="A59" s="1" t="s">
        <v>262</v>
      </c>
      <c r="B59" s="1" t="s">
        <v>1833</v>
      </c>
      <c r="C59" s="1" t="s">
        <v>1834</v>
      </c>
      <c r="D59" s="1" t="s">
        <v>263</v>
      </c>
      <c r="F59" s="16" t="str">
        <f>ifna(VLOOKUP($A59,ConstantsUnits!$A:$C,3,false),"")</f>
        <v>ConductanceQuantum</v>
      </c>
      <c r="G59" s="17" t="str">
        <f t="shared" si="1"/>
        <v>7.7480917310e-5</v>
      </c>
      <c r="H59" s="17">
        <f t="shared" si="2"/>
        <v>0.00007748091731</v>
      </c>
      <c r="I59" s="17" t="str">
        <f t="shared" si="3"/>
        <v>0.0000000018e-5</v>
      </c>
      <c r="J59" s="17">
        <f t="shared" si="4"/>
        <v>0</v>
      </c>
      <c r="K59" s="17" t="b">
        <f t="shared" si="5"/>
        <v>0</v>
      </c>
      <c r="L59" s="16" t="str">
        <f>IFERROR(__xludf.DUMMYFUNCTION("if(regexmatch(B59,""e(.*)$""),regexextract(B59,""e(.*)$""),"""")"),"-5")</f>
        <v>-5</v>
      </c>
      <c r="M59" s="18"/>
      <c r="N59" s="18">
        <f>countif(ConstantsUnits!C:C,F59)</f>
        <v>1</v>
      </c>
      <c r="O59" s="16" t="str">
        <f>ifna(VLOOKUP(A59,ConstantsUnits!A:A,1,false),"")</f>
        <v>conductance quantum</v>
      </c>
    </row>
    <row r="60">
      <c r="A60" s="1" t="s">
        <v>279</v>
      </c>
      <c r="B60" s="1" t="s">
        <v>1297</v>
      </c>
      <c r="C60" s="1" t="s">
        <v>1232</v>
      </c>
      <c r="D60" s="1" t="s">
        <v>280</v>
      </c>
      <c r="F60" s="16" t="str">
        <f>ifna(VLOOKUP($A60,ConstantsUnits!$A:$C,3,false),"")</f>
        <v>ConventionalValueOfJosephsonConstant</v>
      </c>
      <c r="G60" s="17" t="str">
        <f t="shared" si="1"/>
        <v>483597.9e9</v>
      </c>
      <c r="H60" s="17">
        <f t="shared" si="2"/>
        <v>483597900000000</v>
      </c>
      <c r="I60" s="17" t="str">
        <f t="shared" si="3"/>
        <v>(exact)</v>
      </c>
      <c r="J60" s="17" t="str">
        <f t="shared" si="4"/>
        <v/>
      </c>
      <c r="K60" s="17" t="b">
        <f t="shared" si="5"/>
        <v>0</v>
      </c>
      <c r="L60" s="16" t="str">
        <f>IFERROR(__xludf.DUMMYFUNCTION("if(regexmatch(B60,""e(.*)$""),regexextract(B60,""e(.*)$""),"""")"),"9")</f>
        <v>9</v>
      </c>
      <c r="M60" s="18"/>
      <c r="N60" s="18">
        <f>countif(ConstantsUnits!C:C,F60)</f>
        <v>1</v>
      </c>
      <c r="O60" s="16" t="str">
        <f>ifna(VLOOKUP(A60,ConstantsUnits!A:A,1,false),"")</f>
        <v>conventional value of Josephson constant</v>
      </c>
    </row>
    <row r="61">
      <c r="A61" s="1" t="s">
        <v>288</v>
      </c>
      <c r="B61" s="1" t="s">
        <v>1299</v>
      </c>
      <c r="C61" s="1" t="s">
        <v>1232</v>
      </c>
      <c r="D61" s="1" t="s">
        <v>252</v>
      </c>
      <c r="F61" s="16" t="str">
        <f>ifna(VLOOKUP($A61,ConstantsUnits!$A:$C,3,false),"")</f>
        <v>ConventionalValueOfVonKlitzingConstant</v>
      </c>
      <c r="G61" s="17" t="str">
        <f t="shared" si="1"/>
        <v>25812.807</v>
      </c>
      <c r="H61" s="17">
        <f t="shared" si="2"/>
        <v>25812.807</v>
      </c>
      <c r="I61" s="17" t="str">
        <f t="shared" si="3"/>
        <v>(exact)</v>
      </c>
      <c r="J61" s="17" t="str">
        <f t="shared" si="4"/>
        <v/>
      </c>
      <c r="K61" s="17" t="b">
        <f t="shared" si="5"/>
        <v>0</v>
      </c>
      <c r="L61" s="16" t="str">
        <f>IFERROR(__xludf.DUMMYFUNCTION("if(regexmatch(B61,""e(.*)$""),regexextract(B61,""e(.*)$""),"""")"),"")</f>
        <v/>
      </c>
      <c r="M61" s="18"/>
      <c r="N61" s="18">
        <f>countif(ConstantsUnits!C:C,F61)</f>
        <v>1</v>
      </c>
      <c r="O61" s="16" t="str">
        <f>ifna(VLOOKUP(A61,ConstantsUnits!A:A,1,false),"")</f>
        <v>conventional value of von Klitzing constant</v>
      </c>
    </row>
    <row r="62">
      <c r="A62" s="1" t="s">
        <v>1835</v>
      </c>
      <c r="B62" s="1" t="s">
        <v>1301</v>
      </c>
      <c r="C62" s="1" t="s">
        <v>1302</v>
      </c>
      <c r="D62" s="1" t="s">
        <v>59</v>
      </c>
      <c r="F62" s="1" t="s">
        <v>295</v>
      </c>
      <c r="G62" s="17" t="str">
        <f t="shared" si="1"/>
        <v>1.00207697e-13</v>
      </c>
      <c r="H62" s="17">
        <f t="shared" si="2"/>
        <v>0</v>
      </c>
      <c r="I62" s="17" t="str">
        <f t="shared" si="3"/>
        <v>0.00000028e-13</v>
      </c>
      <c r="J62" s="17">
        <f t="shared" si="4"/>
        <v>0</v>
      </c>
      <c r="K62" s="17" t="b">
        <f t="shared" si="5"/>
        <v>0</v>
      </c>
      <c r="L62" s="16" t="str">
        <f>IFERROR(__xludf.DUMMYFUNCTION("if(regexmatch(B62,""e(.*)$""),regexextract(B62,""e(.*)$""),"""")"),"-13")</f>
        <v>-13</v>
      </c>
      <c r="M62" s="18"/>
      <c r="N62" s="18">
        <f>countif(ConstantsUnits!C:C,F62)</f>
        <v>1</v>
      </c>
      <c r="O62" s="16" t="str">
        <f>ifna(VLOOKUP(A62,ConstantsUnits!A:A,1,false),"")</f>
        <v/>
      </c>
    </row>
    <row r="63">
      <c r="A63" s="1" t="s">
        <v>297</v>
      </c>
      <c r="B63" s="1" t="s">
        <v>1836</v>
      </c>
      <c r="C63" s="1" t="s">
        <v>1837</v>
      </c>
      <c r="F63" s="16" t="str">
        <f>ifna(VLOOKUP($A63,ConstantsUnits!$A:$C,3,false),"")</f>
        <v>DeuteronElectronMagneticMomentRatio</v>
      </c>
      <c r="G63" s="17" t="str">
        <f t="shared" si="1"/>
        <v>-4.664345535e-4</v>
      </c>
      <c r="H63" s="17">
        <f t="shared" si="2"/>
        <v>-0.0004664345535</v>
      </c>
      <c r="I63" s="17" t="str">
        <f t="shared" si="3"/>
        <v>0.000000026e-4</v>
      </c>
      <c r="J63" s="17">
        <f t="shared" si="4"/>
        <v>0</v>
      </c>
      <c r="K63" s="17" t="b">
        <f t="shared" si="5"/>
        <v>0</v>
      </c>
      <c r="L63" s="16" t="str">
        <f>IFERROR(__xludf.DUMMYFUNCTION("if(regexmatch(B63,""e(.*)$""),regexextract(B63,""e(.*)$""),"""")"),"-4")</f>
        <v>-4</v>
      </c>
      <c r="M63" s="18"/>
      <c r="N63" s="18">
        <f>countif(ConstantsUnits!C:C,F63)</f>
        <v>1</v>
      </c>
      <c r="O63" s="16" t="str">
        <f>ifna(VLOOKUP(A63,ConstantsUnits!A:A,1,false),"")</f>
        <v>deuteron-electron mag. mom. ratio</v>
      </c>
    </row>
    <row r="64">
      <c r="A64" s="1" t="s">
        <v>300</v>
      </c>
      <c r="B64" s="1" t="s">
        <v>1838</v>
      </c>
      <c r="C64" s="1" t="s">
        <v>1306</v>
      </c>
      <c r="F64" s="16" t="str">
        <f>ifna(VLOOKUP($A64,ConstantsUnits!$A:$C,3,false),"")</f>
        <v>DeuteronElectronMassRatio</v>
      </c>
      <c r="G64" s="17" t="str">
        <f t="shared" si="1"/>
        <v>3670.48296785</v>
      </c>
      <c r="H64" s="17">
        <f t="shared" si="2"/>
        <v>3670.482968</v>
      </c>
      <c r="I64" s="17" t="str">
        <f t="shared" si="3"/>
        <v>0.00000013</v>
      </c>
      <c r="J64" s="17">
        <f t="shared" si="4"/>
        <v>0.00000013</v>
      </c>
      <c r="K64" s="17" t="b">
        <f t="shared" si="5"/>
        <v>0</v>
      </c>
      <c r="L64" s="16" t="str">
        <f>IFERROR(__xludf.DUMMYFUNCTION("if(regexmatch(B64,""e(.*)$""),regexextract(B64,""e(.*)$""),"""")"),"")</f>
        <v/>
      </c>
      <c r="M64" s="18"/>
      <c r="N64" s="18">
        <f>countif(ConstantsUnits!C:C,F64)</f>
        <v>1</v>
      </c>
      <c r="O64" s="16" t="str">
        <f>ifna(VLOOKUP(A64,ConstantsUnits!A:A,1,false),"")</f>
        <v>deuteron-electron mass ratio</v>
      </c>
    </row>
    <row r="65">
      <c r="A65" s="1" t="s">
        <v>303</v>
      </c>
      <c r="B65" s="1" t="s">
        <v>1839</v>
      </c>
      <c r="C65" s="1" t="s">
        <v>1840</v>
      </c>
      <c r="F65" s="16" t="str">
        <f>ifna(VLOOKUP($A65,ConstantsUnits!$A:$C,3,false),"")</f>
        <v>DeuteronGFactor</v>
      </c>
      <c r="G65" s="17" t="str">
        <f t="shared" si="1"/>
        <v>0.8574382311</v>
      </c>
      <c r="H65" s="17">
        <f t="shared" si="2"/>
        <v>0.8574382311</v>
      </c>
      <c r="I65" s="17" t="str">
        <f t="shared" si="3"/>
        <v>0.0000000048</v>
      </c>
      <c r="J65" s="17">
        <f t="shared" si="4"/>
        <v>0.0000000048</v>
      </c>
      <c r="K65" s="17" t="b">
        <f t="shared" si="5"/>
        <v>0</v>
      </c>
      <c r="L65" s="16" t="str">
        <f>IFERROR(__xludf.DUMMYFUNCTION("if(regexmatch(B65,""e(.*)$""),regexextract(B65,""e(.*)$""),"""")"),"")</f>
        <v/>
      </c>
      <c r="M65" s="18"/>
      <c r="N65" s="18">
        <f>countif(ConstantsUnits!C:C,F65)</f>
        <v>1</v>
      </c>
      <c r="O65" s="16" t="str">
        <f>ifna(VLOOKUP(A65,ConstantsUnits!A:A,1,false),"")</f>
        <v>deuteron g factor</v>
      </c>
    </row>
    <row r="66">
      <c r="A66" s="1" t="s">
        <v>306</v>
      </c>
      <c r="B66" s="1" t="s">
        <v>1841</v>
      </c>
      <c r="C66" s="1" t="s">
        <v>1842</v>
      </c>
      <c r="D66" s="1" t="s">
        <v>165</v>
      </c>
      <c r="F66" s="16" t="str">
        <f>ifna(VLOOKUP($A66,ConstantsUnits!$A:$C,3,false),"")</f>
        <v>DeuteronMagneticMoment</v>
      </c>
      <c r="G66" s="17" t="str">
        <f t="shared" si="1"/>
        <v>0.4330735040e-26</v>
      </c>
      <c r="H66" s="17">
        <f t="shared" si="2"/>
        <v>0</v>
      </c>
      <c r="I66" s="17" t="str">
        <f t="shared" si="3"/>
        <v>0.0000000036e-26</v>
      </c>
      <c r="J66" s="17">
        <f t="shared" si="4"/>
        <v>0</v>
      </c>
      <c r="K66" s="17" t="b">
        <f t="shared" si="5"/>
        <v>0</v>
      </c>
      <c r="L66" s="16" t="str">
        <f>IFERROR(__xludf.DUMMYFUNCTION("if(regexmatch(B66,""e(.*)$""),regexextract(B66,""e(.*)$""),"""")"),"-26")</f>
        <v>-26</v>
      </c>
      <c r="M66" s="18"/>
      <c r="N66" s="18">
        <f>countif(ConstantsUnits!C:C,F66)</f>
        <v>1</v>
      </c>
      <c r="O66" s="16" t="str">
        <f>ifna(VLOOKUP(A66,ConstantsUnits!A:A,1,false),"")</f>
        <v>deuteron mag. mom.</v>
      </c>
    </row>
    <row r="67">
      <c r="A67" s="1" t="s">
        <v>309</v>
      </c>
      <c r="B67" s="1" t="s">
        <v>1843</v>
      </c>
      <c r="C67" s="1" t="s">
        <v>1844</v>
      </c>
      <c r="F67" s="16" t="str">
        <f>ifna(VLOOKUP($A67,ConstantsUnits!$A:$C,3,false),"")</f>
        <v>DeuteronMagneticMomentToBohrMagnetonRatio</v>
      </c>
      <c r="G67" s="17" t="str">
        <f t="shared" si="1"/>
        <v>0.4669754554e-3</v>
      </c>
      <c r="H67" s="17">
        <f t="shared" si="2"/>
        <v>0.0004669754554</v>
      </c>
      <c r="I67" s="17" t="str">
        <f t="shared" si="3"/>
        <v>0.0000000026e-3</v>
      </c>
      <c r="J67" s="17">
        <f t="shared" si="4"/>
        <v>0</v>
      </c>
      <c r="K67" s="17" t="b">
        <f t="shared" si="5"/>
        <v>0</v>
      </c>
      <c r="L67" s="16" t="str">
        <f>IFERROR(__xludf.DUMMYFUNCTION("if(regexmatch(B67,""e(.*)$""),regexextract(B67,""e(.*)$""),"""")"),"-3")</f>
        <v>-3</v>
      </c>
      <c r="M67" s="18"/>
      <c r="N67" s="18">
        <f>countif(ConstantsUnits!C:C,F67)</f>
        <v>1</v>
      </c>
      <c r="O67" s="16" t="str">
        <f>ifna(VLOOKUP(A67,ConstantsUnits!A:A,1,false),"")</f>
        <v>deuteron mag. mom. to Bohr magneton ratio</v>
      </c>
    </row>
    <row r="68">
      <c r="A68" s="1" t="s">
        <v>312</v>
      </c>
      <c r="B68" s="1" t="s">
        <v>1839</v>
      </c>
      <c r="C68" s="1" t="s">
        <v>1840</v>
      </c>
      <c r="F68" s="16" t="str">
        <f>ifna(VLOOKUP($A68,ConstantsUnits!$A:$C,3,false),"")</f>
        <v>DeuteronMagneticMomentToNuclearMagnetonRatio</v>
      </c>
      <c r="G68" s="17" t="str">
        <f t="shared" si="1"/>
        <v>0.8574382311</v>
      </c>
      <c r="H68" s="17">
        <f t="shared" si="2"/>
        <v>0.8574382311</v>
      </c>
      <c r="I68" s="17" t="str">
        <f t="shared" si="3"/>
        <v>0.0000000048</v>
      </c>
      <c r="J68" s="17">
        <f t="shared" si="4"/>
        <v>0.0000000048</v>
      </c>
      <c r="K68" s="17" t="b">
        <f t="shared" si="5"/>
        <v>0</v>
      </c>
      <c r="L68" s="16" t="str">
        <f>IFERROR(__xludf.DUMMYFUNCTION("if(regexmatch(B68,""e(.*)$""),regexextract(B68,""e(.*)$""),"""")"),"")</f>
        <v/>
      </c>
      <c r="M68" s="18"/>
      <c r="N68" s="18">
        <f>countif(ConstantsUnits!C:C,F68)</f>
        <v>1</v>
      </c>
      <c r="O68" s="16" t="str">
        <f>ifna(VLOOKUP(A68,ConstantsUnits!A:A,1,false),"")</f>
        <v>deuteron mag. mom. to nuclear magneton ratio</v>
      </c>
    </row>
    <row r="69">
      <c r="A69" s="1" t="s">
        <v>315</v>
      </c>
      <c r="B69" s="1" t="s">
        <v>1845</v>
      </c>
      <c r="C69" s="1" t="s">
        <v>1846</v>
      </c>
      <c r="D69" s="1" t="s">
        <v>38</v>
      </c>
      <c r="F69" s="16" t="str">
        <f>ifna(VLOOKUP($A69,ConstantsUnits!$A:$C,3,false),"")</f>
        <v>DeuteronMass</v>
      </c>
      <c r="G69" s="17" t="str">
        <f t="shared" si="1"/>
        <v>3.343583719e-27</v>
      </c>
      <c r="H69" s="17">
        <f t="shared" si="2"/>
        <v>0</v>
      </c>
      <c r="I69" s="17" t="str">
        <f t="shared" si="3"/>
        <v>0.000000041e-27</v>
      </c>
      <c r="J69" s="17">
        <f t="shared" si="4"/>
        <v>0</v>
      </c>
      <c r="K69" s="17" t="b">
        <f t="shared" si="5"/>
        <v>0</v>
      </c>
      <c r="L69" s="16" t="str">
        <f>IFERROR(__xludf.DUMMYFUNCTION("if(regexmatch(B69,""e(.*)$""),regexextract(B69,""e(.*)$""),"""")"),"-27")</f>
        <v>-27</v>
      </c>
      <c r="M69" s="18"/>
      <c r="N69" s="18">
        <f>countif(ConstantsUnits!C:C,F69)</f>
        <v>1</v>
      </c>
      <c r="O69" s="16" t="str">
        <f>ifna(VLOOKUP(A69,ConstantsUnits!A:A,1,false),"")</f>
        <v>deuteron mass</v>
      </c>
    </row>
    <row r="70">
      <c r="A70" s="1" t="s">
        <v>318</v>
      </c>
      <c r="B70" s="1" t="s">
        <v>1847</v>
      </c>
      <c r="C70" s="1" t="s">
        <v>1848</v>
      </c>
      <c r="D70" s="1" t="s">
        <v>41</v>
      </c>
      <c r="F70" s="16" t="str">
        <f>ifna(VLOOKUP($A70,ConstantsUnits!$A:$C,3,false),"")</f>
        <v>DeuteronMassEnergyEquivalent</v>
      </c>
      <c r="G70" s="17" t="str">
        <f t="shared" si="1"/>
        <v>3.005063183e-10</v>
      </c>
      <c r="H70" s="17">
        <f t="shared" si="2"/>
        <v>0.0000000003005063183</v>
      </c>
      <c r="I70" s="17" t="str">
        <f t="shared" si="3"/>
        <v>0.000000037e-10</v>
      </c>
      <c r="J70" s="17">
        <f t="shared" si="4"/>
        <v>0</v>
      </c>
      <c r="K70" s="17" t="b">
        <f t="shared" si="5"/>
        <v>0</v>
      </c>
      <c r="L70" s="16" t="str">
        <f>IFERROR(__xludf.DUMMYFUNCTION("if(regexmatch(B70,""e(.*)$""),regexextract(B70,""e(.*)$""),"""")"),"-10")</f>
        <v>-10</v>
      </c>
      <c r="M70" s="18"/>
      <c r="N70" s="18">
        <f>countif(ConstantsUnits!C:C,F70)</f>
        <v>1</v>
      </c>
      <c r="O70" s="16" t="str">
        <f>ifna(VLOOKUP(A70,ConstantsUnits!A:A,1,false),"")</f>
        <v>deuteron mass energy equivalent</v>
      </c>
    </row>
    <row r="71">
      <c r="A71" s="1" t="s">
        <v>321</v>
      </c>
      <c r="B71" s="1" t="s">
        <v>1849</v>
      </c>
      <c r="C71" s="1" t="s">
        <v>1850</v>
      </c>
      <c r="D71" s="1" t="s">
        <v>45</v>
      </c>
      <c r="F71" s="16" t="str">
        <f>ifna(VLOOKUP($A71,ConstantsUnits!$A:$C,3,false),"")</f>
        <v>DeuteronMassEnergyEquivalentInMeV</v>
      </c>
      <c r="G71" s="17" t="str">
        <f t="shared" si="1"/>
        <v>1875.612928</v>
      </c>
      <c r="H71" s="17">
        <f t="shared" si="2"/>
        <v>1875.612928</v>
      </c>
      <c r="I71" s="17" t="str">
        <f t="shared" si="3"/>
        <v>0.000012</v>
      </c>
      <c r="J71" s="17">
        <f t="shared" si="4"/>
        <v>0.000012</v>
      </c>
      <c r="K71" s="17" t="b">
        <f t="shared" si="5"/>
        <v>0</v>
      </c>
      <c r="L71" s="16" t="str">
        <f>IFERROR(__xludf.DUMMYFUNCTION("if(regexmatch(B71,""e(.*)$""),regexextract(B71,""e(.*)$""),"""")"),"")</f>
        <v/>
      </c>
      <c r="M71" s="18"/>
      <c r="N71" s="18">
        <f>countif(ConstantsUnits!C:C,F71)</f>
        <v>1</v>
      </c>
      <c r="O71" s="16" t="str">
        <f>ifna(VLOOKUP(A71,ConstantsUnits!A:A,1,false),"")</f>
        <v>deuteron mass energy equivalent in MeV</v>
      </c>
    </row>
    <row r="72">
      <c r="A72" s="1" t="s">
        <v>323</v>
      </c>
      <c r="B72" s="1" t="s">
        <v>1318</v>
      </c>
      <c r="C72" s="1" t="s">
        <v>1319</v>
      </c>
      <c r="D72" s="1" t="s">
        <v>48</v>
      </c>
      <c r="F72" s="16" t="str">
        <f>ifna(VLOOKUP($A72,ConstantsUnits!$A:$C,3,false),"")</f>
        <v>DeuteronMassInAtomicMassUnit</v>
      </c>
      <c r="G72" s="17" t="str">
        <f t="shared" si="1"/>
        <v>2.013553212745</v>
      </c>
      <c r="H72" s="17">
        <f t="shared" si="2"/>
        <v>2.013553213</v>
      </c>
      <c r="I72" s="17" t="str">
        <f t="shared" si="3"/>
        <v>0.000000000040</v>
      </c>
      <c r="J72" s="17">
        <f t="shared" si="4"/>
        <v>0</v>
      </c>
      <c r="K72" s="17" t="b">
        <f t="shared" si="5"/>
        <v>0</v>
      </c>
      <c r="L72" s="16" t="str">
        <f>IFERROR(__xludf.DUMMYFUNCTION("if(regexmatch(B72,""e(.*)$""),regexextract(B72,""e(.*)$""),"""")"),"")</f>
        <v/>
      </c>
      <c r="M72" s="18"/>
      <c r="N72" s="18">
        <f>countif(ConstantsUnits!C:C,F72)</f>
        <v>1</v>
      </c>
      <c r="O72" s="16" t="str">
        <f>ifna(VLOOKUP(A72,ConstantsUnits!A:A,1,false),"")</f>
        <v>deuteron mass in u</v>
      </c>
    </row>
    <row r="73">
      <c r="A73" s="1" t="s">
        <v>326</v>
      </c>
      <c r="B73" s="1" t="s">
        <v>1851</v>
      </c>
      <c r="C73" s="1" t="s">
        <v>1852</v>
      </c>
      <c r="D73" s="1" t="s">
        <v>51</v>
      </c>
      <c r="F73" s="16" t="str">
        <f>ifna(VLOOKUP($A73,ConstantsUnits!$A:$C,3,false),"")</f>
        <v>DeuteronMolarMass</v>
      </c>
      <c r="G73" s="17" t="str">
        <f t="shared" si="1"/>
        <v>2.013553212745e-3</v>
      </c>
      <c r="H73" s="17">
        <f t="shared" si="2"/>
        <v>0.002013553213</v>
      </c>
      <c r="I73" s="17" t="str">
        <f t="shared" si="3"/>
        <v>0.000000000040e-3</v>
      </c>
      <c r="J73" s="17">
        <f t="shared" si="4"/>
        <v>0</v>
      </c>
      <c r="K73" s="17" t="b">
        <f t="shared" si="5"/>
        <v>0</v>
      </c>
      <c r="L73" s="16" t="str">
        <f>IFERROR(__xludf.DUMMYFUNCTION("if(regexmatch(B73,""e(.*)$""),regexextract(B73,""e(.*)$""),"""")"),"-3")</f>
        <v>-3</v>
      </c>
      <c r="M73" s="18"/>
      <c r="N73" s="18">
        <f>countif(ConstantsUnits!C:C,F73)</f>
        <v>1</v>
      </c>
      <c r="O73" s="16" t="str">
        <f>ifna(VLOOKUP(A73,ConstantsUnits!A:A,1,false),"")</f>
        <v>deuteron molar mass</v>
      </c>
    </row>
    <row r="74">
      <c r="A74" s="1" t="s">
        <v>330</v>
      </c>
      <c r="B74" s="1" t="s">
        <v>1853</v>
      </c>
      <c r="C74" s="1" t="s">
        <v>1323</v>
      </c>
      <c r="F74" s="16" t="str">
        <f>ifna(VLOOKUP($A74,ConstantsUnits!$A:$C,3,false),"")</f>
        <v>DeuteronNeutronMagneticMomentRatio</v>
      </c>
      <c r="G74" s="17" t="str">
        <f t="shared" si="1"/>
        <v>-0.44820652</v>
      </c>
      <c r="H74" s="17">
        <f t="shared" si="2"/>
        <v>-0.44820652</v>
      </c>
      <c r="I74" s="17" t="str">
        <f t="shared" si="3"/>
        <v>0.00000011</v>
      </c>
      <c r="J74" s="17">
        <f t="shared" si="4"/>
        <v>0.00000011</v>
      </c>
      <c r="K74" s="17" t="b">
        <f t="shared" si="5"/>
        <v>0</v>
      </c>
      <c r="L74" s="16" t="str">
        <f>IFERROR(__xludf.DUMMYFUNCTION("if(regexmatch(B74,""e(.*)$""),regexextract(B74,""e(.*)$""),"""")"),"")</f>
        <v/>
      </c>
      <c r="M74" s="18"/>
      <c r="N74" s="18">
        <f>countif(ConstantsUnits!C:C,F74)</f>
        <v>1</v>
      </c>
      <c r="O74" s="16" t="str">
        <f>ifna(VLOOKUP(A74,ConstantsUnits!A:A,1,false),"")</f>
        <v>deuteron-neutron mag. mom. ratio</v>
      </c>
    </row>
    <row r="75">
      <c r="A75" s="1" t="s">
        <v>333</v>
      </c>
      <c r="B75" s="1" t="s">
        <v>1854</v>
      </c>
      <c r="C75" s="1" t="s">
        <v>1855</v>
      </c>
      <c r="F75" s="16" t="str">
        <f>ifna(VLOOKUP($A75,ConstantsUnits!$A:$C,3,false),"")</f>
        <v>DeuteronProtonMagneticMomentRatio</v>
      </c>
      <c r="G75" s="17" t="str">
        <f t="shared" si="1"/>
        <v>0.3070122077</v>
      </c>
      <c r="H75" s="17">
        <f t="shared" si="2"/>
        <v>0.3070122077</v>
      </c>
      <c r="I75" s="17" t="str">
        <f t="shared" si="3"/>
        <v>0.0000000015</v>
      </c>
      <c r="J75" s="17">
        <f t="shared" si="4"/>
        <v>0.0000000015</v>
      </c>
      <c r="K75" s="17" t="b">
        <f t="shared" si="5"/>
        <v>0</v>
      </c>
      <c r="L75" s="16" t="str">
        <f>IFERROR(__xludf.DUMMYFUNCTION("if(regexmatch(B75,""e(.*)$""),regexextract(B75,""e(.*)$""),"""")"),"")</f>
        <v/>
      </c>
      <c r="M75" s="18"/>
      <c r="N75" s="18">
        <f>countif(ConstantsUnits!C:C,F75)</f>
        <v>1</v>
      </c>
      <c r="O75" s="16" t="str">
        <f>ifna(VLOOKUP(A75,ConstantsUnits!A:A,1,false),"")</f>
        <v>deuteron-proton mag. mom. ratio</v>
      </c>
    </row>
    <row r="76">
      <c r="A76" s="1" t="s">
        <v>336</v>
      </c>
      <c r="B76" s="1" t="s">
        <v>1856</v>
      </c>
      <c r="C76" s="1" t="s">
        <v>1857</v>
      </c>
      <c r="F76" s="16" t="str">
        <f>ifna(VLOOKUP($A76,ConstantsUnits!$A:$C,3,false),"")</f>
        <v>DeuteronProtonMassRatio</v>
      </c>
      <c r="G76" s="17" t="str">
        <f t="shared" si="1"/>
        <v>1.99900750087</v>
      </c>
      <c r="H76" s="17">
        <f t="shared" si="2"/>
        <v>1.999007501</v>
      </c>
      <c r="I76" s="17" t="str">
        <f t="shared" si="3"/>
        <v>0.00000000019</v>
      </c>
      <c r="J76" s="17">
        <f t="shared" si="4"/>
        <v>0.00000000019</v>
      </c>
      <c r="K76" s="17" t="b">
        <f t="shared" si="5"/>
        <v>0</v>
      </c>
      <c r="L76" s="16" t="str">
        <f>IFERROR(__xludf.DUMMYFUNCTION("if(regexmatch(B76,""e(.*)$""),regexextract(B76,""e(.*)$""),"""")"),"")</f>
        <v/>
      </c>
      <c r="M76" s="18"/>
      <c r="N76" s="18">
        <f>countif(ConstantsUnits!C:C,F76)</f>
        <v>1</v>
      </c>
      <c r="O76" s="16" t="str">
        <f>ifna(VLOOKUP(A76,ConstantsUnits!A:A,1,false),"")</f>
        <v>deuteron-proton mass ratio</v>
      </c>
    </row>
    <row r="77">
      <c r="A77" s="1" t="s">
        <v>341</v>
      </c>
      <c r="B77" s="19" t="s">
        <v>1858</v>
      </c>
      <c r="C77" s="19" t="s">
        <v>1859</v>
      </c>
      <c r="D77" s="1" t="s">
        <v>59</v>
      </c>
      <c r="F77" s="16" t="str">
        <f>ifna(VLOOKUP($A77,ConstantsUnits!$A:$C,3,false),"")</f>
        <v>DeuteronRmsChargeRadius</v>
      </c>
      <c r="G77" s="17" t="str">
        <f t="shared" si="1"/>
        <v>2.1413e-15</v>
      </c>
      <c r="H77" s="17">
        <f t="shared" si="2"/>
        <v>0</v>
      </c>
      <c r="I77" s="17" t="str">
        <f t="shared" si="3"/>
        <v>0.0025e-15</v>
      </c>
      <c r="J77" s="17">
        <f t="shared" si="4"/>
        <v>0</v>
      </c>
      <c r="K77" s="17" t="b">
        <f t="shared" si="5"/>
        <v>0</v>
      </c>
      <c r="L77" s="16" t="str">
        <f>IFERROR(__xludf.DUMMYFUNCTION("if(regexmatch(B77,""e(.*)$""),regexextract(B77,""e(.*)$""),"""")"),"-15")</f>
        <v>-15</v>
      </c>
      <c r="M77" s="18"/>
      <c r="N77" s="18">
        <f>countif(ConstantsUnits!C:C,F77)</f>
        <v>1</v>
      </c>
      <c r="O77" s="16" t="str">
        <f>ifna(VLOOKUP(A77,ConstantsUnits!A:A,1,false),"")</f>
        <v>deuteron rms charge radius</v>
      </c>
    </row>
    <row r="78">
      <c r="A78" s="1" t="s">
        <v>1860</v>
      </c>
      <c r="B78" s="1" t="s">
        <v>1861</v>
      </c>
      <c r="C78" s="1" t="s">
        <v>1232</v>
      </c>
      <c r="D78" s="1" t="s">
        <v>187</v>
      </c>
      <c r="F78" s="1" t="s">
        <v>344</v>
      </c>
      <c r="G78" s="17" t="str">
        <f t="shared" si="1"/>
        <v>8.854187817e-12</v>
      </c>
      <c r="H78" s="17">
        <f t="shared" si="2"/>
        <v>0</v>
      </c>
      <c r="I78" s="17" t="str">
        <f t="shared" si="3"/>
        <v>(exact)</v>
      </c>
      <c r="J78" s="17" t="str">
        <f t="shared" si="4"/>
        <v/>
      </c>
      <c r="K78" s="17" t="b">
        <f t="shared" si="5"/>
        <v>1</v>
      </c>
      <c r="L78" s="16" t="str">
        <f>IFERROR(__xludf.DUMMYFUNCTION("if(regexmatch(B78,""e(.*)$""),regexextract(B78,""e(.*)$""),"""")"),"-12")</f>
        <v>-12</v>
      </c>
      <c r="M78" s="18"/>
      <c r="N78" s="18">
        <f>countif(ConstantsUnits!C:C,F78)</f>
        <v>1</v>
      </c>
      <c r="O78" s="16" t="str">
        <f>ifna(VLOOKUP(A78,ConstantsUnits!A:A,1,false),"")</f>
        <v/>
      </c>
    </row>
    <row r="79">
      <c r="A79" s="1" t="s">
        <v>346</v>
      </c>
      <c r="B79" s="1" t="s">
        <v>1862</v>
      </c>
      <c r="C79" s="1" t="s">
        <v>1863</v>
      </c>
      <c r="D79" s="1" t="s">
        <v>347</v>
      </c>
      <c r="F79" s="16" t="str">
        <f>ifna(VLOOKUP($A79,ConstantsUnits!$A:$C,3,false),"")</f>
        <v>ElectronChargeToMassQuotient</v>
      </c>
      <c r="G79" s="17" t="str">
        <f t="shared" si="1"/>
        <v>-1.758820024e11</v>
      </c>
      <c r="H79" s="17">
        <f t="shared" si="2"/>
        <v>-175882002400</v>
      </c>
      <c r="I79" s="17" t="str">
        <f t="shared" si="3"/>
        <v>0.000000011e11</v>
      </c>
      <c r="J79" s="17">
        <f t="shared" si="4"/>
        <v>1100</v>
      </c>
      <c r="K79" s="17" t="b">
        <f t="shared" si="5"/>
        <v>0</v>
      </c>
      <c r="L79" s="16" t="str">
        <f>IFERROR(__xludf.DUMMYFUNCTION("if(regexmatch(B79,""e(.*)$""),regexextract(B79,""e(.*)$""),"""")"),"11")</f>
        <v>11</v>
      </c>
      <c r="M79" s="18"/>
      <c r="N79" s="18">
        <f>countif(ConstantsUnits!C:C,F79)</f>
        <v>1</v>
      </c>
      <c r="O79" s="16" t="str">
        <f>ifna(VLOOKUP(A79,ConstantsUnits!A:A,1,false),"")</f>
        <v>electron charge to mass quotient</v>
      </c>
    </row>
    <row r="80">
      <c r="A80" s="1" t="s">
        <v>351</v>
      </c>
      <c r="B80" s="1" t="s">
        <v>1864</v>
      </c>
      <c r="C80" s="1" t="s">
        <v>1850</v>
      </c>
      <c r="F80" s="16" t="str">
        <f>ifna(VLOOKUP($A80,ConstantsUnits!$A:$C,3,false),"")</f>
        <v>ElectronDeuteronMagneticMomentRatio</v>
      </c>
      <c r="G80" s="17" t="str">
        <f t="shared" si="1"/>
        <v>-2143.923499</v>
      </c>
      <c r="H80" s="17">
        <f t="shared" si="2"/>
        <v>-2143.923499</v>
      </c>
      <c r="I80" s="17" t="str">
        <f t="shared" si="3"/>
        <v>0.000012</v>
      </c>
      <c r="J80" s="17">
        <f t="shared" si="4"/>
        <v>0.000012</v>
      </c>
      <c r="K80" s="17" t="b">
        <f t="shared" si="5"/>
        <v>0</v>
      </c>
      <c r="L80" s="16" t="str">
        <f>IFERROR(__xludf.DUMMYFUNCTION("if(regexmatch(B80,""e(.*)$""),regexextract(B80,""e(.*)$""),"""")"),"")</f>
        <v/>
      </c>
      <c r="M80" s="18"/>
      <c r="N80" s="18">
        <f>countif(ConstantsUnits!C:C,F80)</f>
        <v>1</v>
      </c>
      <c r="O80" s="16" t="str">
        <f>ifna(VLOOKUP(A80,ConstantsUnits!A:A,1,false),"")</f>
        <v>electron-deuteron mag. mom. ratio</v>
      </c>
    </row>
    <row r="81">
      <c r="A81" s="1" t="s">
        <v>354</v>
      </c>
      <c r="B81" s="1" t="s">
        <v>1865</v>
      </c>
      <c r="C81" s="1" t="s">
        <v>1335</v>
      </c>
      <c r="F81" s="16" t="str">
        <f>ifna(VLOOKUP($A81,ConstantsUnits!$A:$C,3,false),"")</f>
        <v>ElectronDeuteronMassRatio</v>
      </c>
      <c r="G81" s="17" t="str">
        <f t="shared" si="1"/>
        <v>2.724437107484e-4</v>
      </c>
      <c r="H81" s="17">
        <f t="shared" si="2"/>
        <v>0.0002724437107</v>
      </c>
      <c r="I81" s="17" t="str">
        <f t="shared" si="3"/>
        <v>0.000000000096e-4</v>
      </c>
      <c r="J81" s="17">
        <f t="shared" si="4"/>
        <v>0</v>
      </c>
      <c r="K81" s="17" t="b">
        <f t="shared" si="5"/>
        <v>0</v>
      </c>
      <c r="L81" s="16" t="str">
        <f>IFERROR(__xludf.DUMMYFUNCTION("if(regexmatch(B81,""e(.*)$""),regexextract(B81,""e(.*)$""),"""")"),"-4")</f>
        <v>-4</v>
      </c>
      <c r="M81" s="18"/>
      <c r="N81" s="18">
        <f>countif(ConstantsUnits!C:C,F81)</f>
        <v>1</v>
      </c>
      <c r="O81" s="16" t="str">
        <f>ifna(VLOOKUP(A81,ConstantsUnits!A:A,1,false),"")</f>
        <v>electron-deuteron mass ratio</v>
      </c>
    </row>
    <row r="82">
      <c r="A82" s="1" t="s">
        <v>357</v>
      </c>
      <c r="B82" s="1" t="s">
        <v>1866</v>
      </c>
      <c r="C82" s="1" t="s">
        <v>1867</v>
      </c>
      <c r="F82" s="16" t="str">
        <f>ifna(VLOOKUP($A82,ConstantsUnits!$A:$C,3,false),"")</f>
        <v>ElectronGFactor</v>
      </c>
      <c r="G82" s="17" t="str">
        <f t="shared" si="1"/>
        <v>-2.00231930436182</v>
      </c>
      <c r="H82" s="17">
        <f t="shared" si="2"/>
        <v>-2.002319304</v>
      </c>
      <c r="I82" s="17" t="str">
        <f t="shared" si="3"/>
        <v>0.00000000000052</v>
      </c>
      <c r="J82" s="17">
        <f t="shared" si="4"/>
        <v>0</v>
      </c>
      <c r="K82" s="17" t="b">
        <f t="shared" si="5"/>
        <v>0</v>
      </c>
      <c r="L82" s="16" t="str">
        <f>IFERROR(__xludf.DUMMYFUNCTION("if(regexmatch(B82,""e(.*)$""),regexextract(B82,""e(.*)$""),"""")"),"")</f>
        <v/>
      </c>
      <c r="M82" s="18"/>
      <c r="N82" s="18">
        <f>countif(ConstantsUnits!C:C,F82)</f>
        <v>1</v>
      </c>
      <c r="O82" s="16" t="str">
        <f>ifna(VLOOKUP(A82,ConstantsUnits!A:A,1,false),"")</f>
        <v>electron g factor</v>
      </c>
    </row>
    <row r="83">
      <c r="A83" s="1" t="s">
        <v>360</v>
      </c>
      <c r="B83" s="1" t="s">
        <v>1868</v>
      </c>
      <c r="C83" s="1" t="s">
        <v>1863</v>
      </c>
      <c r="D83" s="1" t="s">
        <v>361</v>
      </c>
      <c r="F83" s="16" t="str">
        <f>ifna(VLOOKUP($A83,ConstantsUnits!$A:$C,3,false),"")</f>
        <v>ElectronGyromagneticRatio</v>
      </c>
      <c r="G83" s="17" t="str">
        <f t="shared" si="1"/>
        <v>1.760859644e11</v>
      </c>
      <c r="H83" s="17">
        <f t="shared" si="2"/>
        <v>176085964400</v>
      </c>
      <c r="I83" s="17" t="str">
        <f t="shared" si="3"/>
        <v>0.000000011e11</v>
      </c>
      <c r="J83" s="17">
        <f t="shared" si="4"/>
        <v>1100</v>
      </c>
      <c r="K83" s="17" t="b">
        <f t="shared" si="5"/>
        <v>0</v>
      </c>
      <c r="L83" s="16" t="str">
        <f>IFERROR(__xludf.DUMMYFUNCTION("if(regexmatch(B83,""e(.*)$""),regexextract(B83,""e(.*)$""),"""")"),"11")</f>
        <v>11</v>
      </c>
      <c r="M83" s="18"/>
      <c r="N83" s="18">
        <f>countif(ConstantsUnits!C:C,F83)</f>
        <v>1</v>
      </c>
      <c r="O83" s="16" t="str">
        <f>ifna(VLOOKUP(A83,ConstantsUnits!A:A,1,false),"")</f>
        <v>electron gyromag. ratio</v>
      </c>
    </row>
    <row r="84">
      <c r="A84" s="1" t="s">
        <v>1869</v>
      </c>
      <c r="B84" s="1" t="s">
        <v>1870</v>
      </c>
      <c r="C84" s="1" t="s">
        <v>1727</v>
      </c>
      <c r="D84" s="1" t="s">
        <v>367</v>
      </c>
      <c r="F84" s="3" t="s">
        <v>1871</v>
      </c>
      <c r="G84" s="17" t="str">
        <f t="shared" si="1"/>
        <v>28024.95164</v>
      </c>
      <c r="H84" s="17">
        <f t="shared" si="2"/>
        <v>28024.95164</v>
      </c>
      <c r="I84" s="17" t="str">
        <f t="shared" si="3"/>
        <v>0.00017</v>
      </c>
      <c r="J84" s="17">
        <f t="shared" si="4"/>
        <v>0.00017</v>
      </c>
      <c r="K84" s="17" t="b">
        <f t="shared" si="5"/>
        <v>0</v>
      </c>
      <c r="L84" s="16" t="str">
        <f>IFERROR(__xludf.DUMMYFUNCTION("if(regexmatch(B84,""e(.*)$""),regexextract(B84,""e(.*)$""),"""")"),"")</f>
        <v/>
      </c>
      <c r="M84" s="18"/>
      <c r="N84" s="18">
        <f>countif(ConstantsUnits!C:C,F84)</f>
        <v>1</v>
      </c>
      <c r="O84" s="16" t="str">
        <f>ifna(VLOOKUP(A84,ConstantsUnits!A:A,1,false),"")</f>
        <v/>
      </c>
    </row>
    <row r="85">
      <c r="A85" s="1" t="s">
        <v>370</v>
      </c>
      <c r="B85" s="1" t="s">
        <v>1872</v>
      </c>
      <c r="C85" s="1" t="s">
        <v>1873</v>
      </c>
      <c r="F85" s="16" t="str">
        <f>ifna(VLOOKUP($A85,ConstantsUnits!$A:$C,3,false),"")</f>
        <v>Electron-HelionMassRatio</v>
      </c>
      <c r="G85" s="17" t="str">
        <f t="shared" si="1"/>
        <v>1.819543074854e-4</v>
      </c>
      <c r="H85" s="17">
        <f t="shared" si="2"/>
        <v>0.0001819543075</v>
      </c>
      <c r="I85" s="17" t="str">
        <f t="shared" si="3"/>
        <v>0.000000000088e-4</v>
      </c>
      <c r="J85" s="17">
        <f t="shared" si="4"/>
        <v>0</v>
      </c>
      <c r="K85" s="17" t="b">
        <f t="shared" si="5"/>
        <v>0</v>
      </c>
      <c r="L85" s="16" t="str">
        <f>IFERROR(__xludf.DUMMYFUNCTION("if(regexmatch(B85,""e(.*)$""),regexextract(B85,""e(.*)$""),"""")"),"-4")</f>
        <v>-4</v>
      </c>
      <c r="M85" s="18"/>
      <c r="N85" s="18">
        <f>countif(ConstantsUnits!C:C,F85)</f>
        <v>1</v>
      </c>
      <c r="O85" s="16" t="str">
        <f>ifna(VLOOKUP(A85,ConstantsUnits!A:A,1,false),"")</f>
        <v>electron-helion mass ratio</v>
      </c>
    </row>
    <row r="86">
      <c r="A86" s="1" t="s">
        <v>372</v>
      </c>
      <c r="B86" s="1" t="s">
        <v>1874</v>
      </c>
      <c r="C86" s="1" t="s">
        <v>1807</v>
      </c>
      <c r="D86" s="1" t="s">
        <v>165</v>
      </c>
      <c r="F86" s="16" t="str">
        <f>ifna(VLOOKUP($A86,ConstantsUnits!$A:$C,3,false),"")</f>
        <v>ElectronMagneticMoment</v>
      </c>
      <c r="G86" s="17" t="str">
        <f t="shared" si="1"/>
        <v>-928.4764620e-26</v>
      </c>
      <c r="H86" s="17">
        <f t="shared" si="2"/>
        <v>0</v>
      </c>
      <c r="I86" s="17" t="str">
        <f t="shared" si="3"/>
        <v>0.0000057e-26</v>
      </c>
      <c r="J86" s="17">
        <f t="shared" si="4"/>
        <v>0</v>
      </c>
      <c r="K86" s="17" t="b">
        <f t="shared" si="5"/>
        <v>0</v>
      </c>
      <c r="L86" s="16" t="str">
        <f>IFERROR(__xludf.DUMMYFUNCTION("if(regexmatch(B86,""e(.*)$""),regexextract(B86,""e(.*)$""),"""")"),"-26")</f>
        <v>-26</v>
      </c>
      <c r="M86" s="18"/>
      <c r="N86" s="18">
        <f>countif(ConstantsUnits!C:C,F86)</f>
        <v>1</v>
      </c>
      <c r="O86" s="16" t="str">
        <f>ifna(VLOOKUP(A86,ConstantsUnits!A:A,1,false),"")</f>
        <v>electron mag. mom.</v>
      </c>
    </row>
    <row r="87">
      <c r="A87" s="1" t="s">
        <v>375</v>
      </c>
      <c r="B87" s="1" t="s">
        <v>1875</v>
      </c>
      <c r="C87" s="1" t="s">
        <v>1876</v>
      </c>
      <c r="F87" s="16" t="str">
        <f>ifna(VLOOKUP($A87,ConstantsUnits!$A:$C,3,false),"")</f>
        <v>ElectronMagneticMomentAnomaly</v>
      </c>
      <c r="G87" s="17" t="str">
        <f t="shared" si="1"/>
        <v>1.15965218091e-3</v>
      </c>
      <c r="H87" s="17">
        <f t="shared" si="2"/>
        <v>0.001159652181</v>
      </c>
      <c r="I87" s="17" t="str">
        <f t="shared" si="3"/>
        <v>0.00000000026e-3</v>
      </c>
      <c r="J87" s="17">
        <f t="shared" si="4"/>
        <v>0</v>
      </c>
      <c r="K87" s="17" t="b">
        <f t="shared" si="5"/>
        <v>0</v>
      </c>
      <c r="L87" s="16" t="str">
        <f>IFERROR(__xludf.DUMMYFUNCTION("if(regexmatch(B87,""e(.*)$""),regexextract(B87,""e(.*)$""),"""")"),"-3")</f>
        <v>-3</v>
      </c>
      <c r="M87" s="18"/>
      <c r="N87" s="18">
        <f>countif(ConstantsUnits!C:C,F87)</f>
        <v>1</v>
      </c>
      <c r="O87" s="16" t="str">
        <f>ifna(VLOOKUP(A87,ConstantsUnits!A:A,1,false),"")</f>
        <v>electron mag. mom. anomaly</v>
      </c>
    </row>
    <row r="88">
      <c r="A88" s="1" t="s">
        <v>378</v>
      </c>
      <c r="B88" s="1" t="s">
        <v>1877</v>
      </c>
      <c r="C88" s="1" t="s">
        <v>1878</v>
      </c>
      <c r="F88" s="16" t="str">
        <f>ifna(VLOOKUP($A88,ConstantsUnits!$A:$C,3,false),"")</f>
        <v>ElectronMagneticMomentToBohrMagnetonRatio</v>
      </c>
      <c r="G88" s="17" t="str">
        <f t="shared" si="1"/>
        <v>-1.00115965218091</v>
      </c>
      <c r="H88" s="17">
        <f t="shared" si="2"/>
        <v>-1.001159652</v>
      </c>
      <c r="I88" s="17" t="str">
        <f t="shared" si="3"/>
        <v>0.00000000000026</v>
      </c>
      <c r="J88" s="17">
        <f t="shared" si="4"/>
        <v>0</v>
      </c>
      <c r="K88" s="17" t="b">
        <f t="shared" si="5"/>
        <v>0</v>
      </c>
      <c r="L88" s="16" t="str">
        <f>IFERROR(__xludf.DUMMYFUNCTION("if(regexmatch(B88,""e(.*)$""),regexextract(B88,""e(.*)$""),"""")"),"")</f>
        <v/>
      </c>
      <c r="M88" s="18"/>
      <c r="N88" s="18">
        <f>countif(ConstantsUnits!C:C,F88)</f>
        <v>1</v>
      </c>
      <c r="O88" s="16" t="str">
        <f>ifna(VLOOKUP(A88,ConstantsUnits!A:A,1,false),"")</f>
        <v>electron mag. mom. to Bohr magneton ratio</v>
      </c>
    </row>
    <row r="89">
      <c r="A89" s="1" t="s">
        <v>381</v>
      </c>
      <c r="B89" s="1" t="s">
        <v>1879</v>
      </c>
      <c r="C89" s="1" t="s">
        <v>1779</v>
      </c>
      <c r="F89" s="16" t="str">
        <f>ifna(VLOOKUP($A89,ConstantsUnits!$A:$C,3,false),"")</f>
        <v>ElectronMagneticMomentToNuclearMagnetonRatio</v>
      </c>
      <c r="G89" s="17" t="str">
        <f t="shared" si="1"/>
        <v>-1838.28197234</v>
      </c>
      <c r="H89" s="17">
        <f t="shared" si="2"/>
        <v>-1838.281972</v>
      </c>
      <c r="I89" s="17" t="str">
        <f t="shared" si="3"/>
        <v>0.00000017</v>
      </c>
      <c r="J89" s="17">
        <f t="shared" si="4"/>
        <v>0.00000017</v>
      </c>
      <c r="K89" s="17" t="b">
        <f t="shared" si="5"/>
        <v>0</v>
      </c>
      <c r="L89" s="16" t="str">
        <f>IFERROR(__xludf.DUMMYFUNCTION("if(regexmatch(B89,""e(.*)$""),regexextract(B89,""e(.*)$""),"""")"),"")</f>
        <v/>
      </c>
      <c r="M89" s="18"/>
      <c r="N89" s="18">
        <f>countif(ConstantsUnits!C:C,F89)</f>
        <v>1</v>
      </c>
      <c r="O89" s="16" t="str">
        <f>ifna(VLOOKUP(A89,ConstantsUnits!A:A,1,false),"")</f>
        <v>electron mag. mom. to nuclear magneton ratio</v>
      </c>
    </row>
    <row r="90">
      <c r="A90" s="1" t="s">
        <v>384</v>
      </c>
      <c r="B90" s="1" t="s">
        <v>1794</v>
      </c>
      <c r="C90" s="1" t="s">
        <v>1795</v>
      </c>
      <c r="D90" s="1" t="s">
        <v>38</v>
      </c>
      <c r="F90" s="16" t="str">
        <f>ifna(VLOOKUP($A90,ConstantsUnits!$A:$C,3,false),"")</f>
        <v>ElectronMass</v>
      </c>
      <c r="G90" s="17" t="str">
        <f t="shared" si="1"/>
        <v>9.10938356e-31</v>
      </c>
      <c r="H90" s="17">
        <f t="shared" si="2"/>
        <v>0</v>
      </c>
      <c r="I90" s="17" t="str">
        <f t="shared" si="3"/>
        <v>0.00000011e-31</v>
      </c>
      <c r="J90" s="17">
        <f t="shared" si="4"/>
        <v>0</v>
      </c>
      <c r="K90" s="17" t="b">
        <f t="shared" si="5"/>
        <v>0</v>
      </c>
      <c r="L90" s="16" t="str">
        <f>IFERROR(__xludf.DUMMYFUNCTION("if(regexmatch(B90,""e(.*)$""),regexextract(B90,""e(.*)$""),"""")"),"-31")</f>
        <v>-31</v>
      </c>
      <c r="M90" s="18"/>
      <c r="N90" s="18">
        <f>countif(ConstantsUnits!C:C,F90)</f>
        <v>1</v>
      </c>
      <c r="O90" s="16" t="str">
        <f>ifna(VLOOKUP(A90,ConstantsUnits!A:A,1,false),"")</f>
        <v>electron mass</v>
      </c>
    </row>
    <row r="91">
      <c r="A91" s="1" t="s">
        <v>387</v>
      </c>
      <c r="B91" s="1" t="s">
        <v>1880</v>
      </c>
      <c r="C91" s="1" t="s">
        <v>1881</v>
      </c>
      <c r="D91" s="1" t="s">
        <v>41</v>
      </c>
      <c r="F91" s="16" t="str">
        <f>ifna(VLOOKUP($A91,ConstantsUnits!$A:$C,3,false),"")</f>
        <v>ElectronMassEnergyEquivalent</v>
      </c>
      <c r="G91" s="17" t="str">
        <f t="shared" si="1"/>
        <v>8.18710565e-14</v>
      </c>
      <c r="H91" s="17">
        <f t="shared" si="2"/>
        <v>0</v>
      </c>
      <c r="I91" s="17" t="str">
        <f t="shared" si="3"/>
        <v>0.00000010e-14</v>
      </c>
      <c r="J91" s="17">
        <f t="shared" si="4"/>
        <v>0</v>
      </c>
      <c r="K91" s="17" t="b">
        <f t="shared" si="5"/>
        <v>0</v>
      </c>
      <c r="L91" s="16" t="str">
        <f>IFERROR(__xludf.DUMMYFUNCTION("if(regexmatch(B91,""e(.*)$""),regexextract(B91,""e(.*)$""),"""")"),"-14")</f>
        <v>-14</v>
      </c>
      <c r="M91" s="18"/>
      <c r="N91" s="18">
        <f>countif(ConstantsUnits!C:C,F91)</f>
        <v>1</v>
      </c>
      <c r="O91" s="16" t="str">
        <f>ifna(VLOOKUP(A91,ConstantsUnits!A:A,1,false),"")</f>
        <v>electron mass energy equivalent</v>
      </c>
    </row>
    <row r="92">
      <c r="A92" s="1" t="s">
        <v>390</v>
      </c>
      <c r="B92" s="1" t="s">
        <v>1882</v>
      </c>
      <c r="C92" s="1" t="s">
        <v>1883</v>
      </c>
      <c r="D92" s="1" t="s">
        <v>45</v>
      </c>
      <c r="F92" s="16" t="str">
        <f>ifna(VLOOKUP($A92,ConstantsUnits!$A:$C,3,false),"")</f>
        <v>ElectronMassEnergyEquivalentInMeV</v>
      </c>
      <c r="G92" s="17" t="str">
        <f t="shared" si="1"/>
        <v>0.5109989461</v>
      </c>
      <c r="H92" s="17">
        <f t="shared" si="2"/>
        <v>0.5109989461</v>
      </c>
      <c r="I92" s="17" t="str">
        <f t="shared" si="3"/>
        <v>0.0000000031</v>
      </c>
      <c r="J92" s="17">
        <f t="shared" si="4"/>
        <v>0.0000000031</v>
      </c>
      <c r="K92" s="17" t="b">
        <f t="shared" si="5"/>
        <v>0</v>
      </c>
      <c r="L92" s="16" t="str">
        <f>IFERROR(__xludf.DUMMYFUNCTION("if(regexmatch(B92,""e(.*)$""),regexextract(B92,""e(.*)$""),"""")"),"")</f>
        <v/>
      </c>
      <c r="M92" s="18"/>
      <c r="N92" s="18">
        <f>countif(ConstantsUnits!C:C,F92)</f>
        <v>1</v>
      </c>
      <c r="O92" s="16" t="str">
        <f>ifna(VLOOKUP(A92,ConstantsUnits!A:A,1,false),"")</f>
        <v>electron mass energy equivalent in MeV</v>
      </c>
    </row>
    <row r="93">
      <c r="A93" s="1" t="s">
        <v>393</v>
      </c>
      <c r="B93" s="1" t="s">
        <v>1884</v>
      </c>
      <c r="C93" s="1" t="s">
        <v>1354</v>
      </c>
      <c r="D93" s="1" t="s">
        <v>48</v>
      </c>
      <c r="F93" s="16" t="str">
        <f>ifna(VLOOKUP($A93,ConstantsUnits!$A:$C,3,false),"")</f>
        <v>ElectronMassInAtomicMassUnit</v>
      </c>
      <c r="G93" s="17" t="str">
        <f t="shared" si="1"/>
        <v>5.48579909070e-4</v>
      </c>
      <c r="H93" s="17">
        <f t="shared" si="2"/>
        <v>0.0005485799091</v>
      </c>
      <c r="I93" s="17" t="str">
        <f t="shared" si="3"/>
        <v>0.00000000016e-4</v>
      </c>
      <c r="J93" s="17">
        <f t="shared" si="4"/>
        <v>0</v>
      </c>
      <c r="K93" s="17" t="b">
        <f t="shared" si="5"/>
        <v>0</v>
      </c>
      <c r="L93" s="16" t="str">
        <f>IFERROR(__xludf.DUMMYFUNCTION("if(regexmatch(B93,""e(.*)$""),regexextract(B93,""e(.*)$""),"""")"),"-4")</f>
        <v>-4</v>
      </c>
      <c r="M93" s="18"/>
      <c r="N93" s="18">
        <f>countif(ConstantsUnits!C:C,F93)</f>
        <v>1</v>
      </c>
      <c r="O93" s="16" t="str">
        <f>ifna(VLOOKUP(A93,ConstantsUnits!A:A,1,false),"")</f>
        <v>electron mass in u</v>
      </c>
    </row>
    <row r="94">
      <c r="A94" s="1" t="s">
        <v>396</v>
      </c>
      <c r="B94" s="1" t="s">
        <v>1885</v>
      </c>
      <c r="C94" s="1" t="s">
        <v>1886</v>
      </c>
      <c r="D94" s="1" t="s">
        <v>51</v>
      </c>
      <c r="F94" s="16" t="str">
        <f>ifna(VLOOKUP($A94,ConstantsUnits!$A:$C,3,false),"")</f>
        <v>ElectronMolarMass</v>
      </c>
      <c r="G94" s="17" t="str">
        <f t="shared" si="1"/>
        <v>5.48579909070e-7</v>
      </c>
      <c r="H94" s="17">
        <f t="shared" si="2"/>
        <v>0.0000005485799091</v>
      </c>
      <c r="I94" s="17" t="str">
        <f t="shared" si="3"/>
        <v>0.00000000016e-7</v>
      </c>
      <c r="J94" s="17">
        <f t="shared" si="4"/>
        <v>0</v>
      </c>
      <c r="K94" s="17" t="b">
        <f t="shared" si="5"/>
        <v>0</v>
      </c>
      <c r="L94" s="16" t="str">
        <f>IFERROR(__xludf.DUMMYFUNCTION("if(regexmatch(B94,""e(.*)$""),regexextract(B94,""e(.*)$""),"""")"),"-7")</f>
        <v>-7</v>
      </c>
      <c r="M94" s="18"/>
      <c r="N94" s="18">
        <f>countif(ConstantsUnits!C:C,F94)</f>
        <v>1</v>
      </c>
      <c r="O94" s="16" t="str">
        <f>ifna(VLOOKUP(A94,ConstantsUnits!A:A,1,false),"")</f>
        <v>electron molar mass</v>
      </c>
    </row>
    <row r="95">
      <c r="A95" s="1" t="s">
        <v>399</v>
      </c>
      <c r="B95" s="1" t="s">
        <v>1887</v>
      </c>
      <c r="C95" s="1" t="s">
        <v>1358</v>
      </c>
      <c r="F95" s="16" t="str">
        <f>ifna(VLOOKUP($A95,ConstantsUnits!$A:$C,3,false),"")</f>
        <v>ElectronMuonMagneticMomentRatio</v>
      </c>
      <c r="G95" s="17" t="str">
        <f t="shared" si="1"/>
        <v>206.7669880</v>
      </c>
      <c r="H95" s="17">
        <f t="shared" si="2"/>
        <v>206.766988</v>
      </c>
      <c r="I95" s="17" t="str">
        <f t="shared" si="3"/>
        <v>0.0000046</v>
      </c>
      <c r="J95" s="17">
        <f t="shared" si="4"/>
        <v>0.0000046</v>
      </c>
      <c r="K95" s="17" t="b">
        <f t="shared" si="5"/>
        <v>0</v>
      </c>
      <c r="L95" s="16" t="str">
        <f>IFERROR(__xludf.DUMMYFUNCTION("if(regexmatch(B95,""e(.*)$""),regexextract(B95,""e(.*)$""),"""")"),"")</f>
        <v/>
      </c>
      <c r="M95" s="18"/>
      <c r="N95" s="18">
        <f>countif(ConstantsUnits!C:C,F95)</f>
        <v>1</v>
      </c>
      <c r="O95" s="16" t="str">
        <f>ifna(VLOOKUP(A95,ConstantsUnits!A:A,1,false),"")</f>
        <v>electron-muon mag. mom. ratio</v>
      </c>
    </row>
    <row r="96">
      <c r="A96" s="1" t="s">
        <v>402</v>
      </c>
      <c r="B96" s="1" t="s">
        <v>1888</v>
      </c>
      <c r="C96" s="1" t="s">
        <v>1360</v>
      </c>
      <c r="F96" s="16" t="str">
        <f>ifna(VLOOKUP($A96,ConstantsUnits!$A:$C,3,false),"")</f>
        <v>ElectronMuonMassRatio</v>
      </c>
      <c r="G96" s="17" t="str">
        <f t="shared" si="1"/>
        <v>4.83633170e-3</v>
      </c>
      <c r="H96" s="17">
        <f t="shared" si="2"/>
        <v>0.0048363317</v>
      </c>
      <c r="I96" s="17" t="str">
        <f t="shared" si="3"/>
        <v>0.00000011e-3</v>
      </c>
      <c r="J96" s="17">
        <f t="shared" si="4"/>
        <v>0.00000000011</v>
      </c>
      <c r="K96" s="17" t="b">
        <f t="shared" si="5"/>
        <v>0</v>
      </c>
      <c r="L96" s="16" t="str">
        <f>IFERROR(__xludf.DUMMYFUNCTION("if(regexmatch(B96,""e(.*)$""),regexextract(B96,""e(.*)$""),"""")"),"-3")</f>
        <v>-3</v>
      </c>
      <c r="M96" s="18"/>
      <c r="N96" s="18">
        <f>countif(ConstantsUnits!C:C,F96)</f>
        <v>1</v>
      </c>
      <c r="O96" s="16" t="str">
        <f>ifna(VLOOKUP(A96,ConstantsUnits!A:A,1,false),"")</f>
        <v>electron-muon mass ratio</v>
      </c>
    </row>
    <row r="97">
      <c r="A97" s="1" t="s">
        <v>405</v>
      </c>
      <c r="B97" s="1" t="s">
        <v>1361</v>
      </c>
      <c r="C97" s="1" t="s">
        <v>1362</v>
      </c>
      <c r="F97" s="16" t="str">
        <f>ifna(VLOOKUP($A97,ConstantsUnits!$A:$C,3,false),"")</f>
        <v>ElectronNeutronMagneticMomentRatio</v>
      </c>
      <c r="G97" s="17" t="str">
        <f t="shared" si="1"/>
        <v>960.92050</v>
      </c>
      <c r="H97" s="17">
        <f t="shared" si="2"/>
        <v>960.9205</v>
      </c>
      <c r="I97" s="17" t="str">
        <f t="shared" si="3"/>
        <v>0.00023</v>
      </c>
      <c r="J97" s="17">
        <f t="shared" si="4"/>
        <v>0.00023</v>
      </c>
      <c r="K97" s="17" t="b">
        <f t="shared" si="5"/>
        <v>0</v>
      </c>
      <c r="L97" s="16" t="str">
        <f>IFERROR(__xludf.DUMMYFUNCTION("if(regexmatch(B97,""e(.*)$""),regexextract(B97,""e(.*)$""),"""")"),"")</f>
        <v/>
      </c>
      <c r="M97" s="18"/>
      <c r="N97" s="18">
        <f>countif(ConstantsUnits!C:C,F97)</f>
        <v>1</v>
      </c>
      <c r="O97" s="16" t="str">
        <f>ifna(VLOOKUP(A97,ConstantsUnits!A:A,1,false),"")</f>
        <v>electron-neutron mag. mom. ratio</v>
      </c>
    </row>
    <row r="98">
      <c r="A98" s="1" t="s">
        <v>408</v>
      </c>
      <c r="B98" s="1" t="s">
        <v>1889</v>
      </c>
      <c r="C98" s="1" t="s">
        <v>1890</v>
      </c>
      <c r="F98" s="16" t="str">
        <f>ifna(VLOOKUP($A98,ConstantsUnits!$A:$C,3,false),"")</f>
        <v>ElectronNeutronMassRatio</v>
      </c>
      <c r="G98" s="17" t="str">
        <f t="shared" si="1"/>
        <v>5.4386734428e-4</v>
      </c>
      <c r="H98" s="17">
        <f t="shared" si="2"/>
        <v>0.0005438673443</v>
      </c>
      <c r="I98" s="17" t="str">
        <f t="shared" si="3"/>
        <v>0.0000000027e-4</v>
      </c>
      <c r="J98" s="17">
        <f t="shared" si="4"/>
        <v>0</v>
      </c>
      <c r="K98" s="17" t="b">
        <f t="shared" si="5"/>
        <v>0</v>
      </c>
      <c r="L98" s="16" t="str">
        <f>IFERROR(__xludf.DUMMYFUNCTION("if(regexmatch(B98,""e(.*)$""),regexextract(B98,""e(.*)$""),"""")"),"-4")</f>
        <v>-4</v>
      </c>
      <c r="M98" s="18"/>
      <c r="N98" s="18">
        <f>countif(ConstantsUnits!C:C,F98)</f>
        <v>1</v>
      </c>
      <c r="O98" s="16" t="str">
        <f>ifna(VLOOKUP(A98,ConstantsUnits!A:A,1,false),"")</f>
        <v>electron-neutron mass ratio</v>
      </c>
    </row>
    <row r="99">
      <c r="A99" s="1" t="s">
        <v>411</v>
      </c>
      <c r="B99" s="1" t="s">
        <v>1891</v>
      </c>
      <c r="C99" s="1" t="s">
        <v>1892</v>
      </c>
      <c r="F99" s="16" t="str">
        <f>ifna(VLOOKUP($A99,ConstantsUnits!$A:$C,3,false),"")</f>
        <v>ElectronProtonMagneticMomentRatio</v>
      </c>
      <c r="G99" s="17" t="str">
        <f t="shared" si="1"/>
        <v>-658.2106866</v>
      </c>
      <c r="H99" s="17">
        <f t="shared" si="2"/>
        <v>-658.2106866</v>
      </c>
      <c r="I99" s="17" t="str">
        <f t="shared" si="3"/>
        <v>0.0000020</v>
      </c>
      <c r="J99" s="17">
        <f t="shared" si="4"/>
        <v>0.000002</v>
      </c>
      <c r="K99" s="17" t="b">
        <f t="shared" si="5"/>
        <v>0</v>
      </c>
      <c r="L99" s="16" t="str">
        <f>IFERROR(__xludf.DUMMYFUNCTION("if(regexmatch(B99,""e(.*)$""),regexextract(B99,""e(.*)$""),"""")"),"")</f>
        <v/>
      </c>
      <c r="M99" s="18"/>
      <c r="N99" s="18">
        <f>countif(ConstantsUnits!C:C,F99)</f>
        <v>1</v>
      </c>
      <c r="O99" s="16" t="str">
        <f>ifna(VLOOKUP(A99,ConstantsUnits!A:A,1,false),"")</f>
        <v>electron-proton mag. mom. ratio</v>
      </c>
    </row>
    <row r="100">
      <c r="A100" s="1" t="s">
        <v>414</v>
      </c>
      <c r="B100" s="1" t="s">
        <v>1893</v>
      </c>
      <c r="C100" s="1" t="s">
        <v>1894</v>
      </c>
      <c r="F100" s="16" t="str">
        <f>ifna(VLOOKUP($A100,ConstantsUnits!$A:$C,3,false),"")</f>
        <v>ElectronProtonMassRatio</v>
      </c>
      <c r="G100" s="17" t="str">
        <f t="shared" si="1"/>
        <v>5.44617021352e-4</v>
      </c>
      <c r="H100" s="17">
        <f t="shared" si="2"/>
        <v>0.0005446170214</v>
      </c>
      <c r="I100" s="17" t="str">
        <f t="shared" si="3"/>
        <v>0.00000000052e-4</v>
      </c>
      <c r="J100" s="17">
        <f t="shared" si="4"/>
        <v>0</v>
      </c>
      <c r="K100" s="17" t="b">
        <f t="shared" si="5"/>
        <v>0</v>
      </c>
      <c r="L100" s="16" t="str">
        <f>IFERROR(__xludf.DUMMYFUNCTION("if(regexmatch(B100,""e(.*)$""),regexextract(B100,""e(.*)$""),"""")"),"-4")</f>
        <v>-4</v>
      </c>
      <c r="M100" s="18"/>
      <c r="N100" s="18">
        <f>countif(ConstantsUnits!C:C,F100)</f>
        <v>1</v>
      </c>
      <c r="O100" s="16" t="str">
        <f>ifna(VLOOKUP(A100,ConstantsUnits!A:A,1,false),"")</f>
        <v>electron-proton mass ratio</v>
      </c>
    </row>
    <row r="101">
      <c r="A101" s="1" t="s">
        <v>419</v>
      </c>
      <c r="B101" s="1" t="s">
        <v>1895</v>
      </c>
      <c r="C101" s="1" t="s">
        <v>1896</v>
      </c>
      <c r="F101" s="16" t="str">
        <f>ifna(VLOOKUP($A101,ConstantsUnits!$A:$C,3,false),"")</f>
        <v>ElectronTauMassRatio</v>
      </c>
      <c r="G101" s="17" t="str">
        <f t="shared" si="1"/>
        <v>2.87592e-4</v>
      </c>
      <c r="H101" s="17">
        <f t="shared" si="2"/>
        <v>0.000287592</v>
      </c>
      <c r="I101" s="17" t="str">
        <f t="shared" si="3"/>
        <v>0.00026e-4</v>
      </c>
      <c r="J101" s="17">
        <f t="shared" si="4"/>
        <v>0.000000026</v>
      </c>
      <c r="K101" s="17" t="b">
        <f t="shared" si="5"/>
        <v>0</v>
      </c>
      <c r="L101" s="16" t="str">
        <f>IFERROR(__xludf.DUMMYFUNCTION("if(regexmatch(B101,""e(.*)$""),regexextract(B101,""e(.*)$""),"""")"),"-4")</f>
        <v>-4</v>
      </c>
      <c r="M101" s="18"/>
      <c r="N101" s="18">
        <f>countif(ConstantsUnits!C:C,F101)</f>
        <v>1</v>
      </c>
      <c r="O101" s="16" t="str">
        <f>ifna(VLOOKUP(A101,ConstantsUnits!A:A,1,false),"")</f>
        <v>electron-tau mass ratio</v>
      </c>
    </row>
    <row r="102">
      <c r="A102" s="1" t="s">
        <v>422</v>
      </c>
      <c r="B102" s="1" t="s">
        <v>1897</v>
      </c>
      <c r="C102" s="1" t="s">
        <v>1372</v>
      </c>
      <c r="F102" s="16" t="str">
        <f>ifna(VLOOKUP($A102,ConstantsUnits!$A:$C,3,false),"")</f>
        <v>ElectronToAlphaParticleMassRatio</v>
      </c>
      <c r="G102" s="17" t="str">
        <f t="shared" si="1"/>
        <v>1.370933554798e-4</v>
      </c>
      <c r="H102" s="17">
        <f t="shared" si="2"/>
        <v>0.0001370933555</v>
      </c>
      <c r="I102" s="17" t="str">
        <f t="shared" si="3"/>
        <v>0.000000000045e-4</v>
      </c>
      <c r="J102" s="17">
        <f t="shared" si="4"/>
        <v>0</v>
      </c>
      <c r="K102" s="17" t="b">
        <f t="shared" si="5"/>
        <v>0</v>
      </c>
      <c r="L102" s="16" t="str">
        <f>IFERROR(__xludf.DUMMYFUNCTION("if(regexmatch(B102,""e(.*)$""),regexextract(B102,""e(.*)$""),"""")"),"-4")</f>
        <v>-4</v>
      </c>
      <c r="M102" s="18"/>
      <c r="N102" s="18">
        <f>countif(ConstantsUnits!C:C,F102)</f>
        <v>1</v>
      </c>
      <c r="O102" s="16" t="str">
        <f>ifna(VLOOKUP(A102,ConstantsUnits!A:A,1,false),"")</f>
        <v>electron to alpha particle mass ratio</v>
      </c>
    </row>
    <row r="103">
      <c r="A103" s="1" t="s">
        <v>425</v>
      </c>
      <c r="B103" s="1" t="s">
        <v>1373</v>
      </c>
      <c r="C103" s="1" t="s">
        <v>1374</v>
      </c>
      <c r="F103" s="16" t="str">
        <f>ifna(VLOOKUP($A103,ConstantsUnits!$A:$C,3,false),"")</f>
        <v>ElectronToShieldedHelionMagneticMomentRatio</v>
      </c>
      <c r="G103" s="17" t="str">
        <f t="shared" si="1"/>
        <v>864.058257</v>
      </c>
      <c r="H103" s="17">
        <f t="shared" si="2"/>
        <v>864.058257</v>
      </c>
      <c r="I103" s="17" t="str">
        <f t="shared" si="3"/>
        <v>0.000010</v>
      </c>
      <c r="J103" s="17">
        <f t="shared" si="4"/>
        <v>0.00001</v>
      </c>
      <c r="K103" s="17" t="b">
        <f t="shared" si="5"/>
        <v>0</v>
      </c>
      <c r="L103" s="16" t="str">
        <f>IFERROR(__xludf.DUMMYFUNCTION("if(regexmatch(B103,""e(.*)$""),regexextract(B103,""e(.*)$""),"""")"),"")</f>
        <v/>
      </c>
      <c r="M103" s="18"/>
      <c r="N103" s="18">
        <f>countif(ConstantsUnits!C:C,F103)</f>
        <v>1</v>
      </c>
      <c r="O103" s="16" t="str">
        <f>ifna(VLOOKUP(A103,ConstantsUnits!A:A,1,false),"")</f>
        <v>electron to shielded helion mag. mom. ratio</v>
      </c>
    </row>
    <row r="104">
      <c r="A104" s="1" t="s">
        <v>428</v>
      </c>
      <c r="B104" s="1" t="s">
        <v>1375</v>
      </c>
      <c r="C104" s="1" t="s">
        <v>1376</v>
      </c>
      <c r="F104" s="16" t="str">
        <f>ifna(VLOOKUP($A104,ConstantsUnits!$A:$C,3,false),"")</f>
        <v>ElectronToShieldedProtonMagneticMomentRatio</v>
      </c>
      <c r="G104" s="17" t="str">
        <f t="shared" si="1"/>
        <v>-658.2275971</v>
      </c>
      <c r="H104" s="17">
        <f t="shared" si="2"/>
        <v>-658.2275971</v>
      </c>
      <c r="I104" s="17" t="str">
        <f t="shared" si="3"/>
        <v>0.0000072</v>
      </c>
      <c r="J104" s="17">
        <f t="shared" si="4"/>
        <v>0.0000072</v>
      </c>
      <c r="K104" s="17" t="b">
        <f t="shared" si="5"/>
        <v>0</v>
      </c>
      <c r="L104" s="16" t="str">
        <f>IFERROR(__xludf.DUMMYFUNCTION("if(regexmatch(B104,""e(.*)$""),regexextract(B104,""e(.*)$""),"""")"),"")</f>
        <v/>
      </c>
      <c r="M104" s="18"/>
      <c r="N104" s="18">
        <f>countif(ConstantsUnits!C:C,F104)</f>
        <v>1</v>
      </c>
      <c r="O104" s="16" t="str">
        <f>ifna(VLOOKUP(A104,ConstantsUnits!A:A,1,false),"")</f>
        <v>electron to shielded proton mag. mom. ratio</v>
      </c>
    </row>
    <row r="105">
      <c r="A105" s="1" t="s">
        <v>431</v>
      </c>
      <c r="B105" s="1" t="s">
        <v>1898</v>
      </c>
      <c r="C105" s="1" t="s">
        <v>1899</v>
      </c>
      <c r="F105" s="16" t="str">
        <f>ifna(VLOOKUP($A105,ConstantsUnits!$A:$C,3,false),"")</f>
        <v>Electron-TritonMassRatio</v>
      </c>
      <c r="G105" s="17" t="str">
        <f t="shared" si="1"/>
        <v>1.819200062203e-4</v>
      </c>
      <c r="H105" s="17">
        <f t="shared" si="2"/>
        <v>0.0001819200062</v>
      </c>
      <c r="I105" s="17" t="str">
        <f t="shared" si="3"/>
        <v>0.000000000084e-4</v>
      </c>
      <c r="J105" s="17">
        <f t="shared" si="4"/>
        <v>0</v>
      </c>
      <c r="K105" s="17" t="b">
        <f t="shared" si="5"/>
        <v>0</v>
      </c>
      <c r="L105" s="16" t="str">
        <f>IFERROR(__xludf.DUMMYFUNCTION("if(regexmatch(B105,""e(.*)$""),regexextract(B105,""e(.*)$""),"""")"),"-4")</f>
        <v>-4</v>
      </c>
      <c r="M105" s="18"/>
      <c r="N105" s="18">
        <f>countif(ConstantsUnits!C:C,F105)</f>
        <v>1</v>
      </c>
      <c r="O105" s="16" t="str">
        <f>ifna(VLOOKUP(A105,ConstantsUnits!A:A,1,false),"")</f>
        <v>electron-triton mass ratio</v>
      </c>
    </row>
    <row r="106">
      <c r="A106" s="1" t="s">
        <v>433</v>
      </c>
      <c r="B106" s="1" t="s">
        <v>1764</v>
      </c>
      <c r="C106" s="1" t="s">
        <v>1765</v>
      </c>
      <c r="D106" s="1" t="s">
        <v>41</v>
      </c>
      <c r="F106" s="16" t="str">
        <f>ifna(VLOOKUP($A106,ConstantsUnits!$A:$C,3,false),"")</f>
        <v>ElectronVolt</v>
      </c>
      <c r="G106" s="17" t="str">
        <f t="shared" si="1"/>
        <v>1.6021766208e-19</v>
      </c>
      <c r="H106" s="17">
        <f t="shared" si="2"/>
        <v>0</v>
      </c>
      <c r="I106" s="17" t="str">
        <f t="shared" si="3"/>
        <v>0.0000000098e-19</v>
      </c>
      <c r="J106" s="17">
        <f t="shared" si="4"/>
        <v>0</v>
      </c>
      <c r="K106" s="17" t="b">
        <f t="shared" si="5"/>
        <v>0</v>
      </c>
      <c r="L106" s="16" t="str">
        <f>IFERROR(__xludf.DUMMYFUNCTION("if(regexmatch(B106,""e(.*)$""),regexextract(B106,""e(.*)$""),"""")"),"-19")</f>
        <v>-19</v>
      </c>
      <c r="M106" s="18"/>
      <c r="N106" s="18">
        <f>countif(ConstantsUnits!C:C,F106)</f>
        <v>1</v>
      </c>
      <c r="O106" s="16" t="str">
        <f>ifna(VLOOKUP(A106,ConstantsUnits!A:A,1,false),"")</f>
        <v>electron volt</v>
      </c>
    </row>
    <row r="107">
      <c r="A107" s="1" t="s">
        <v>435</v>
      </c>
      <c r="B107" s="1" t="s">
        <v>1900</v>
      </c>
      <c r="C107" s="1" t="s">
        <v>1901</v>
      </c>
      <c r="D107" s="1" t="s">
        <v>48</v>
      </c>
      <c r="F107" s="16" t="str">
        <f>ifna(VLOOKUP($A107,ConstantsUnits!$A:$C,3,false),"")</f>
        <v>ElectronVoltAtomicMassUnitRelationship</v>
      </c>
      <c r="G107" s="17" t="str">
        <f t="shared" si="1"/>
        <v>1.0735441105e-9</v>
      </c>
      <c r="H107" s="17">
        <f t="shared" si="2"/>
        <v>0.000000001073544111</v>
      </c>
      <c r="I107" s="17" t="str">
        <f t="shared" si="3"/>
        <v>0.0000000066e-9</v>
      </c>
      <c r="J107" s="17">
        <f t="shared" si="4"/>
        <v>0</v>
      </c>
      <c r="K107" s="17" t="b">
        <f t="shared" si="5"/>
        <v>0</v>
      </c>
      <c r="L107" s="16" t="str">
        <f>IFERROR(__xludf.DUMMYFUNCTION("if(regexmatch(B107,""e(.*)$""),regexextract(B107,""e(.*)$""),"""")"),"-9")</f>
        <v>-9</v>
      </c>
      <c r="M107" s="18"/>
      <c r="N107" s="18">
        <f>countif(ConstantsUnits!C:C,F107)</f>
        <v>1</v>
      </c>
      <c r="O107" s="16" t="str">
        <f>ifna(VLOOKUP(A107,ConstantsUnits!A:A,1,false),"")</f>
        <v>electron volt-atomic mass unit relationship</v>
      </c>
    </row>
    <row r="108">
      <c r="A108" s="1" t="s">
        <v>438</v>
      </c>
      <c r="B108" s="1" t="s">
        <v>1902</v>
      </c>
      <c r="C108" s="1" t="s">
        <v>1903</v>
      </c>
      <c r="D108" s="1" t="s">
        <v>74</v>
      </c>
      <c r="F108" s="16" t="str">
        <f>ifna(VLOOKUP($A108,ConstantsUnits!$A:$C,3,false),"")</f>
        <v>ElectronVoltHartreeRelationship</v>
      </c>
      <c r="G108" s="17" t="str">
        <f t="shared" si="1"/>
        <v>3.674932248e-2</v>
      </c>
      <c r="H108" s="17">
        <f t="shared" si="2"/>
        <v>0.03674932248</v>
      </c>
      <c r="I108" s="17" t="str">
        <f t="shared" si="3"/>
        <v>0.000000023e-2</v>
      </c>
      <c r="J108" s="17">
        <f t="shared" si="4"/>
        <v>0.00000000023</v>
      </c>
      <c r="K108" s="17" t="b">
        <f t="shared" si="5"/>
        <v>0</v>
      </c>
      <c r="L108" s="16" t="str">
        <f>IFERROR(__xludf.DUMMYFUNCTION("if(regexmatch(B108,""e(.*)$""),regexextract(B108,""e(.*)$""),"""")"),"-2")</f>
        <v>-2</v>
      </c>
      <c r="M108" s="18"/>
      <c r="N108" s="18">
        <f>countif(ConstantsUnits!C:C,F108)</f>
        <v>1</v>
      </c>
      <c r="O108" s="16" t="str">
        <f>ifna(VLOOKUP(A108,ConstantsUnits!A:A,1,false),"")</f>
        <v>electron volt-hartree relationship</v>
      </c>
    </row>
    <row r="109">
      <c r="A109" s="1" t="s">
        <v>441</v>
      </c>
      <c r="B109" s="1" t="s">
        <v>1904</v>
      </c>
      <c r="C109" s="1" t="s">
        <v>1905</v>
      </c>
      <c r="D109" s="1" t="s">
        <v>79</v>
      </c>
      <c r="F109" s="16" t="str">
        <f>ifna(VLOOKUP($A109,ConstantsUnits!$A:$C,3,false),"")</f>
        <v>ElectronVoltHertzRelationship</v>
      </c>
      <c r="G109" s="17" t="str">
        <f t="shared" si="1"/>
        <v>2.417989262e14</v>
      </c>
      <c r="H109" s="17">
        <f t="shared" si="2"/>
        <v>241798926200000</v>
      </c>
      <c r="I109" s="17" t="str">
        <f t="shared" si="3"/>
        <v>0.000000015e14</v>
      </c>
      <c r="J109" s="17">
        <f t="shared" si="4"/>
        <v>1500000</v>
      </c>
      <c r="K109" s="17" t="b">
        <f t="shared" si="5"/>
        <v>0</v>
      </c>
      <c r="L109" s="16" t="str">
        <f>IFERROR(__xludf.DUMMYFUNCTION("if(regexmatch(B109,""e(.*)$""),regexextract(B109,""e(.*)$""),"""")"),"14")</f>
        <v>14</v>
      </c>
      <c r="M109" s="18"/>
      <c r="N109" s="18">
        <f>countif(ConstantsUnits!C:C,F109)</f>
        <v>1</v>
      </c>
      <c r="O109" s="16" t="str">
        <f>ifna(VLOOKUP(A109,ConstantsUnits!A:A,1,false),"")</f>
        <v>electron volt-hertz relationship</v>
      </c>
    </row>
    <row r="110">
      <c r="A110" s="1" t="s">
        <v>444</v>
      </c>
      <c r="B110" s="1" t="s">
        <v>1906</v>
      </c>
      <c r="C110" s="1" t="s">
        <v>1907</v>
      </c>
      <c r="D110" s="1" t="s">
        <v>83</v>
      </c>
      <c r="F110" s="16" t="str">
        <f>ifna(VLOOKUP($A110,ConstantsUnits!$A:$C,3,false),"")</f>
        <v>ElectronVoltInverseMeterRelationship</v>
      </c>
      <c r="G110" s="17" t="str">
        <f t="shared" si="1"/>
        <v>8.065544005e5</v>
      </c>
      <c r="H110" s="17">
        <f t="shared" si="2"/>
        <v>806554.4005</v>
      </c>
      <c r="I110" s="17" t="str">
        <f t="shared" si="3"/>
        <v>0.000000050e5</v>
      </c>
      <c r="J110" s="17">
        <f t="shared" si="4"/>
        <v>0.005</v>
      </c>
      <c r="K110" s="17" t="b">
        <f t="shared" si="5"/>
        <v>0</v>
      </c>
      <c r="L110" s="16" t="str">
        <f>IFERROR(__xludf.DUMMYFUNCTION("if(regexmatch(B110,""e(.*)$""),regexextract(B110,""e(.*)$""),"""")"),"5")</f>
        <v>5</v>
      </c>
      <c r="M110" s="18"/>
      <c r="N110" s="18">
        <f>countif(ConstantsUnits!C:C,F110)</f>
        <v>1</v>
      </c>
      <c r="O110" s="16" t="str">
        <f>ifna(VLOOKUP(A110,ConstantsUnits!A:A,1,false),"")</f>
        <v>electron volt-inverse meter relationship</v>
      </c>
    </row>
    <row r="111">
      <c r="A111" s="1" t="s">
        <v>447</v>
      </c>
      <c r="B111" s="1" t="s">
        <v>1764</v>
      </c>
      <c r="C111" s="1" t="s">
        <v>1765</v>
      </c>
      <c r="D111" s="1" t="s">
        <v>41</v>
      </c>
      <c r="F111" s="16" t="str">
        <f>ifna(VLOOKUP($A111,ConstantsUnits!$A:$C,3,false),"")</f>
        <v>ElectronVoltJouleRelationship</v>
      </c>
      <c r="G111" s="17" t="str">
        <f t="shared" si="1"/>
        <v>1.6021766208e-19</v>
      </c>
      <c r="H111" s="17">
        <f t="shared" si="2"/>
        <v>0</v>
      </c>
      <c r="I111" s="17" t="str">
        <f t="shared" si="3"/>
        <v>0.0000000098e-19</v>
      </c>
      <c r="J111" s="17">
        <f t="shared" si="4"/>
        <v>0</v>
      </c>
      <c r="K111" s="17" t="b">
        <f t="shared" si="5"/>
        <v>0</v>
      </c>
      <c r="L111" s="16" t="str">
        <f>IFERROR(__xludf.DUMMYFUNCTION("if(regexmatch(B111,""e(.*)$""),regexextract(B111,""e(.*)$""),"""")"),"-19")</f>
        <v>-19</v>
      </c>
      <c r="M111" s="18"/>
      <c r="N111" s="18">
        <f>countif(ConstantsUnits!C:C,F111)</f>
        <v>1</v>
      </c>
      <c r="O111" s="16" t="str">
        <f>ifna(VLOOKUP(A111,ConstantsUnits!A:A,1,false),"")</f>
        <v>electron volt-joule relationship</v>
      </c>
    </row>
    <row r="112">
      <c r="A112" s="1" t="s">
        <v>450</v>
      </c>
      <c r="B112" s="1" t="s">
        <v>1908</v>
      </c>
      <c r="C112" s="1" t="s">
        <v>1909</v>
      </c>
      <c r="D112" s="1" t="s">
        <v>91</v>
      </c>
      <c r="F112" s="16" t="str">
        <f>ifna(VLOOKUP($A112,ConstantsUnits!$A:$C,3,false),"")</f>
        <v>ElectronVoltKelvinRelationship</v>
      </c>
      <c r="G112" s="17" t="str">
        <f t="shared" si="1"/>
        <v>1.16045221e4</v>
      </c>
      <c r="H112" s="17">
        <f t="shared" si="2"/>
        <v>11604.5221</v>
      </c>
      <c r="I112" s="17" t="str">
        <f t="shared" si="3"/>
        <v>0.00000067e4</v>
      </c>
      <c r="J112" s="17">
        <f t="shared" si="4"/>
        <v>0.0067</v>
      </c>
      <c r="K112" s="17" t="b">
        <f t="shared" si="5"/>
        <v>0</v>
      </c>
      <c r="L112" s="16" t="str">
        <f>IFERROR(__xludf.DUMMYFUNCTION("if(regexmatch(B112,""e(.*)$""),regexextract(B112,""e(.*)$""),"""")"),"4")</f>
        <v>4</v>
      </c>
      <c r="M112" s="18"/>
      <c r="N112" s="18">
        <f>countif(ConstantsUnits!C:C,F112)</f>
        <v>1</v>
      </c>
      <c r="O112" s="16" t="str">
        <f>ifna(VLOOKUP(A112,ConstantsUnits!A:A,1,false),"")</f>
        <v>electron volt-kelvin relationship</v>
      </c>
    </row>
    <row r="113">
      <c r="A113" s="1" t="s">
        <v>453</v>
      </c>
      <c r="B113" s="1" t="s">
        <v>1910</v>
      </c>
      <c r="C113" s="1" t="s">
        <v>1911</v>
      </c>
      <c r="D113" s="1" t="s">
        <v>38</v>
      </c>
      <c r="F113" s="16" t="str">
        <f>ifna(VLOOKUP($A113,ConstantsUnits!$A:$C,3,false),"")</f>
        <v>ElectronVoltKilogramRelationship</v>
      </c>
      <c r="G113" s="17" t="str">
        <f t="shared" si="1"/>
        <v>1.782661907e-36</v>
      </c>
      <c r="H113" s="17">
        <f t="shared" si="2"/>
        <v>0</v>
      </c>
      <c r="I113" s="17" t="str">
        <f t="shared" si="3"/>
        <v>0.000000011e-36</v>
      </c>
      <c r="J113" s="17">
        <f t="shared" si="4"/>
        <v>0</v>
      </c>
      <c r="K113" s="17" t="b">
        <f t="shared" si="5"/>
        <v>0</v>
      </c>
      <c r="L113" s="16" t="str">
        <f>IFERROR(__xludf.DUMMYFUNCTION("if(regexmatch(B113,""e(.*)$""),regexextract(B113,""e(.*)$""),"""")"),"-36")</f>
        <v>-36</v>
      </c>
      <c r="M113" s="18"/>
      <c r="N113" s="18">
        <f>countif(ConstantsUnits!C:C,F113)</f>
        <v>1</v>
      </c>
      <c r="O113" s="16" t="str">
        <f>ifna(VLOOKUP(A113,ConstantsUnits!A:A,1,false),"")</f>
        <v>electron volt-kilogram relationship</v>
      </c>
    </row>
    <row r="114">
      <c r="A114" s="1" t="s">
        <v>456</v>
      </c>
      <c r="B114" s="1" t="s">
        <v>1764</v>
      </c>
      <c r="C114" s="1" t="s">
        <v>1765</v>
      </c>
      <c r="D114" s="1" t="s">
        <v>113</v>
      </c>
      <c r="F114" s="16" t="str">
        <f>ifna(VLOOKUP($A114,ConstantsUnits!$A:$C,3,false),"")</f>
        <v>ElementaryCharge</v>
      </c>
      <c r="G114" s="17" t="str">
        <f t="shared" si="1"/>
        <v>1.6021766208e-19</v>
      </c>
      <c r="H114" s="17">
        <f t="shared" si="2"/>
        <v>0</v>
      </c>
      <c r="I114" s="17" t="str">
        <f t="shared" si="3"/>
        <v>0.0000000098e-19</v>
      </c>
      <c r="J114" s="17">
        <f t="shared" si="4"/>
        <v>0</v>
      </c>
      <c r="K114" s="17" t="b">
        <f t="shared" si="5"/>
        <v>0</v>
      </c>
      <c r="L114" s="16" t="str">
        <f>IFERROR(__xludf.DUMMYFUNCTION("if(regexmatch(B114,""e(.*)$""),regexextract(B114,""e(.*)$""),"""")"),"-19")</f>
        <v>-19</v>
      </c>
      <c r="M114" s="18"/>
      <c r="N114" s="18">
        <f>countif(ConstantsUnits!C:C,F114)</f>
        <v>1</v>
      </c>
      <c r="O114" s="16" t="str">
        <f>ifna(VLOOKUP(A114,ConstantsUnits!A:A,1,false),"")</f>
        <v>elementary charge</v>
      </c>
    </row>
    <row r="115">
      <c r="A115" s="1" t="s">
        <v>1912</v>
      </c>
      <c r="B115" s="1" t="s">
        <v>1904</v>
      </c>
      <c r="C115" s="1" t="s">
        <v>1905</v>
      </c>
      <c r="D115" s="1" t="s">
        <v>460</v>
      </c>
      <c r="F115" s="1" t="s">
        <v>462</v>
      </c>
      <c r="G115" s="17" t="str">
        <f t="shared" si="1"/>
        <v>2.417989262e14</v>
      </c>
      <c r="H115" s="17">
        <f t="shared" si="2"/>
        <v>241798926200000</v>
      </c>
      <c r="I115" s="17" t="str">
        <f t="shared" si="3"/>
        <v>0.000000015e14</v>
      </c>
      <c r="J115" s="17">
        <f t="shared" si="4"/>
        <v>1500000</v>
      </c>
      <c r="K115" s="17" t="b">
        <f t="shared" si="5"/>
        <v>0</v>
      </c>
      <c r="L115" s="16" t="str">
        <f>IFERROR(__xludf.DUMMYFUNCTION("if(regexmatch(B115,""e(.*)$""),regexextract(B115,""e(.*)$""),"""")"),"14")</f>
        <v>14</v>
      </c>
      <c r="M115" s="18"/>
      <c r="N115" s="18">
        <f>countif(ConstantsUnits!C:C,F115)</f>
        <v>1</v>
      </c>
      <c r="O115" s="16" t="str">
        <f>ifna(VLOOKUP(A115,ConstantsUnits!A:A,1,false),"")</f>
        <v/>
      </c>
    </row>
    <row r="116">
      <c r="A116" s="1" t="s">
        <v>464</v>
      </c>
      <c r="B116" s="1" t="s">
        <v>1913</v>
      </c>
      <c r="C116" s="1" t="s">
        <v>1914</v>
      </c>
      <c r="D116" s="1" t="s">
        <v>465</v>
      </c>
      <c r="F116" s="16" t="str">
        <f>ifna(VLOOKUP($A116,ConstantsUnits!$A:$C,3,false),"")</f>
        <v>FaradayConstant</v>
      </c>
      <c r="G116" s="17" t="str">
        <f t="shared" si="1"/>
        <v>96485.33289</v>
      </c>
      <c r="H116" s="17">
        <f t="shared" si="2"/>
        <v>96485.33289</v>
      </c>
      <c r="I116" s="17" t="str">
        <f t="shared" si="3"/>
        <v>0.00059</v>
      </c>
      <c r="J116" s="17">
        <f t="shared" si="4"/>
        <v>0.00059</v>
      </c>
      <c r="K116" s="17" t="b">
        <f t="shared" si="5"/>
        <v>0</v>
      </c>
      <c r="L116" s="16" t="str">
        <f>IFERROR(__xludf.DUMMYFUNCTION("if(regexmatch(B116,""e(.*)$""),regexextract(B116,""e(.*)$""),"""")"),"")</f>
        <v/>
      </c>
      <c r="M116" s="18"/>
      <c r="N116" s="18">
        <f>countif(ConstantsUnits!C:C,F116)</f>
        <v>1</v>
      </c>
      <c r="O116" s="16" t="str">
        <f>ifna(VLOOKUP(A116,ConstantsUnits!A:A,1,false),"")</f>
        <v>Faraday constant</v>
      </c>
    </row>
    <row r="117">
      <c r="A117" s="1" t="s">
        <v>469</v>
      </c>
      <c r="B117" s="1" t="s">
        <v>1915</v>
      </c>
      <c r="C117" s="19" t="s">
        <v>1916</v>
      </c>
      <c r="D117" s="1" t="s">
        <v>470</v>
      </c>
      <c r="F117" s="1" t="s">
        <v>471</v>
      </c>
      <c r="G117" s="17" t="str">
        <f t="shared" si="1"/>
        <v>96485.3251</v>
      </c>
      <c r="H117" s="17">
        <f t="shared" si="2"/>
        <v>96485.3251</v>
      </c>
      <c r="I117" s="17" t="str">
        <f t="shared" si="3"/>
        <v>0.0012</v>
      </c>
      <c r="J117" s="17">
        <f t="shared" si="4"/>
        <v>0.0012</v>
      </c>
      <c r="K117" s="17" t="b">
        <f t="shared" si="5"/>
        <v>0</v>
      </c>
      <c r="L117" s="16" t="str">
        <f>IFERROR(__xludf.DUMMYFUNCTION("if(regexmatch(B117,""e(.*)$""),regexextract(B117,""e(.*)$""),"""")"),"")</f>
        <v/>
      </c>
      <c r="M117" s="18"/>
      <c r="N117" s="18">
        <f>countif(ConstantsUnits!C:C,F117)</f>
        <v>1</v>
      </c>
      <c r="O117" s="16" t="str">
        <f>ifna(VLOOKUP(A117,ConstantsUnits!A:A,1,false),"")</f>
        <v>Faraday constant for conventional electric current</v>
      </c>
    </row>
    <row r="118">
      <c r="A118" s="1" t="s">
        <v>472</v>
      </c>
      <c r="B118" s="1" t="s">
        <v>1389</v>
      </c>
      <c r="C118" s="1" t="s">
        <v>1390</v>
      </c>
      <c r="D118" s="1" t="s">
        <v>473</v>
      </c>
      <c r="F118" s="16" t="str">
        <f>ifna(VLOOKUP($A118,ConstantsUnits!$A:$C,3,false),"")</f>
        <v>FermiCouplingConstant</v>
      </c>
      <c r="G118" s="17" t="str">
        <f t="shared" si="1"/>
        <v>1.1663787e-5</v>
      </c>
      <c r="H118" s="17">
        <f t="shared" si="2"/>
        <v>0.000011663787</v>
      </c>
      <c r="I118" s="17" t="str">
        <f t="shared" si="3"/>
        <v>0.0000006e-5</v>
      </c>
      <c r="J118" s="17">
        <f t="shared" si="4"/>
        <v>0</v>
      </c>
      <c r="K118" s="17" t="b">
        <f t="shared" si="5"/>
        <v>0</v>
      </c>
      <c r="L118" s="16" t="str">
        <f>IFERROR(__xludf.DUMMYFUNCTION("if(regexmatch(B118,""e(.*)$""),regexextract(B118,""e(.*)$""),"""")"),"-5")</f>
        <v>-5</v>
      </c>
      <c r="M118" s="18"/>
      <c r="N118" s="18">
        <f>countif(ConstantsUnits!C:C,F118)</f>
        <v>1</v>
      </c>
      <c r="O118" s="16" t="str">
        <f>ifna(VLOOKUP(A118,ConstantsUnits!A:A,1,false),"")</f>
        <v>Fermi coupling constant</v>
      </c>
    </row>
    <row r="119">
      <c r="A119" s="1" t="s">
        <v>477</v>
      </c>
      <c r="B119" s="1" t="s">
        <v>1917</v>
      </c>
      <c r="C119" s="1" t="s">
        <v>1918</v>
      </c>
      <c r="F119" s="16" t="str">
        <f>ifna(VLOOKUP($A119,ConstantsUnits!$A:$C,3,false),"")</f>
        <v>FineStructureConstant</v>
      </c>
      <c r="G119" s="17" t="str">
        <f t="shared" si="1"/>
        <v>7.2973525664e-3</v>
      </c>
      <c r="H119" s="17">
        <f t="shared" si="2"/>
        <v>0.007297352566</v>
      </c>
      <c r="I119" s="17" t="str">
        <f t="shared" si="3"/>
        <v>0.0000000017e-3</v>
      </c>
      <c r="J119" s="17">
        <f t="shared" si="4"/>
        <v>0</v>
      </c>
      <c r="K119" s="17" t="b">
        <f t="shared" si="5"/>
        <v>0</v>
      </c>
      <c r="L119" s="16" t="str">
        <f>IFERROR(__xludf.DUMMYFUNCTION("if(regexmatch(B119,""e(.*)$""),regexextract(B119,""e(.*)$""),"""")"),"-3")</f>
        <v>-3</v>
      </c>
      <c r="M119" s="18"/>
      <c r="N119" s="18">
        <f>countif(ConstantsUnits!C:C,F119)</f>
        <v>1</v>
      </c>
      <c r="O119" s="16" t="str">
        <f>ifna(VLOOKUP(A119,ConstantsUnits!A:A,1,false),"")</f>
        <v>fine-structure constant</v>
      </c>
    </row>
    <row r="120">
      <c r="A120" s="1" t="s">
        <v>480</v>
      </c>
      <c r="B120" s="1" t="s">
        <v>1919</v>
      </c>
      <c r="C120" s="1" t="s">
        <v>1920</v>
      </c>
      <c r="D120" s="1" t="s">
        <v>481</v>
      </c>
      <c r="F120" s="16" t="str">
        <f>ifna(VLOOKUP($A120,ConstantsUnits!$A:$C,3,false),"")</f>
        <v>FirstRadiationConstant</v>
      </c>
      <c r="G120" s="17" t="str">
        <f t="shared" si="1"/>
        <v>3.741771790e-16</v>
      </c>
      <c r="H120" s="17">
        <f t="shared" si="2"/>
        <v>0</v>
      </c>
      <c r="I120" s="17" t="str">
        <f t="shared" si="3"/>
        <v>0.000000046e-16</v>
      </c>
      <c r="J120" s="17">
        <f t="shared" si="4"/>
        <v>0</v>
      </c>
      <c r="K120" s="17" t="b">
        <f t="shared" si="5"/>
        <v>0</v>
      </c>
      <c r="L120" s="16" t="str">
        <f>IFERROR(__xludf.DUMMYFUNCTION("if(regexmatch(B120,""e(.*)$""),regexextract(B120,""e(.*)$""),"""")"),"-16")</f>
        <v>-16</v>
      </c>
      <c r="M120" s="18"/>
      <c r="N120" s="18">
        <f>countif(ConstantsUnits!C:C,F120)</f>
        <v>1</v>
      </c>
      <c r="O120" s="16" t="str">
        <f>ifna(VLOOKUP(A120,ConstantsUnits!A:A,1,false),"")</f>
        <v>first radiation constant</v>
      </c>
    </row>
    <row r="121">
      <c r="A121" s="1" t="s">
        <v>485</v>
      </c>
      <c r="B121" s="1" t="s">
        <v>1921</v>
      </c>
      <c r="C121" s="1" t="s">
        <v>1922</v>
      </c>
      <c r="D121" s="1" t="s">
        <v>486</v>
      </c>
      <c r="F121" s="16" t="str">
        <f>ifna(VLOOKUP($A121,ConstantsUnits!$A:$C,3,false),"")</f>
        <v>FirstRadiationConstantForSpectralRadiance</v>
      </c>
      <c r="G121" s="17" t="str">
        <f t="shared" si="1"/>
        <v>1.191042953e-16</v>
      </c>
      <c r="H121" s="17">
        <f t="shared" si="2"/>
        <v>0</v>
      </c>
      <c r="I121" s="17" t="str">
        <f t="shared" si="3"/>
        <v>0.000000015e-16</v>
      </c>
      <c r="J121" s="17">
        <f t="shared" si="4"/>
        <v>0</v>
      </c>
      <c r="K121" s="17" t="b">
        <f t="shared" si="5"/>
        <v>0</v>
      </c>
      <c r="L121" s="16" t="str">
        <f>IFERROR(__xludf.DUMMYFUNCTION("if(regexmatch(B121,""e(.*)$""),regexextract(B121,""e(.*)$""),"""")"),"-16")</f>
        <v>-16</v>
      </c>
      <c r="M121" s="18"/>
      <c r="N121" s="18">
        <f>countif(ConstantsUnits!C:C,F121)</f>
        <v>1</v>
      </c>
      <c r="O121" s="16" t="str">
        <f>ifna(VLOOKUP(A121,ConstantsUnits!A:A,1,false),"")</f>
        <v>first radiation constant for spectral radiance</v>
      </c>
    </row>
    <row r="122">
      <c r="A122" s="1" t="s">
        <v>492</v>
      </c>
      <c r="B122" s="1" t="s">
        <v>1923</v>
      </c>
      <c r="C122" s="1" t="s">
        <v>1924</v>
      </c>
      <c r="D122" s="1" t="s">
        <v>48</v>
      </c>
      <c r="F122" s="16" t="str">
        <f>ifna(VLOOKUP($A122,ConstantsUnits!$A:$C,3,false),"")</f>
        <v>HartreeAtomicMassUnitRelationship</v>
      </c>
      <c r="G122" s="17" t="str">
        <f t="shared" si="1"/>
        <v>2.9212623197e-8</v>
      </c>
      <c r="H122" s="17">
        <f t="shared" si="2"/>
        <v>0.0000000292126232</v>
      </c>
      <c r="I122" s="17" t="str">
        <f t="shared" si="3"/>
        <v>0.0000000013e-8</v>
      </c>
      <c r="J122" s="17">
        <f t="shared" si="4"/>
        <v>0</v>
      </c>
      <c r="K122" s="17" t="b">
        <f t="shared" si="5"/>
        <v>0</v>
      </c>
      <c r="L122" s="16" t="str">
        <f>IFERROR(__xludf.DUMMYFUNCTION("if(regexmatch(B122,""e(.*)$""),regexextract(B122,""e(.*)$""),"""")"),"-8")</f>
        <v>-8</v>
      </c>
      <c r="M122" s="18"/>
      <c r="N122" s="18">
        <f>countif(ConstantsUnits!C:C,F122)</f>
        <v>1</v>
      </c>
      <c r="O122" s="16" t="str">
        <f>ifna(VLOOKUP(A122,ConstantsUnits!A:A,1,false),"")</f>
        <v>hartree-atomic mass unit relationship</v>
      </c>
    </row>
    <row r="123">
      <c r="A123" s="1" t="s">
        <v>495</v>
      </c>
      <c r="B123" s="1" t="s">
        <v>1778</v>
      </c>
      <c r="C123" s="1" t="s">
        <v>1779</v>
      </c>
      <c r="D123" s="1" t="s">
        <v>70</v>
      </c>
      <c r="F123" s="16" t="str">
        <f>ifna(VLOOKUP($A123,ConstantsUnits!$A:$C,3,false),"")</f>
        <v>HartreeElectronVoltRelationship</v>
      </c>
      <c r="G123" s="17" t="str">
        <f t="shared" si="1"/>
        <v>27.21138602</v>
      </c>
      <c r="H123" s="17">
        <f t="shared" si="2"/>
        <v>27.21138602</v>
      </c>
      <c r="I123" s="17" t="str">
        <f t="shared" si="3"/>
        <v>0.00000017</v>
      </c>
      <c r="J123" s="17">
        <f t="shared" si="4"/>
        <v>0.00000017</v>
      </c>
      <c r="K123" s="17" t="b">
        <f t="shared" si="5"/>
        <v>0</v>
      </c>
      <c r="L123" s="16" t="str">
        <f>IFERROR(__xludf.DUMMYFUNCTION("if(regexmatch(B123,""e(.*)$""),regexextract(B123,""e(.*)$""),"""")"),"")</f>
        <v/>
      </c>
      <c r="M123" s="18"/>
      <c r="N123" s="18">
        <f>countif(ConstantsUnits!C:C,F123)</f>
        <v>1</v>
      </c>
      <c r="O123" s="16" t="str">
        <f>ifna(VLOOKUP(A123,ConstantsUnits!A:A,1,false),"")</f>
        <v>hartree-electron volt relationship</v>
      </c>
    </row>
    <row r="124">
      <c r="A124" s="1" t="s">
        <v>498</v>
      </c>
      <c r="B124" s="1" t="s">
        <v>1782</v>
      </c>
      <c r="C124" s="1" t="s">
        <v>1783</v>
      </c>
      <c r="D124" s="1" t="s">
        <v>41</v>
      </c>
      <c r="F124" s="16" t="str">
        <f>ifna(VLOOKUP($A124,ConstantsUnits!$A:$C,3,false),"")</f>
        <v>HartreeEnergy</v>
      </c>
      <c r="G124" s="17" t="str">
        <f t="shared" si="1"/>
        <v>4.359744650e-18</v>
      </c>
      <c r="H124" s="17">
        <f t="shared" si="2"/>
        <v>0</v>
      </c>
      <c r="I124" s="17" t="str">
        <f t="shared" si="3"/>
        <v>0.000000054e-18</v>
      </c>
      <c r="J124" s="17">
        <f t="shared" si="4"/>
        <v>0</v>
      </c>
      <c r="K124" s="17" t="b">
        <f t="shared" si="5"/>
        <v>0</v>
      </c>
      <c r="L124" s="16" t="str">
        <f>IFERROR(__xludf.DUMMYFUNCTION("if(regexmatch(B124,""e(.*)$""),regexextract(B124,""e(.*)$""),"""")"),"-18")</f>
        <v>-18</v>
      </c>
      <c r="M124" s="18"/>
      <c r="N124" s="18">
        <f>countif(ConstantsUnits!C:C,F124)</f>
        <v>1</v>
      </c>
      <c r="O124" s="16" t="str">
        <f>ifna(VLOOKUP(A124,ConstantsUnits!A:A,1,false),"")</f>
        <v>Hartree energy</v>
      </c>
    </row>
    <row r="125">
      <c r="A125" s="1" t="s">
        <v>501</v>
      </c>
      <c r="B125" s="1" t="s">
        <v>1778</v>
      </c>
      <c r="C125" s="1" t="s">
        <v>1779</v>
      </c>
      <c r="D125" s="1" t="s">
        <v>70</v>
      </c>
      <c r="F125" s="16" t="str">
        <f>ifna(VLOOKUP($A125,ConstantsUnits!$A:$C,3,false),"")</f>
        <v>HartreeEnergyInEV</v>
      </c>
      <c r="G125" s="17" t="str">
        <f t="shared" si="1"/>
        <v>27.21138602</v>
      </c>
      <c r="H125" s="17">
        <f t="shared" si="2"/>
        <v>27.21138602</v>
      </c>
      <c r="I125" s="17" t="str">
        <f t="shared" si="3"/>
        <v>0.00000017</v>
      </c>
      <c r="J125" s="17">
        <f t="shared" si="4"/>
        <v>0.00000017</v>
      </c>
      <c r="K125" s="17" t="b">
        <f t="shared" si="5"/>
        <v>0</v>
      </c>
      <c r="L125" s="16" t="str">
        <f>IFERROR(__xludf.DUMMYFUNCTION("if(regexmatch(B125,""e(.*)$""),regexextract(B125,""e(.*)$""),"""")"),"")</f>
        <v/>
      </c>
      <c r="M125" s="18"/>
      <c r="N125" s="18">
        <f>countif(ConstantsUnits!C:C,F125)</f>
        <v>1</v>
      </c>
      <c r="O125" s="16" t="str">
        <f>ifna(VLOOKUP(A125,ConstantsUnits!A:A,1,false),"")</f>
        <v>Hartree energy in eV</v>
      </c>
    </row>
    <row r="126">
      <c r="A126" s="1" t="s">
        <v>504</v>
      </c>
      <c r="B126" s="1" t="s">
        <v>1925</v>
      </c>
      <c r="C126" s="1" t="s">
        <v>1926</v>
      </c>
      <c r="D126" s="1" t="s">
        <v>79</v>
      </c>
      <c r="F126" s="16" t="str">
        <f>ifna(VLOOKUP($A126,ConstantsUnits!$A:$C,3,false),"")</f>
        <v>HartreeHertzRelationship</v>
      </c>
      <c r="G126" s="17" t="str">
        <f t="shared" si="1"/>
        <v>6.579683920711e15</v>
      </c>
      <c r="H126" s="17">
        <f t="shared" si="2"/>
        <v>6.57968E+15</v>
      </c>
      <c r="I126" s="17" t="str">
        <f t="shared" si="3"/>
        <v>0.000000000039e15</v>
      </c>
      <c r="J126" s="17">
        <f t="shared" si="4"/>
        <v>39000</v>
      </c>
      <c r="K126" s="17" t="b">
        <f t="shared" si="5"/>
        <v>0</v>
      </c>
      <c r="L126" s="16" t="str">
        <f>IFERROR(__xludf.DUMMYFUNCTION("if(regexmatch(B126,""e(.*)$""),regexextract(B126,""e(.*)$""),"""")"),"15")</f>
        <v>15</v>
      </c>
      <c r="M126" s="18"/>
      <c r="N126" s="18">
        <f>countif(ConstantsUnits!C:C,F126)</f>
        <v>1</v>
      </c>
      <c r="O126" s="16" t="str">
        <f>ifna(VLOOKUP(A126,ConstantsUnits!A:A,1,false),"")</f>
        <v>hartree-hertz relationship</v>
      </c>
    </row>
    <row r="127">
      <c r="A127" s="1" t="s">
        <v>507</v>
      </c>
      <c r="B127" s="1" t="s">
        <v>1927</v>
      </c>
      <c r="C127" s="1" t="s">
        <v>1928</v>
      </c>
      <c r="D127" s="1" t="s">
        <v>83</v>
      </c>
      <c r="F127" s="16" t="str">
        <f>ifna(VLOOKUP($A127,ConstantsUnits!$A:$C,3,false),"")</f>
        <v>HartreeInverseMeterRelationship</v>
      </c>
      <c r="G127" s="17" t="str">
        <f t="shared" si="1"/>
        <v>2.194746313702e7</v>
      </c>
      <c r="H127" s="17">
        <f t="shared" si="2"/>
        <v>21947463.14</v>
      </c>
      <c r="I127" s="17" t="str">
        <f t="shared" si="3"/>
        <v>0.000000000013e7</v>
      </c>
      <c r="J127" s="17">
        <f t="shared" si="4"/>
        <v>0.00013</v>
      </c>
      <c r="K127" s="17" t="b">
        <f t="shared" si="5"/>
        <v>0</v>
      </c>
      <c r="L127" s="16" t="str">
        <f>IFERROR(__xludf.DUMMYFUNCTION("if(regexmatch(B127,""e(.*)$""),regexextract(B127,""e(.*)$""),"""")"),"7")</f>
        <v>7</v>
      </c>
      <c r="M127" s="18"/>
      <c r="N127" s="18">
        <f>countif(ConstantsUnits!C:C,F127)</f>
        <v>1</v>
      </c>
      <c r="O127" s="16" t="str">
        <f>ifna(VLOOKUP(A127,ConstantsUnits!A:A,1,false),"")</f>
        <v>hartree-inverse meter relationship</v>
      </c>
    </row>
    <row r="128">
      <c r="A128" s="1" t="s">
        <v>510</v>
      </c>
      <c r="B128" s="1" t="s">
        <v>1782</v>
      </c>
      <c r="C128" s="1" t="s">
        <v>1783</v>
      </c>
      <c r="D128" s="1" t="s">
        <v>41</v>
      </c>
      <c r="F128" s="16" t="str">
        <f>ifna(VLOOKUP($A128,ConstantsUnits!$A:$C,3,false),"")</f>
        <v>HartreeJouleRelationship</v>
      </c>
      <c r="G128" s="17" t="str">
        <f t="shared" si="1"/>
        <v>4.359744650e-18</v>
      </c>
      <c r="H128" s="17">
        <f t="shared" si="2"/>
        <v>0</v>
      </c>
      <c r="I128" s="17" t="str">
        <f t="shared" si="3"/>
        <v>0.000000054e-18</v>
      </c>
      <c r="J128" s="17">
        <f t="shared" si="4"/>
        <v>0</v>
      </c>
      <c r="K128" s="17" t="b">
        <f t="shared" si="5"/>
        <v>0</v>
      </c>
      <c r="L128" s="16" t="str">
        <f>IFERROR(__xludf.DUMMYFUNCTION("if(regexmatch(B128,""e(.*)$""),regexextract(B128,""e(.*)$""),"""")"),"-18")</f>
        <v>-18</v>
      </c>
      <c r="M128" s="18"/>
      <c r="N128" s="18">
        <f>countif(ConstantsUnits!C:C,F128)</f>
        <v>1</v>
      </c>
      <c r="O128" s="16" t="str">
        <f>ifna(VLOOKUP(A128,ConstantsUnits!A:A,1,false),"")</f>
        <v>hartree-joule relationship</v>
      </c>
    </row>
    <row r="129">
      <c r="A129" s="1" t="s">
        <v>513</v>
      </c>
      <c r="B129" s="1" t="s">
        <v>1929</v>
      </c>
      <c r="C129" s="1" t="s">
        <v>1930</v>
      </c>
      <c r="D129" s="1" t="s">
        <v>91</v>
      </c>
      <c r="F129" s="16" t="str">
        <f>ifna(VLOOKUP($A129,ConstantsUnits!$A:$C,3,false),"")</f>
        <v>HartreeKelvinRelationship</v>
      </c>
      <c r="G129" s="17" t="str">
        <f t="shared" si="1"/>
        <v>3.1577513e5</v>
      </c>
      <c r="H129" s="17">
        <f t="shared" si="2"/>
        <v>315775.13</v>
      </c>
      <c r="I129" s="17" t="str">
        <f t="shared" si="3"/>
        <v>0.0000018e5</v>
      </c>
      <c r="J129" s="17">
        <f t="shared" si="4"/>
        <v>0.18</v>
      </c>
      <c r="K129" s="17" t="b">
        <f t="shared" si="5"/>
        <v>0</v>
      </c>
      <c r="L129" s="16" t="str">
        <f>IFERROR(__xludf.DUMMYFUNCTION("if(regexmatch(B129,""e(.*)$""),regexextract(B129,""e(.*)$""),"""")"),"5")</f>
        <v>5</v>
      </c>
      <c r="M129" s="18"/>
      <c r="N129" s="18">
        <f>countif(ConstantsUnits!C:C,F129)</f>
        <v>1</v>
      </c>
      <c r="O129" s="16" t="str">
        <f>ifna(VLOOKUP(A129,ConstantsUnits!A:A,1,false),"")</f>
        <v>hartree-kelvin relationship</v>
      </c>
    </row>
    <row r="130">
      <c r="A130" s="1" t="s">
        <v>516</v>
      </c>
      <c r="B130" s="1" t="s">
        <v>1931</v>
      </c>
      <c r="C130" s="1" t="s">
        <v>1932</v>
      </c>
      <c r="D130" s="1" t="s">
        <v>38</v>
      </c>
      <c r="F130" s="16" t="str">
        <f>ifna(VLOOKUP($A130,ConstantsUnits!$A:$C,3,false),"")</f>
        <v>HartreeKilogramRelationship</v>
      </c>
      <c r="G130" s="17" t="str">
        <f t="shared" si="1"/>
        <v>4.850870129e-35</v>
      </c>
      <c r="H130" s="17">
        <f t="shared" si="2"/>
        <v>0</v>
      </c>
      <c r="I130" s="17" t="str">
        <f t="shared" si="3"/>
        <v>0.000000060e-35</v>
      </c>
      <c r="J130" s="17">
        <f t="shared" si="4"/>
        <v>0</v>
      </c>
      <c r="K130" s="17" t="b">
        <f t="shared" si="5"/>
        <v>0</v>
      </c>
      <c r="L130" s="16" t="str">
        <f>IFERROR(__xludf.DUMMYFUNCTION("if(regexmatch(B130,""e(.*)$""),regexextract(B130,""e(.*)$""),"""")"),"-35")</f>
        <v>-35</v>
      </c>
      <c r="M130" s="18"/>
      <c r="N130" s="18">
        <f>countif(ConstantsUnits!C:C,F130)</f>
        <v>1</v>
      </c>
      <c r="O130" s="16" t="str">
        <f>ifna(VLOOKUP(A130,ConstantsUnits!A:A,1,false),"")</f>
        <v>hartree-kilogram relationship</v>
      </c>
    </row>
    <row r="131">
      <c r="A131" s="1" t="s">
        <v>519</v>
      </c>
      <c r="B131" s="1" t="s">
        <v>1933</v>
      </c>
      <c r="C131" s="1" t="s">
        <v>1698</v>
      </c>
      <c r="F131" s="16" t="str">
        <f>ifna(VLOOKUP($A131,ConstantsUnits!$A:$C,3,false),"")</f>
        <v>HelionElectronMassRatio</v>
      </c>
      <c r="G131" s="17" t="str">
        <f t="shared" si="1"/>
        <v>5495.88527922</v>
      </c>
      <c r="H131" s="17">
        <f t="shared" si="2"/>
        <v>5495.885279</v>
      </c>
      <c r="I131" s="17" t="str">
        <f t="shared" si="3"/>
        <v>0.00000027</v>
      </c>
      <c r="J131" s="17">
        <f t="shared" si="4"/>
        <v>0.00000027</v>
      </c>
      <c r="K131" s="17" t="b">
        <f t="shared" si="5"/>
        <v>0</v>
      </c>
      <c r="L131" s="16" t="str">
        <f>IFERROR(__xludf.DUMMYFUNCTION("if(regexmatch(B131,""e(.*)$""),regexextract(B131,""e(.*)$""),"""")"),"")</f>
        <v/>
      </c>
      <c r="M131" s="18"/>
      <c r="N131" s="18">
        <f>countif(ConstantsUnits!C:C,F131)</f>
        <v>1</v>
      </c>
      <c r="O131" s="16" t="str">
        <f>ifna(VLOOKUP(A131,ConstantsUnits!A:A,1,false),"")</f>
        <v>helion-electron mass ratio</v>
      </c>
    </row>
    <row r="132">
      <c r="A132" s="1" t="s">
        <v>522</v>
      </c>
      <c r="B132" s="1" t="s">
        <v>1934</v>
      </c>
      <c r="C132" s="1" t="s">
        <v>1407</v>
      </c>
      <c r="F132" s="16" t="str">
        <f>ifna(VLOOKUP($A132,ConstantsUnits!$A:$C,3,false),"")</f>
        <v>HelionGFactor</v>
      </c>
      <c r="G132" s="17" t="str">
        <f t="shared" si="1"/>
        <v>-4.255250616</v>
      </c>
      <c r="H132" s="17">
        <f t="shared" si="2"/>
        <v>-4.255250616</v>
      </c>
      <c r="I132" s="17" t="str">
        <f t="shared" si="3"/>
        <v>0.000000050</v>
      </c>
      <c r="J132" s="17">
        <f t="shared" si="4"/>
        <v>0.00000005</v>
      </c>
      <c r="K132" s="17" t="b">
        <f t="shared" si="5"/>
        <v>0</v>
      </c>
      <c r="L132" s="16" t="str">
        <f>IFERROR(__xludf.DUMMYFUNCTION("if(regexmatch(B132,""e(.*)$""),regexextract(B132,""e(.*)$""),"""")"),"")</f>
        <v/>
      </c>
      <c r="M132" s="18"/>
      <c r="N132" s="18">
        <f>countif(ConstantsUnits!C:C,F132)</f>
        <v>1</v>
      </c>
      <c r="O132" s="16" t="str">
        <f>ifna(VLOOKUP(A132,ConstantsUnits!A:A,1,false),"")</f>
        <v>helion g factor</v>
      </c>
    </row>
    <row r="133">
      <c r="A133" s="1" t="s">
        <v>524</v>
      </c>
      <c r="B133" s="1" t="s">
        <v>1935</v>
      </c>
      <c r="C133" s="1" t="s">
        <v>1936</v>
      </c>
      <c r="D133" s="1" t="s">
        <v>165</v>
      </c>
      <c r="F133" s="16" t="str">
        <f>ifna(VLOOKUP($A133,ConstantsUnits!$A:$C,3,false),"")</f>
        <v>HelionMag.Mom.</v>
      </c>
      <c r="G133" s="17" t="str">
        <f t="shared" si="1"/>
        <v>-1.074617522e-26</v>
      </c>
      <c r="H133" s="17">
        <f t="shared" si="2"/>
        <v>0</v>
      </c>
      <c r="I133" s="17" t="str">
        <f t="shared" si="3"/>
        <v>0.000000014e-26</v>
      </c>
      <c r="J133" s="17">
        <f t="shared" si="4"/>
        <v>0</v>
      </c>
      <c r="K133" s="17" t="b">
        <f t="shared" si="5"/>
        <v>0</v>
      </c>
      <c r="L133" s="16" t="str">
        <f>IFERROR(__xludf.DUMMYFUNCTION("if(regexmatch(B133,""e(.*)$""),regexextract(B133,""e(.*)$""),"""")"),"-26")</f>
        <v>-26</v>
      </c>
      <c r="M133" s="18"/>
      <c r="N133" s="18">
        <f>countif(ConstantsUnits!C:C,F133)</f>
        <v>1</v>
      </c>
      <c r="O133" s="16" t="str">
        <f>ifna(VLOOKUP(A133,ConstantsUnits!A:A,1,false),"")</f>
        <v>helion mag. mom.</v>
      </c>
    </row>
    <row r="134">
      <c r="A134" s="1" t="s">
        <v>526</v>
      </c>
      <c r="B134" s="1" t="s">
        <v>1410</v>
      </c>
      <c r="C134" s="1" t="s">
        <v>1411</v>
      </c>
      <c r="F134" s="16" t="str">
        <f>ifna(VLOOKUP($A134,ConstantsUnits!$A:$C,3,false),"")</f>
        <v>HelionMag.Mom.ToBohrMagnetonRatio</v>
      </c>
      <c r="G134" s="17" t="str">
        <f t="shared" si="1"/>
        <v>-1.158740958e-3</v>
      </c>
      <c r="H134" s="17">
        <f t="shared" si="2"/>
        <v>-0.001158740958</v>
      </c>
      <c r="I134" s="17" t="str">
        <f t="shared" si="3"/>
        <v>0.000000014e-3</v>
      </c>
      <c r="J134" s="17">
        <f t="shared" si="4"/>
        <v>0</v>
      </c>
      <c r="K134" s="17" t="b">
        <f t="shared" si="5"/>
        <v>0</v>
      </c>
      <c r="L134" s="16" t="str">
        <f>IFERROR(__xludf.DUMMYFUNCTION("if(regexmatch(B134,""e(.*)$""),regexextract(B134,""e(.*)$""),"""")"),"-3")</f>
        <v>-3</v>
      </c>
      <c r="M134" s="18"/>
      <c r="N134" s="18">
        <f>countif(ConstantsUnits!C:C,F134)</f>
        <v>1</v>
      </c>
      <c r="O134" s="16" t="str">
        <f>ifna(VLOOKUP(A134,ConstantsUnits!A:A,1,false),"")</f>
        <v>helion mag. mom. to Bohr magneton ratio</v>
      </c>
    </row>
    <row r="135">
      <c r="A135" s="1" t="s">
        <v>528</v>
      </c>
      <c r="B135" s="1" t="s">
        <v>1937</v>
      </c>
      <c r="C135" s="1" t="s">
        <v>1413</v>
      </c>
      <c r="F135" s="16" t="str">
        <f>ifna(VLOOKUP($A135,ConstantsUnits!$A:$C,3,false),"")</f>
        <v>HelionMag.Mom.ToNuclearMagnetonRatio</v>
      </c>
      <c r="G135" s="17" t="str">
        <f t="shared" si="1"/>
        <v>-2.127625308</v>
      </c>
      <c r="H135" s="17">
        <f t="shared" si="2"/>
        <v>-2.127625308</v>
      </c>
      <c r="I135" s="17" t="str">
        <f t="shared" si="3"/>
        <v>0.000000025</v>
      </c>
      <c r="J135" s="17">
        <f t="shared" si="4"/>
        <v>0.000000025</v>
      </c>
      <c r="K135" s="17" t="b">
        <f t="shared" si="5"/>
        <v>0</v>
      </c>
      <c r="L135" s="16" t="str">
        <f>IFERROR(__xludf.DUMMYFUNCTION("if(regexmatch(B135,""e(.*)$""),regexextract(B135,""e(.*)$""),"""")"),"")</f>
        <v/>
      </c>
      <c r="M135" s="18"/>
      <c r="N135" s="18">
        <f>countif(ConstantsUnits!C:C,F135)</f>
        <v>1</v>
      </c>
      <c r="O135" s="16" t="str">
        <f>ifna(VLOOKUP(A135,ConstantsUnits!A:A,1,false),"")</f>
        <v>helion mag. mom. to nuclear magneton ratio</v>
      </c>
    </row>
    <row r="136">
      <c r="A136" s="1" t="s">
        <v>530</v>
      </c>
      <c r="B136" s="1" t="s">
        <v>1938</v>
      </c>
      <c r="C136" s="1" t="s">
        <v>1939</v>
      </c>
      <c r="D136" s="1" t="s">
        <v>38</v>
      </c>
      <c r="F136" s="16" t="str">
        <f>ifna(VLOOKUP($A136,ConstantsUnits!$A:$C,3,false),"")</f>
        <v>HelionMass</v>
      </c>
      <c r="G136" s="17" t="str">
        <f t="shared" si="1"/>
        <v>5.006412700e-27</v>
      </c>
      <c r="H136" s="17">
        <f t="shared" si="2"/>
        <v>0</v>
      </c>
      <c r="I136" s="17" t="str">
        <f t="shared" si="3"/>
        <v>0.000000062e-27</v>
      </c>
      <c r="J136" s="17">
        <f t="shared" si="4"/>
        <v>0</v>
      </c>
      <c r="K136" s="17" t="b">
        <f t="shared" si="5"/>
        <v>0</v>
      </c>
      <c r="L136" s="16" t="str">
        <f>IFERROR(__xludf.DUMMYFUNCTION("if(regexmatch(B136,""e(.*)$""),regexextract(B136,""e(.*)$""),"""")"),"-27")</f>
        <v>-27</v>
      </c>
      <c r="M136" s="18"/>
      <c r="N136" s="18">
        <f>countif(ConstantsUnits!C:C,F136)</f>
        <v>1</v>
      </c>
      <c r="O136" s="16" t="str">
        <f>ifna(VLOOKUP(A136,ConstantsUnits!A:A,1,false),"")</f>
        <v>helion mass</v>
      </c>
    </row>
    <row r="137">
      <c r="A137" s="1" t="s">
        <v>533</v>
      </c>
      <c r="B137" s="1" t="s">
        <v>1940</v>
      </c>
      <c r="C137" s="1" t="s">
        <v>1941</v>
      </c>
      <c r="D137" s="1" t="s">
        <v>41</v>
      </c>
      <c r="F137" s="16" t="str">
        <f>ifna(VLOOKUP($A137,ConstantsUnits!$A:$C,3,false),"")</f>
        <v>HelionMassEnergyEquivalent</v>
      </c>
      <c r="G137" s="17" t="str">
        <f t="shared" si="1"/>
        <v>4.499539341e-10</v>
      </c>
      <c r="H137" s="17">
        <f t="shared" si="2"/>
        <v>0.0000000004499539341</v>
      </c>
      <c r="I137" s="17" t="str">
        <f t="shared" si="3"/>
        <v>0.000000055e-10</v>
      </c>
      <c r="J137" s="17">
        <f t="shared" si="4"/>
        <v>0</v>
      </c>
      <c r="K137" s="17" t="b">
        <f t="shared" si="5"/>
        <v>0</v>
      </c>
      <c r="L137" s="16" t="str">
        <f>IFERROR(__xludf.DUMMYFUNCTION("if(regexmatch(B137,""e(.*)$""),regexextract(B137,""e(.*)$""),"""")"),"-10")</f>
        <v>-10</v>
      </c>
      <c r="M137" s="18"/>
      <c r="N137" s="18">
        <f>countif(ConstantsUnits!C:C,F137)</f>
        <v>1</v>
      </c>
      <c r="O137" s="16" t="str">
        <f>ifna(VLOOKUP(A137,ConstantsUnits!A:A,1,false),"")</f>
        <v>helion mass energy equivalent</v>
      </c>
    </row>
    <row r="138">
      <c r="A138" s="1" t="s">
        <v>536</v>
      </c>
      <c r="B138" s="1" t="s">
        <v>1942</v>
      </c>
      <c r="C138" s="1" t="s">
        <v>1943</v>
      </c>
      <c r="D138" s="1" t="s">
        <v>45</v>
      </c>
      <c r="F138" s="16" t="str">
        <f>ifna(VLOOKUP($A138,ConstantsUnits!$A:$C,3,false),"")</f>
        <v>HelionMassEnergyEquivalentInMeV</v>
      </c>
      <c r="G138" s="17" t="str">
        <f t="shared" si="1"/>
        <v>2808.391586</v>
      </c>
      <c r="H138" s="17">
        <f t="shared" si="2"/>
        <v>2808.391586</v>
      </c>
      <c r="I138" s="17" t="str">
        <f t="shared" si="3"/>
        <v>0.000017</v>
      </c>
      <c r="J138" s="17">
        <f t="shared" si="4"/>
        <v>0.000017</v>
      </c>
      <c r="K138" s="17" t="b">
        <f t="shared" si="5"/>
        <v>0</v>
      </c>
      <c r="L138" s="16" t="str">
        <f>IFERROR(__xludf.DUMMYFUNCTION("if(regexmatch(B138,""e(.*)$""),regexextract(B138,""e(.*)$""),"""")"),"")</f>
        <v/>
      </c>
      <c r="M138" s="18"/>
      <c r="N138" s="18">
        <f>countif(ConstantsUnits!C:C,F138)</f>
        <v>1</v>
      </c>
      <c r="O138" s="16" t="str">
        <f>ifna(VLOOKUP(A138,ConstantsUnits!A:A,1,false),"")</f>
        <v>helion mass energy equivalent in MeV</v>
      </c>
    </row>
    <row r="139">
      <c r="A139" s="1" t="s">
        <v>538</v>
      </c>
      <c r="B139" s="1" t="s">
        <v>1944</v>
      </c>
      <c r="C139" s="1" t="s">
        <v>1711</v>
      </c>
      <c r="D139" s="1" t="s">
        <v>48</v>
      </c>
      <c r="F139" s="16" t="str">
        <f>ifna(VLOOKUP($A139,ConstantsUnits!$A:$C,3,false),"")</f>
        <v>HelionMassInAtomicMassUnit</v>
      </c>
      <c r="G139" s="17" t="str">
        <f t="shared" si="1"/>
        <v>3.01493224673</v>
      </c>
      <c r="H139" s="17">
        <f t="shared" si="2"/>
        <v>3.014932247</v>
      </c>
      <c r="I139" s="17" t="str">
        <f t="shared" si="3"/>
        <v>0.00000000012</v>
      </c>
      <c r="J139" s="17">
        <f t="shared" si="4"/>
        <v>0.00000000012</v>
      </c>
      <c r="K139" s="17" t="b">
        <f t="shared" si="5"/>
        <v>0</v>
      </c>
      <c r="L139" s="16" t="str">
        <f>IFERROR(__xludf.DUMMYFUNCTION("if(regexmatch(B139,""e(.*)$""),regexextract(B139,""e(.*)$""),"""")"),"")</f>
        <v/>
      </c>
      <c r="M139" s="18"/>
      <c r="N139" s="18">
        <f>countif(ConstantsUnits!C:C,F139)</f>
        <v>1</v>
      </c>
      <c r="O139" s="16" t="str">
        <f>ifna(VLOOKUP(A139,ConstantsUnits!A:A,1,false),"")</f>
        <v>helion mass in u</v>
      </c>
    </row>
    <row r="140">
      <c r="A140" s="1" t="s">
        <v>541</v>
      </c>
      <c r="B140" s="1" t="s">
        <v>1945</v>
      </c>
      <c r="C140" s="1" t="s">
        <v>1946</v>
      </c>
      <c r="D140" s="1" t="s">
        <v>51</v>
      </c>
      <c r="F140" s="16" t="str">
        <f>ifna(VLOOKUP($A140,ConstantsUnits!$A:$C,3,false),"")</f>
        <v>HelionMolarMass</v>
      </c>
      <c r="G140" s="17" t="str">
        <f t="shared" si="1"/>
        <v>3.01493224673e-3</v>
      </c>
      <c r="H140" s="17">
        <f t="shared" si="2"/>
        <v>0.003014932247</v>
      </c>
      <c r="I140" s="17" t="str">
        <f t="shared" si="3"/>
        <v>0.00000000012e-3</v>
      </c>
      <c r="J140" s="17">
        <f t="shared" si="4"/>
        <v>0</v>
      </c>
      <c r="K140" s="17" t="b">
        <f t="shared" si="5"/>
        <v>0</v>
      </c>
      <c r="L140" s="16" t="str">
        <f>IFERROR(__xludf.DUMMYFUNCTION("if(regexmatch(B140,""e(.*)$""),regexextract(B140,""e(.*)$""),"""")"),"-3")</f>
        <v>-3</v>
      </c>
      <c r="M140" s="18"/>
      <c r="N140" s="18">
        <f>countif(ConstantsUnits!C:C,F140)</f>
        <v>1</v>
      </c>
      <c r="O140" s="16" t="str">
        <f>ifna(VLOOKUP(A140,ConstantsUnits!A:A,1,false),"")</f>
        <v>helion molar mass</v>
      </c>
    </row>
    <row r="141">
      <c r="A141" s="1" t="s">
        <v>544</v>
      </c>
      <c r="B141" s="1" t="s">
        <v>1947</v>
      </c>
      <c r="C141" s="1" t="s">
        <v>1948</v>
      </c>
      <c r="F141" s="16" t="str">
        <f>ifna(VLOOKUP($A141,ConstantsUnits!$A:$C,3,false),"")</f>
        <v>HelionProtonMassRatio</v>
      </c>
      <c r="G141" s="17" t="str">
        <f t="shared" si="1"/>
        <v>2.99315267046</v>
      </c>
      <c r="H141" s="17">
        <f t="shared" si="2"/>
        <v>2.99315267</v>
      </c>
      <c r="I141" s="17" t="str">
        <f t="shared" si="3"/>
        <v>0.00000000029</v>
      </c>
      <c r="J141" s="17">
        <f t="shared" si="4"/>
        <v>0.00000000029</v>
      </c>
      <c r="K141" s="17" t="b">
        <f t="shared" si="5"/>
        <v>0</v>
      </c>
      <c r="L141" s="16" t="str">
        <f>IFERROR(__xludf.DUMMYFUNCTION("if(regexmatch(B141,""e(.*)$""),regexextract(B141,""e(.*)$""),"""")"),"")</f>
        <v/>
      </c>
      <c r="M141" s="18"/>
      <c r="N141" s="18">
        <f>countif(ConstantsUnits!C:C,F141)</f>
        <v>1</v>
      </c>
      <c r="O141" s="16" t="str">
        <f>ifna(VLOOKUP(A141,ConstantsUnits!A:A,1,false),"")</f>
        <v>helion-proton mass ratio</v>
      </c>
    </row>
    <row r="142">
      <c r="A142" s="1" t="s">
        <v>551</v>
      </c>
      <c r="B142" s="1" t="s">
        <v>1949</v>
      </c>
      <c r="C142" s="1" t="s">
        <v>1950</v>
      </c>
      <c r="D142" s="1" t="s">
        <v>48</v>
      </c>
      <c r="F142" s="16" t="str">
        <f>ifna(VLOOKUP($A142,ConstantsUnits!$A:$C,3,false),"")</f>
        <v>HertzAtomicMassUnitRelationship</v>
      </c>
      <c r="G142" s="17" t="str">
        <f t="shared" si="1"/>
        <v>4.4398216616e-24</v>
      </c>
      <c r="H142" s="17">
        <f t="shared" si="2"/>
        <v>0</v>
      </c>
      <c r="I142" s="17" t="str">
        <f t="shared" si="3"/>
        <v>0.0000000020e-24</v>
      </c>
      <c r="J142" s="17">
        <f t="shared" si="4"/>
        <v>0</v>
      </c>
      <c r="K142" s="17" t="b">
        <f t="shared" si="5"/>
        <v>0</v>
      </c>
      <c r="L142" s="16" t="str">
        <f>IFERROR(__xludf.DUMMYFUNCTION("if(regexmatch(B142,""e(.*)$""),regexextract(B142,""e(.*)$""),"""")"),"-24")</f>
        <v>-24</v>
      </c>
      <c r="M142" s="18"/>
      <c r="N142" s="18">
        <f>countif(ConstantsUnits!C:C,F142)</f>
        <v>1</v>
      </c>
      <c r="O142" s="16" t="str">
        <f>ifna(VLOOKUP(A142,ConstantsUnits!A:A,1,false),"")</f>
        <v>hertz-atomic mass unit relationship</v>
      </c>
    </row>
    <row r="143">
      <c r="A143" s="1" t="s">
        <v>554</v>
      </c>
      <c r="B143" s="1" t="s">
        <v>1951</v>
      </c>
      <c r="C143" s="1" t="s">
        <v>1952</v>
      </c>
      <c r="D143" s="1" t="s">
        <v>70</v>
      </c>
      <c r="F143" s="16" t="str">
        <f>ifna(VLOOKUP($A143,ConstantsUnits!$A:$C,3,false),"")</f>
        <v>HertzElectronVoltRelationship</v>
      </c>
      <c r="G143" s="17" t="str">
        <f t="shared" si="1"/>
        <v>4.135667662e-15</v>
      </c>
      <c r="H143" s="17">
        <f t="shared" si="2"/>
        <v>0</v>
      </c>
      <c r="I143" s="17" t="str">
        <f t="shared" si="3"/>
        <v>0.000000025e-15</v>
      </c>
      <c r="J143" s="17">
        <f t="shared" si="4"/>
        <v>0</v>
      </c>
      <c r="K143" s="17" t="b">
        <f t="shared" si="5"/>
        <v>0</v>
      </c>
      <c r="L143" s="16" t="str">
        <f>IFERROR(__xludf.DUMMYFUNCTION("if(regexmatch(B143,""e(.*)$""),regexextract(B143,""e(.*)$""),"""")"),"-15")</f>
        <v>-15</v>
      </c>
      <c r="M143" s="18"/>
      <c r="N143" s="18">
        <f>countif(ConstantsUnits!C:C,F143)</f>
        <v>1</v>
      </c>
      <c r="O143" s="16" t="str">
        <f>ifna(VLOOKUP(A143,ConstantsUnits!A:A,1,false),"")</f>
        <v>hertz-electron volt relationship</v>
      </c>
    </row>
    <row r="144">
      <c r="A144" s="1" t="s">
        <v>557</v>
      </c>
      <c r="B144" s="1" t="s">
        <v>1953</v>
      </c>
      <c r="C144" s="1" t="s">
        <v>1954</v>
      </c>
      <c r="D144" s="1" t="s">
        <v>74</v>
      </c>
      <c r="F144" s="16" t="str">
        <f>ifna(VLOOKUP($A144,ConstantsUnits!$A:$C,3,false),"")</f>
        <v>HertzHartreeRelationship</v>
      </c>
      <c r="G144" s="17" t="str">
        <f t="shared" si="1"/>
        <v>1.5198298460088e-16</v>
      </c>
      <c r="H144" s="17">
        <f t="shared" si="2"/>
        <v>0</v>
      </c>
      <c r="I144" s="17" t="str">
        <f t="shared" si="3"/>
        <v>0.0000000000090e-16</v>
      </c>
      <c r="J144" s="17">
        <f t="shared" si="4"/>
        <v>0</v>
      </c>
      <c r="K144" s="17" t="b">
        <f t="shared" si="5"/>
        <v>0</v>
      </c>
      <c r="L144" s="16" t="str">
        <f>IFERROR(__xludf.DUMMYFUNCTION("if(regexmatch(B144,""e(.*)$""),regexextract(B144,""e(.*)$""),"""")"),"-16")</f>
        <v>-16</v>
      </c>
      <c r="M144" s="18"/>
      <c r="N144" s="18">
        <f>countif(ConstantsUnits!C:C,F144)</f>
        <v>1</v>
      </c>
      <c r="O144" s="16" t="str">
        <f>ifna(VLOOKUP(A144,ConstantsUnits!A:A,1,false),"")</f>
        <v>hertz-hartree relationship</v>
      </c>
    </row>
    <row r="145">
      <c r="A145" s="1" t="s">
        <v>560</v>
      </c>
      <c r="B145" s="1" t="s">
        <v>1433</v>
      </c>
      <c r="C145" s="1" t="s">
        <v>1232</v>
      </c>
      <c r="D145" s="1" t="s">
        <v>83</v>
      </c>
      <c r="F145" s="16" t="str">
        <f>ifna(VLOOKUP($A145,ConstantsUnits!$A:$C,3,false),"")</f>
        <v>HertzInverseMeterRelationship</v>
      </c>
      <c r="G145" s="17" t="str">
        <f t="shared" si="1"/>
        <v>3.335640951e-9</v>
      </c>
      <c r="H145" s="17">
        <f t="shared" si="2"/>
        <v>0.000000003335640951</v>
      </c>
      <c r="I145" s="17" t="str">
        <f t="shared" si="3"/>
        <v>(exact)</v>
      </c>
      <c r="J145" s="17" t="str">
        <f t="shared" si="4"/>
        <v/>
      </c>
      <c r="K145" s="17" t="b">
        <f t="shared" si="5"/>
        <v>1</v>
      </c>
      <c r="L145" s="16" t="str">
        <f>IFERROR(__xludf.DUMMYFUNCTION("if(regexmatch(B145,""e(.*)$""),regexextract(B145,""e(.*)$""),"""")"),"-9")</f>
        <v>-9</v>
      </c>
      <c r="M145" s="18"/>
      <c r="N145" s="18">
        <f>countif(ConstantsUnits!C:C,F145)</f>
        <v>1</v>
      </c>
      <c r="O145" s="16" t="str">
        <f>ifna(VLOOKUP(A145,ConstantsUnits!A:A,1,false),"")</f>
        <v>hertz-inverse meter relationship</v>
      </c>
    </row>
    <row r="146">
      <c r="A146" s="1" t="s">
        <v>563</v>
      </c>
      <c r="B146" s="1" t="s">
        <v>1955</v>
      </c>
      <c r="C146" s="1" t="s">
        <v>1956</v>
      </c>
      <c r="D146" s="1" t="s">
        <v>41</v>
      </c>
      <c r="F146" s="16" t="str">
        <f>ifna(VLOOKUP($A146,ConstantsUnits!$A:$C,3,false),"")</f>
        <v>HertzJouleRelationship</v>
      </c>
      <c r="G146" s="17" t="str">
        <f t="shared" si="1"/>
        <v>6.626070040e-34</v>
      </c>
      <c r="H146" s="17">
        <f t="shared" si="2"/>
        <v>0</v>
      </c>
      <c r="I146" s="17" t="str">
        <f t="shared" si="3"/>
        <v>0.000000081e-34</v>
      </c>
      <c r="J146" s="17">
        <f t="shared" si="4"/>
        <v>0</v>
      </c>
      <c r="K146" s="17" t="b">
        <f t="shared" si="5"/>
        <v>0</v>
      </c>
      <c r="L146" s="16" t="str">
        <f>IFERROR(__xludf.DUMMYFUNCTION("if(regexmatch(B146,""e(.*)$""),regexextract(B146,""e(.*)$""),"""")"),"-34")</f>
        <v>-34</v>
      </c>
      <c r="M146" s="18"/>
      <c r="N146" s="18">
        <f>countif(ConstantsUnits!C:C,F146)</f>
        <v>1</v>
      </c>
      <c r="O146" s="16" t="str">
        <f>ifna(VLOOKUP(A146,ConstantsUnits!A:A,1,false),"")</f>
        <v>hertz-joule relationship</v>
      </c>
    </row>
    <row r="147">
      <c r="A147" s="1" t="s">
        <v>566</v>
      </c>
      <c r="B147" s="1" t="s">
        <v>1957</v>
      </c>
      <c r="C147" s="1" t="s">
        <v>1958</v>
      </c>
      <c r="D147" s="1" t="s">
        <v>91</v>
      </c>
      <c r="F147" s="16" t="str">
        <f>ifna(VLOOKUP($A147,ConstantsUnits!$A:$C,3,false),"")</f>
        <v>HertzKelvinRelationship</v>
      </c>
      <c r="G147" s="17" t="str">
        <f t="shared" si="1"/>
        <v>4.7992447e-11</v>
      </c>
      <c r="H147" s="17">
        <f t="shared" si="2"/>
        <v>0</v>
      </c>
      <c r="I147" s="17" t="str">
        <f t="shared" si="3"/>
        <v>0.0000028e-11</v>
      </c>
      <c r="J147" s="17">
        <f t="shared" si="4"/>
        <v>0</v>
      </c>
      <c r="K147" s="17" t="b">
        <f t="shared" si="5"/>
        <v>0</v>
      </c>
      <c r="L147" s="16" t="str">
        <f>IFERROR(__xludf.DUMMYFUNCTION("if(regexmatch(B147,""e(.*)$""),regexextract(B147,""e(.*)$""),"""")"),"-11")</f>
        <v>-11</v>
      </c>
      <c r="M147" s="18"/>
      <c r="N147" s="18">
        <f>countif(ConstantsUnits!C:C,F147)</f>
        <v>1</v>
      </c>
      <c r="O147" s="16" t="str">
        <f>ifna(VLOOKUP(A147,ConstantsUnits!A:A,1,false),"")</f>
        <v>hertz-kelvin relationship</v>
      </c>
    </row>
    <row r="148">
      <c r="A148" s="1" t="s">
        <v>569</v>
      </c>
      <c r="B148" s="1" t="s">
        <v>1959</v>
      </c>
      <c r="C148" s="1" t="s">
        <v>1960</v>
      </c>
      <c r="D148" s="1" t="s">
        <v>38</v>
      </c>
      <c r="F148" s="16" t="str">
        <f>ifna(VLOOKUP($A148,ConstantsUnits!$A:$C,3,false),"")</f>
        <v>HertzKilogramRelationship</v>
      </c>
      <c r="G148" s="17" t="str">
        <f t="shared" si="1"/>
        <v>7.372497201e-51</v>
      </c>
      <c r="H148" s="17">
        <f t="shared" si="2"/>
        <v>0</v>
      </c>
      <c r="I148" s="17" t="str">
        <f t="shared" si="3"/>
        <v>0.000000091e-51</v>
      </c>
      <c r="J148" s="17">
        <f t="shared" si="4"/>
        <v>0</v>
      </c>
      <c r="K148" s="17" t="b">
        <f t="shared" si="5"/>
        <v>0</v>
      </c>
      <c r="L148" s="16" t="str">
        <f>IFERROR(__xludf.DUMMYFUNCTION("if(regexmatch(B148,""e(.*)$""),regexextract(B148,""e(.*)$""),"""")"),"-51")</f>
        <v>-51</v>
      </c>
      <c r="M148" s="18"/>
      <c r="N148" s="18">
        <f>countif(ConstantsUnits!C:C,F148)</f>
        <v>1</v>
      </c>
      <c r="O148" s="16" t="str">
        <f>ifna(VLOOKUP(A148,ConstantsUnits!A:A,1,false),"")</f>
        <v>hertz-kilogram relationship</v>
      </c>
    </row>
    <row r="149">
      <c r="A149" s="1" t="s">
        <v>574</v>
      </c>
      <c r="B149" s="1" t="s">
        <v>1961</v>
      </c>
      <c r="C149" s="1" t="s">
        <v>1962</v>
      </c>
      <c r="F149" s="16" t="str">
        <f>ifna(VLOOKUP($A149,ConstantsUnits!$A:$C,3,false),"")</f>
        <v>InverseFineStructureConstant</v>
      </c>
      <c r="G149" s="17" t="str">
        <f t="shared" si="1"/>
        <v>137.035999139</v>
      </c>
      <c r="H149" s="17">
        <f t="shared" si="2"/>
        <v>137.0359991</v>
      </c>
      <c r="I149" s="17" t="str">
        <f t="shared" si="3"/>
        <v>0.000000031</v>
      </c>
      <c r="J149" s="17">
        <f t="shared" si="4"/>
        <v>0.000000031</v>
      </c>
      <c r="K149" s="17" t="b">
        <f t="shared" si="5"/>
        <v>0</v>
      </c>
      <c r="L149" s="16" t="str">
        <f>IFERROR(__xludf.DUMMYFUNCTION("if(regexmatch(B149,""e(.*)$""),regexextract(B149,""e(.*)$""),"""")"),"")</f>
        <v/>
      </c>
      <c r="M149" s="18"/>
      <c r="N149" s="18">
        <f>countif(ConstantsUnits!C:C,F149)</f>
        <v>1</v>
      </c>
      <c r="O149" s="16" t="str">
        <f>ifna(VLOOKUP(A149,ConstantsUnits!A:A,1,false),"")</f>
        <v>inverse fine-structure constant</v>
      </c>
    </row>
    <row r="150">
      <c r="A150" s="1" t="s">
        <v>577</v>
      </c>
      <c r="B150" s="1" t="s">
        <v>1963</v>
      </c>
      <c r="C150" s="1" t="s">
        <v>1964</v>
      </c>
      <c r="D150" s="1" t="s">
        <v>48</v>
      </c>
      <c r="F150" s="16" t="str">
        <f>ifna(VLOOKUP($A150,ConstantsUnits!$A:$C,3,false),"")</f>
        <v>InverseMeterAtomicMassUnitRelationship</v>
      </c>
      <c r="G150" s="17" t="str">
        <f t="shared" si="1"/>
        <v>1.33102504900e-15</v>
      </c>
      <c r="H150" s="17">
        <f t="shared" si="2"/>
        <v>0</v>
      </c>
      <c r="I150" s="17" t="str">
        <f t="shared" si="3"/>
        <v>0.00000000061e-15</v>
      </c>
      <c r="J150" s="17">
        <f t="shared" si="4"/>
        <v>0</v>
      </c>
      <c r="K150" s="17" t="b">
        <f t="shared" si="5"/>
        <v>0</v>
      </c>
      <c r="L150" s="16" t="str">
        <f>IFERROR(__xludf.DUMMYFUNCTION("if(regexmatch(B150,""e(.*)$""),regexextract(B150,""e(.*)$""),"""")"),"-15")</f>
        <v>-15</v>
      </c>
      <c r="M150" s="18"/>
      <c r="N150" s="18">
        <f>countif(ConstantsUnits!C:C,F150)</f>
        <v>1</v>
      </c>
      <c r="O150" s="16" t="str">
        <f>ifna(VLOOKUP(A150,ConstantsUnits!A:A,1,false),"")</f>
        <v>inverse meter-atomic mass unit relationship</v>
      </c>
    </row>
    <row r="151">
      <c r="A151" s="1" t="s">
        <v>580</v>
      </c>
      <c r="B151" s="1" t="s">
        <v>1965</v>
      </c>
      <c r="C151" s="1" t="s">
        <v>1966</v>
      </c>
      <c r="D151" s="1" t="s">
        <v>70</v>
      </c>
      <c r="F151" s="16" t="str">
        <f>ifna(VLOOKUP($A151,ConstantsUnits!$A:$C,3,false),"")</f>
        <v>InverseMeterElectronVoltRelationship</v>
      </c>
      <c r="G151" s="17" t="str">
        <f t="shared" si="1"/>
        <v>1.2398419739e-6</v>
      </c>
      <c r="H151" s="17">
        <f t="shared" si="2"/>
        <v>0.000001239841974</v>
      </c>
      <c r="I151" s="17" t="str">
        <f t="shared" si="3"/>
        <v>0.0000000076e-6</v>
      </c>
      <c r="J151" s="17">
        <f t="shared" si="4"/>
        <v>0</v>
      </c>
      <c r="K151" s="17" t="b">
        <f t="shared" si="5"/>
        <v>0</v>
      </c>
      <c r="L151" s="16" t="str">
        <f>IFERROR(__xludf.DUMMYFUNCTION("if(regexmatch(B151,""e(.*)$""),regexextract(B151,""e(.*)$""),"""")"),"-6")</f>
        <v>-6</v>
      </c>
      <c r="M151" s="18"/>
      <c r="N151" s="18">
        <f>countif(ConstantsUnits!C:C,F151)</f>
        <v>1</v>
      </c>
      <c r="O151" s="16" t="str">
        <f>ifna(VLOOKUP(A151,ConstantsUnits!A:A,1,false),"")</f>
        <v>inverse meter-electron volt relationship</v>
      </c>
    </row>
    <row r="152">
      <c r="A152" s="1" t="s">
        <v>583</v>
      </c>
      <c r="B152" s="1" t="s">
        <v>1967</v>
      </c>
      <c r="C152" s="1" t="s">
        <v>1968</v>
      </c>
      <c r="D152" s="1" t="s">
        <v>74</v>
      </c>
      <c r="F152" s="16" t="str">
        <f>ifna(VLOOKUP($A152,ConstantsUnits!$A:$C,3,false),"")</f>
        <v>InverseMeterHartreeRelationship</v>
      </c>
      <c r="G152" s="17" t="str">
        <f t="shared" si="1"/>
        <v>4.556335252767e-8</v>
      </c>
      <c r="H152" s="17">
        <f t="shared" si="2"/>
        <v>0.00000004556335253</v>
      </c>
      <c r="I152" s="17" t="str">
        <f t="shared" si="3"/>
        <v>0.000000000027e-8</v>
      </c>
      <c r="J152" s="17">
        <f t="shared" si="4"/>
        <v>0</v>
      </c>
      <c r="K152" s="17" t="b">
        <f t="shared" si="5"/>
        <v>0</v>
      </c>
      <c r="L152" s="16" t="str">
        <f>IFERROR(__xludf.DUMMYFUNCTION("if(regexmatch(B152,""e(.*)$""),regexextract(B152,""e(.*)$""),"""")"),"-8")</f>
        <v>-8</v>
      </c>
      <c r="M152" s="18"/>
      <c r="N152" s="18">
        <f>countif(ConstantsUnits!C:C,F152)</f>
        <v>1</v>
      </c>
      <c r="O152" s="16" t="str">
        <f>ifna(VLOOKUP(A152,ConstantsUnits!A:A,1,false),"")</f>
        <v>inverse meter-hartree relationship</v>
      </c>
    </row>
    <row r="153">
      <c r="A153" s="1" t="s">
        <v>586</v>
      </c>
      <c r="B153" s="1" t="s">
        <v>1445</v>
      </c>
      <c r="C153" s="1" t="s">
        <v>1232</v>
      </c>
      <c r="D153" s="1" t="s">
        <v>79</v>
      </c>
      <c r="F153" s="16" t="str">
        <f>ifna(VLOOKUP($A153,ConstantsUnits!$A:$C,3,false),"")</f>
        <v>InverseMeterHertzRelationship</v>
      </c>
      <c r="G153" s="17" t="str">
        <f t="shared" si="1"/>
        <v>299792458</v>
      </c>
      <c r="H153" s="17">
        <f t="shared" si="2"/>
        <v>299792458</v>
      </c>
      <c r="I153" s="17" t="str">
        <f t="shared" si="3"/>
        <v>(exact)</v>
      </c>
      <c r="J153" s="17" t="str">
        <f t="shared" si="4"/>
        <v/>
      </c>
      <c r="K153" s="17" t="b">
        <f t="shared" si="5"/>
        <v>0</v>
      </c>
      <c r="L153" s="16" t="str">
        <f>IFERROR(__xludf.DUMMYFUNCTION("if(regexmatch(B153,""e(.*)$""),regexextract(B153,""e(.*)$""),"""")"),"")</f>
        <v/>
      </c>
      <c r="M153" s="18"/>
      <c r="N153" s="18">
        <f>countif(ConstantsUnits!C:C,F153)</f>
        <v>1</v>
      </c>
      <c r="O153" s="16" t="str">
        <f>ifna(VLOOKUP(A153,ConstantsUnits!A:A,1,false),"")</f>
        <v>inverse meter-hertz relationship</v>
      </c>
    </row>
    <row r="154">
      <c r="A154" s="1" t="s">
        <v>589</v>
      </c>
      <c r="B154" s="1" t="s">
        <v>1969</v>
      </c>
      <c r="C154" s="1" t="s">
        <v>1970</v>
      </c>
      <c r="D154" s="1" t="s">
        <v>41</v>
      </c>
      <c r="F154" s="16" t="str">
        <f>ifna(VLOOKUP($A154,ConstantsUnits!$A:$C,3,false),"")</f>
        <v>InverseMeterJouleRelationship</v>
      </c>
      <c r="G154" s="17" t="str">
        <f t="shared" si="1"/>
        <v>1.986445824e-25</v>
      </c>
      <c r="H154" s="17">
        <f t="shared" si="2"/>
        <v>0</v>
      </c>
      <c r="I154" s="17" t="str">
        <f t="shared" si="3"/>
        <v>0.000000024e-25</v>
      </c>
      <c r="J154" s="17">
        <f t="shared" si="4"/>
        <v>0</v>
      </c>
      <c r="K154" s="17" t="b">
        <f t="shared" si="5"/>
        <v>0</v>
      </c>
      <c r="L154" s="16" t="str">
        <f>IFERROR(__xludf.DUMMYFUNCTION("if(regexmatch(B154,""e(.*)$""),regexextract(B154,""e(.*)$""),"""")"),"-25")</f>
        <v>-25</v>
      </c>
      <c r="M154" s="18"/>
      <c r="N154" s="18">
        <f>countif(ConstantsUnits!C:C,F154)</f>
        <v>1</v>
      </c>
      <c r="O154" s="16" t="str">
        <f>ifna(VLOOKUP(A154,ConstantsUnits!A:A,1,false),"")</f>
        <v>inverse meter-joule relationship</v>
      </c>
    </row>
    <row r="155">
      <c r="A155" s="1" t="s">
        <v>592</v>
      </c>
      <c r="B155" s="1" t="s">
        <v>1971</v>
      </c>
      <c r="C155" s="1" t="s">
        <v>1972</v>
      </c>
      <c r="D155" s="1" t="s">
        <v>91</v>
      </c>
      <c r="F155" s="16" t="str">
        <f>ifna(VLOOKUP($A155,ConstantsUnits!$A:$C,3,false),"")</f>
        <v>InverseMeterKelvinRelationship</v>
      </c>
      <c r="G155" s="17" t="str">
        <f t="shared" si="1"/>
        <v>1.43877736e-2</v>
      </c>
      <c r="H155" s="17">
        <f t="shared" si="2"/>
        <v>0.0143877736</v>
      </c>
      <c r="I155" s="17" t="str">
        <f t="shared" si="3"/>
        <v>0.00000083e-2</v>
      </c>
      <c r="J155" s="17">
        <f t="shared" si="4"/>
        <v>0.0000000083</v>
      </c>
      <c r="K155" s="17" t="b">
        <f t="shared" si="5"/>
        <v>0</v>
      </c>
      <c r="L155" s="16" t="str">
        <f>IFERROR(__xludf.DUMMYFUNCTION("if(regexmatch(B155,""e(.*)$""),regexextract(B155,""e(.*)$""),"""")"),"-2")</f>
        <v>-2</v>
      </c>
      <c r="M155" s="18"/>
      <c r="N155" s="18">
        <f>countif(ConstantsUnits!C:C,F155)</f>
        <v>1</v>
      </c>
      <c r="O155" s="16" t="str">
        <f>ifna(VLOOKUP(A155,ConstantsUnits!A:A,1,false),"")</f>
        <v>inverse meter-kelvin relationship</v>
      </c>
    </row>
    <row r="156">
      <c r="A156" s="1" t="s">
        <v>595</v>
      </c>
      <c r="B156" s="1" t="s">
        <v>1973</v>
      </c>
      <c r="C156" s="1" t="s">
        <v>1974</v>
      </c>
      <c r="D156" s="1" t="s">
        <v>38</v>
      </c>
      <c r="F156" s="16" t="str">
        <f>ifna(VLOOKUP($A156,ConstantsUnits!$A:$C,3,false),"")</f>
        <v>InverseMeterKilogramRelationship</v>
      </c>
      <c r="G156" s="17" t="str">
        <f t="shared" si="1"/>
        <v>2.210219057e-42</v>
      </c>
      <c r="H156" s="17">
        <f t="shared" si="2"/>
        <v>0</v>
      </c>
      <c r="I156" s="17" t="str">
        <f t="shared" si="3"/>
        <v>0.000000027e-42</v>
      </c>
      <c r="J156" s="17">
        <f t="shared" si="4"/>
        <v>0</v>
      </c>
      <c r="K156" s="17" t="b">
        <f t="shared" si="5"/>
        <v>0</v>
      </c>
      <c r="L156" s="16" t="str">
        <f>IFERROR(__xludf.DUMMYFUNCTION("if(regexmatch(B156,""e(.*)$""),regexextract(B156,""e(.*)$""),"""")"),"-42")</f>
        <v>-42</v>
      </c>
      <c r="M156" s="18"/>
      <c r="N156" s="18">
        <f>countif(ConstantsUnits!C:C,F156)</f>
        <v>1</v>
      </c>
      <c r="O156" s="16" t="str">
        <f>ifna(VLOOKUP(A156,ConstantsUnits!A:A,1,false),"")</f>
        <v>inverse meter-kilogram relationship</v>
      </c>
    </row>
    <row r="157">
      <c r="A157" s="1" t="s">
        <v>598</v>
      </c>
      <c r="B157" s="1" t="s">
        <v>1975</v>
      </c>
      <c r="C157" s="1" t="s">
        <v>1976</v>
      </c>
      <c r="D157" s="1" t="s">
        <v>252</v>
      </c>
      <c r="F157" s="16" t="str">
        <f>ifna(VLOOKUP($A157,ConstantsUnits!$A:$C,3,false),"")</f>
        <v>InverseOfConductanceQuantum</v>
      </c>
      <c r="G157" s="17" t="str">
        <f t="shared" si="1"/>
        <v>12906.4037278</v>
      </c>
      <c r="H157" s="17">
        <f t="shared" si="2"/>
        <v>12906.40373</v>
      </c>
      <c r="I157" s="17" t="str">
        <f t="shared" si="3"/>
        <v>0.0000029</v>
      </c>
      <c r="J157" s="17">
        <f t="shared" si="4"/>
        <v>0.0000029</v>
      </c>
      <c r="K157" s="17" t="b">
        <f t="shared" si="5"/>
        <v>0</v>
      </c>
      <c r="L157" s="16" t="str">
        <f>IFERROR(__xludf.DUMMYFUNCTION("if(regexmatch(B157,""e(.*)$""),regexextract(B157,""e(.*)$""),"""")"),"")</f>
        <v/>
      </c>
      <c r="M157" s="18"/>
      <c r="N157" s="18">
        <f>countif(ConstantsUnits!C:C,F157)</f>
        <v>1</v>
      </c>
      <c r="O157" s="16" t="str">
        <f>ifna(VLOOKUP(A157,ConstantsUnits!A:A,1,false),"")</f>
        <v>inverse of conductance quantum</v>
      </c>
    </row>
    <row r="158">
      <c r="A158" s="1" t="s">
        <v>601</v>
      </c>
      <c r="B158" s="1" t="s">
        <v>1977</v>
      </c>
      <c r="C158" s="19" t="s">
        <v>1978</v>
      </c>
      <c r="D158" s="1" t="s">
        <v>280</v>
      </c>
      <c r="F158" s="16" t="str">
        <f>ifna(VLOOKUP($A158,ConstantsUnits!$A:$C,3,false),"")</f>
        <v>JosephsonConstant</v>
      </c>
      <c r="G158" s="17" t="str">
        <f t="shared" si="1"/>
        <v>483597.8525e9</v>
      </c>
      <c r="H158" s="17">
        <f t="shared" si="2"/>
        <v>483597852500000</v>
      </c>
      <c r="I158" s="17" t="str">
        <f t="shared" si="3"/>
        <v>0.0030e9</v>
      </c>
      <c r="J158" s="17">
        <f t="shared" si="4"/>
        <v>3000000</v>
      </c>
      <c r="K158" s="17" t="b">
        <f t="shared" si="5"/>
        <v>0</v>
      </c>
      <c r="L158" s="16" t="str">
        <f>IFERROR(__xludf.DUMMYFUNCTION("if(regexmatch(B158,""e(.*)$""),regexextract(B158,""e(.*)$""),"""")"),"9")</f>
        <v>9</v>
      </c>
      <c r="M158" s="18"/>
      <c r="N158" s="18">
        <f>countif(ConstantsUnits!C:C,F158)</f>
        <v>1</v>
      </c>
      <c r="O158" s="16" t="str">
        <f>ifna(VLOOKUP(A158,ConstantsUnits!A:A,1,false),"")</f>
        <v>Josephson constant</v>
      </c>
    </row>
    <row r="159">
      <c r="A159" s="1" t="s">
        <v>604</v>
      </c>
      <c r="B159" s="1" t="s">
        <v>1979</v>
      </c>
      <c r="C159" s="1" t="s">
        <v>1980</v>
      </c>
      <c r="D159" s="1" t="s">
        <v>48</v>
      </c>
      <c r="F159" s="16" t="str">
        <f>ifna(VLOOKUP($A159,ConstantsUnits!$A:$C,3,false),"")</f>
        <v>JouleAtomicMassUnitRelationship</v>
      </c>
      <c r="G159" s="17" t="str">
        <f t="shared" si="1"/>
        <v>6.700535363e9</v>
      </c>
      <c r="H159" s="17">
        <f t="shared" si="2"/>
        <v>6700535363</v>
      </c>
      <c r="I159" s="17" t="str">
        <f t="shared" si="3"/>
        <v>0.000000082e9</v>
      </c>
      <c r="J159" s="17">
        <f t="shared" si="4"/>
        <v>82</v>
      </c>
      <c r="K159" s="17" t="b">
        <f t="shared" si="5"/>
        <v>0</v>
      </c>
      <c r="L159" s="16" t="str">
        <f>IFERROR(__xludf.DUMMYFUNCTION("if(regexmatch(B159,""e(.*)$""),regexextract(B159,""e(.*)$""),"""")"),"9")</f>
        <v>9</v>
      </c>
      <c r="M159" s="18"/>
      <c r="N159" s="18">
        <f>countif(ConstantsUnits!C:C,F159)</f>
        <v>1</v>
      </c>
      <c r="O159" s="16" t="str">
        <f>ifna(VLOOKUP(A159,ConstantsUnits!A:A,1,false),"")</f>
        <v>joule-atomic mass unit relationship</v>
      </c>
    </row>
    <row r="160">
      <c r="A160" s="1" t="s">
        <v>607</v>
      </c>
      <c r="B160" s="1" t="s">
        <v>1981</v>
      </c>
      <c r="C160" s="1" t="s">
        <v>1982</v>
      </c>
      <c r="D160" s="1" t="s">
        <v>70</v>
      </c>
      <c r="F160" s="16" t="str">
        <f>ifna(VLOOKUP($A160,ConstantsUnits!$A:$C,3,false),"")</f>
        <v>JouleElectronVoltRelationship</v>
      </c>
      <c r="G160" s="17" t="str">
        <f t="shared" si="1"/>
        <v>6.241509126e18</v>
      </c>
      <c r="H160" s="17">
        <f t="shared" si="2"/>
        <v>6.24151E+18</v>
      </c>
      <c r="I160" s="17" t="str">
        <f t="shared" si="3"/>
        <v>0.000000038e18</v>
      </c>
      <c r="J160" s="17">
        <f t="shared" si="4"/>
        <v>38000000000</v>
      </c>
      <c r="K160" s="17" t="b">
        <f t="shared" si="5"/>
        <v>0</v>
      </c>
      <c r="L160" s="16" t="str">
        <f>IFERROR(__xludf.DUMMYFUNCTION("if(regexmatch(B160,""e(.*)$""),regexextract(B160,""e(.*)$""),"""")"),"18")</f>
        <v>18</v>
      </c>
      <c r="M160" s="18"/>
      <c r="N160" s="18">
        <f>countif(ConstantsUnits!C:C,F160)</f>
        <v>1</v>
      </c>
      <c r="O160" s="16" t="str">
        <f>ifna(VLOOKUP(A160,ConstantsUnits!A:A,1,false),"")</f>
        <v>joule-electron volt relationship</v>
      </c>
    </row>
    <row r="161">
      <c r="A161" s="1" t="s">
        <v>610</v>
      </c>
      <c r="B161" s="1" t="s">
        <v>1983</v>
      </c>
      <c r="C161" s="1" t="s">
        <v>1984</v>
      </c>
      <c r="D161" s="1" t="s">
        <v>74</v>
      </c>
      <c r="F161" s="16" t="str">
        <f>ifna(VLOOKUP($A161,ConstantsUnits!$A:$C,3,false),"")</f>
        <v>JouleHartreeRelationship</v>
      </c>
      <c r="G161" s="17" t="str">
        <f t="shared" si="1"/>
        <v>2.293712317e17</v>
      </c>
      <c r="H161" s="17">
        <f t="shared" si="2"/>
        <v>2.29371E+17</v>
      </c>
      <c r="I161" s="17" t="str">
        <f t="shared" si="3"/>
        <v>0.000000028e17</v>
      </c>
      <c r="J161" s="17">
        <f t="shared" si="4"/>
        <v>2800000000</v>
      </c>
      <c r="K161" s="17" t="b">
        <f t="shared" si="5"/>
        <v>0</v>
      </c>
      <c r="L161" s="16" t="str">
        <f>IFERROR(__xludf.DUMMYFUNCTION("if(regexmatch(B161,""e(.*)$""),regexextract(B161,""e(.*)$""),"""")"),"17")</f>
        <v>17</v>
      </c>
      <c r="M161" s="18"/>
      <c r="N161" s="18">
        <f>countif(ConstantsUnits!C:C,F161)</f>
        <v>1</v>
      </c>
      <c r="O161" s="16" t="str">
        <f>ifna(VLOOKUP(A161,ConstantsUnits!A:A,1,false),"")</f>
        <v>joule-hartree relationship</v>
      </c>
    </row>
    <row r="162">
      <c r="A162" s="1" t="s">
        <v>613</v>
      </c>
      <c r="B162" s="1" t="s">
        <v>1985</v>
      </c>
      <c r="C162" s="1" t="s">
        <v>1986</v>
      </c>
      <c r="D162" s="1" t="s">
        <v>79</v>
      </c>
      <c r="F162" s="16" t="str">
        <f>ifna(VLOOKUP($A162,ConstantsUnits!$A:$C,3,false),"")</f>
        <v>JouleHertzRelationship</v>
      </c>
      <c r="G162" s="17" t="str">
        <f t="shared" si="1"/>
        <v>1.509190205e33</v>
      </c>
      <c r="H162" s="17">
        <f t="shared" si="2"/>
        <v>1.50919E+33</v>
      </c>
      <c r="I162" s="17" t="str">
        <f t="shared" si="3"/>
        <v>0.000000019e33</v>
      </c>
      <c r="J162" s="17">
        <f t="shared" si="4"/>
        <v>1.9E+25</v>
      </c>
      <c r="K162" s="17" t="b">
        <f t="shared" si="5"/>
        <v>0</v>
      </c>
      <c r="L162" s="16" t="str">
        <f>IFERROR(__xludf.DUMMYFUNCTION("if(regexmatch(B162,""e(.*)$""),regexextract(B162,""e(.*)$""),"""")"),"33")</f>
        <v>33</v>
      </c>
      <c r="M162" s="18"/>
      <c r="N162" s="18">
        <f>countif(ConstantsUnits!C:C,F162)</f>
        <v>1</v>
      </c>
      <c r="O162" s="16" t="str">
        <f>ifna(VLOOKUP(A162,ConstantsUnits!A:A,1,false),"")</f>
        <v>joule-hertz relationship</v>
      </c>
    </row>
    <row r="163">
      <c r="A163" s="1" t="s">
        <v>616</v>
      </c>
      <c r="B163" s="1" t="s">
        <v>1987</v>
      </c>
      <c r="C163" s="1" t="s">
        <v>1988</v>
      </c>
      <c r="D163" s="1" t="s">
        <v>83</v>
      </c>
      <c r="F163" s="16" t="str">
        <f>ifna(VLOOKUP($A163,ConstantsUnits!$A:$C,3,false),"")</f>
        <v>JouleInverseMeterRelationship</v>
      </c>
      <c r="G163" s="17" t="str">
        <f t="shared" si="1"/>
        <v>5.034116651e24</v>
      </c>
      <c r="H163" s="17">
        <f t="shared" si="2"/>
        <v>5.03412E+24</v>
      </c>
      <c r="I163" s="17" t="str">
        <f t="shared" si="3"/>
        <v>0.000000062e24</v>
      </c>
      <c r="J163" s="17">
        <f t="shared" si="4"/>
        <v>6.2E+16</v>
      </c>
      <c r="K163" s="17" t="b">
        <f t="shared" si="5"/>
        <v>0</v>
      </c>
      <c r="L163" s="16" t="str">
        <f>IFERROR(__xludf.DUMMYFUNCTION("if(regexmatch(B163,""e(.*)$""),regexextract(B163,""e(.*)$""),"""")"),"24")</f>
        <v>24</v>
      </c>
      <c r="M163" s="18"/>
      <c r="N163" s="18">
        <f>countif(ConstantsUnits!C:C,F163)</f>
        <v>1</v>
      </c>
      <c r="O163" s="16" t="str">
        <f>ifna(VLOOKUP(A163,ConstantsUnits!A:A,1,false),"")</f>
        <v>joule-inverse meter relationship</v>
      </c>
    </row>
    <row r="164">
      <c r="A164" s="1" t="s">
        <v>619</v>
      </c>
      <c r="B164" s="1" t="s">
        <v>1989</v>
      </c>
      <c r="C164" s="1" t="s">
        <v>1990</v>
      </c>
      <c r="D164" s="1" t="s">
        <v>91</v>
      </c>
      <c r="F164" s="16" t="str">
        <f>ifna(VLOOKUP($A164,ConstantsUnits!$A:$C,3,false),"")</f>
        <v>JouleKelvinRelationship</v>
      </c>
      <c r="G164" s="17" t="str">
        <f t="shared" si="1"/>
        <v>7.2429731e22</v>
      </c>
      <c r="H164" s="17">
        <f t="shared" si="2"/>
        <v>7.24297E+22</v>
      </c>
      <c r="I164" s="17" t="str">
        <f t="shared" si="3"/>
        <v>0.0000042e22</v>
      </c>
      <c r="J164" s="17">
        <f t="shared" si="4"/>
        <v>4.2E+16</v>
      </c>
      <c r="K164" s="17" t="b">
        <f t="shared" si="5"/>
        <v>0</v>
      </c>
      <c r="L164" s="16" t="str">
        <f>IFERROR(__xludf.DUMMYFUNCTION("if(regexmatch(B164,""e(.*)$""),regexextract(B164,""e(.*)$""),"""")"),"22")</f>
        <v>22</v>
      </c>
      <c r="M164" s="18"/>
      <c r="N164" s="18">
        <f>countif(ConstantsUnits!C:C,F164)</f>
        <v>1</v>
      </c>
      <c r="O164" s="16" t="str">
        <f>ifna(VLOOKUP(A164,ConstantsUnits!A:A,1,false),"")</f>
        <v>joule-kelvin relationship</v>
      </c>
    </row>
    <row r="165">
      <c r="A165" s="1" t="s">
        <v>622</v>
      </c>
      <c r="B165" s="1" t="s">
        <v>1459</v>
      </c>
      <c r="C165" s="1" t="s">
        <v>1232</v>
      </c>
      <c r="D165" s="1" t="s">
        <v>38</v>
      </c>
      <c r="F165" s="16" t="str">
        <f>ifna(VLOOKUP($A165,ConstantsUnits!$A:$C,3,false),"")</f>
        <v>JouleKilogramRelationship</v>
      </c>
      <c r="G165" s="17" t="str">
        <f t="shared" si="1"/>
        <v>1.112650056e-17</v>
      </c>
      <c r="H165" s="17">
        <f t="shared" si="2"/>
        <v>0</v>
      </c>
      <c r="I165" s="17" t="str">
        <f t="shared" si="3"/>
        <v>(exact)</v>
      </c>
      <c r="J165" s="17" t="str">
        <f t="shared" si="4"/>
        <v/>
      </c>
      <c r="K165" s="17" t="b">
        <f t="shared" si="5"/>
        <v>1</v>
      </c>
      <c r="L165" s="16" t="str">
        <f>IFERROR(__xludf.DUMMYFUNCTION("if(regexmatch(B165,""e(.*)$""),regexextract(B165,""e(.*)$""),"""")"),"-17")</f>
        <v>-17</v>
      </c>
      <c r="M165" s="18"/>
      <c r="N165" s="18">
        <f>countif(ConstantsUnits!C:C,F165)</f>
        <v>1</v>
      </c>
      <c r="O165" s="16" t="str">
        <f>ifna(VLOOKUP(A165,ConstantsUnits!A:A,1,false),"")</f>
        <v>joule-kilogram relationship</v>
      </c>
    </row>
    <row r="166">
      <c r="A166" s="1" t="s">
        <v>625</v>
      </c>
      <c r="B166" s="1" t="s">
        <v>1991</v>
      </c>
      <c r="C166" s="1" t="s">
        <v>1992</v>
      </c>
      <c r="D166" s="1" t="s">
        <v>48</v>
      </c>
      <c r="F166" s="16" t="str">
        <f>ifna(VLOOKUP($A166,ConstantsUnits!$A:$C,3,false),"")</f>
        <v>KelvinAtomicMassUnitRelationship</v>
      </c>
      <c r="G166" s="17" t="str">
        <f t="shared" si="1"/>
        <v>9.2510842e-14</v>
      </c>
      <c r="H166" s="17">
        <f t="shared" si="2"/>
        <v>0</v>
      </c>
      <c r="I166" s="17" t="str">
        <f t="shared" si="3"/>
        <v>0.0000053e-14</v>
      </c>
      <c r="J166" s="17">
        <f t="shared" si="4"/>
        <v>0</v>
      </c>
      <c r="K166" s="17" t="b">
        <f t="shared" si="5"/>
        <v>0</v>
      </c>
      <c r="L166" s="16" t="str">
        <f>IFERROR(__xludf.DUMMYFUNCTION("if(regexmatch(B166,""e(.*)$""),regexextract(B166,""e(.*)$""),"""")"),"-14")</f>
        <v>-14</v>
      </c>
      <c r="M166" s="18"/>
      <c r="N166" s="18">
        <f>countif(ConstantsUnits!C:C,F166)</f>
        <v>1</v>
      </c>
      <c r="O166" s="16" t="str">
        <f>ifna(VLOOKUP(A166,ConstantsUnits!A:A,1,false),"")</f>
        <v>kelvin-atomic mass unit relationship</v>
      </c>
    </row>
    <row r="167">
      <c r="A167" s="1" t="s">
        <v>628</v>
      </c>
      <c r="B167" s="1" t="s">
        <v>1818</v>
      </c>
      <c r="C167" s="1" t="s">
        <v>1819</v>
      </c>
      <c r="D167" s="1" t="s">
        <v>70</v>
      </c>
      <c r="F167" s="16" t="str">
        <f>ifna(VLOOKUP($A167,ConstantsUnits!$A:$C,3,false),"")</f>
        <v>KelvinElectronVoltRelationship</v>
      </c>
      <c r="G167" s="17" t="str">
        <f t="shared" si="1"/>
        <v>8.6173303e-5</v>
      </c>
      <c r="H167" s="17">
        <f t="shared" si="2"/>
        <v>0.000086173303</v>
      </c>
      <c r="I167" s="17" t="str">
        <f t="shared" si="3"/>
        <v>0.0000050e-5</v>
      </c>
      <c r="J167" s="17">
        <f t="shared" si="4"/>
        <v>0</v>
      </c>
      <c r="K167" s="17" t="b">
        <f t="shared" si="5"/>
        <v>0</v>
      </c>
      <c r="L167" s="16" t="str">
        <f>IFERROR(__xludf.DUMMYFUNCTION("if(regexmatch(B167,""e(.*)$""),regexextract(B167,""e(.*)$""),"""")"),"-5")</f>
        <v>-5</v>
      </c>
      <c r="M167" s="18"/>
      <c r="N167" s="18">
        <f>countif(ConstantsUnits!C:C,F167)</f>
        <v>1</v>
      </c>
      <c r="O167" s="16" t="str">
        <f>ifna(VLOOKUP(A167,ConstantsUnits!A:A,1,false),"")</f>
        <v>kelvin-electron volt relationship</v>
      </c>
    </row>
    <row r="168">
      <c r="A168" s="1" t="s">
        <v>631</v>
      </c>
      <c r="B168" s="1" t="s">
        <v>1993</v>
      </c>
      <c r="C168" s="1" t="s">
        <v>1994</v>
      </c>
      <c r="D168" s="1" t="s">
        <v>74</v>
      </c>
      <c r="F168" s="16" t="str">
        <f>ifna(VLOOKUP($A168,ConstantsUnits!$A:$C,3,false),"")</f>
        <v>KelvinHartreeRelationship</v>
      </c>
      <c r="G168" s="17" t="str">
        <f t="shared" si="1"/>
        <v>3.1668105e-6</v>
      </c>
      <c r="H168" s="17">
        <f t="shared" si="2"/>
        <v>0.0000031668105</v>
      </c>
      <c r="I168" s="17" t="str">
        <f t="shared" si="3"/>
        <v>0.0000018e-6</v>
      </c>
      <c r="J168" s="17">
        <f t="shared" si="4"/>
        <v>0</v>
      </c>
      <c r="K168" s="17" t="b">
        <f t="shared" si="5"/>
        <v>0</v>
      </c>
      <c r="L168" s="16" t="str">
        <f>IFERROR(__xludf.DUMMYFUNCTION("if(regexmatch(B168,""e(.*)$""),regexextract(B168,""e(.*)$""),"""")"),"-6")</f>
        <v>-6</v>
      </c>
      <c r="M168" s="18"/>
      <c r="N168" s="18">
        <f>countif(ConstantsUnits!C:C,F168)</f>
        <v>1</v>
      </c>
      <c r="O168" s="16" t="str">
        <f>ifna(VLOOKUP(A168,ConstantsUnits!A:A,1,false),"")</f>
        <v>kelvin-hartree relationship</v>
      </c>
    </row>
    <row r="169">
      <c r="A169" s="1" t="s">
        <v>634</v>
      </c>
      <c r="B169" s="1" t="s">
        <v>1820</v>
      </c>
      <c r="C169" s="1" t="s">
        <v>1821</v>
      </c>
      <c r="D169" s="1" t="s">
        <v>79</v>
      </c>
      <c r="F169" s="16" t="str">
        <f>ifna(VLOOKUP($A169,ConstantsUnits!$A:$C,3,false),"")</f>
        <v>KelvinHertzRelationship</v>
      </c>
      <c r="G169" s="17" t="str">
        <f t="shared" si="1"/>
        <v>2.0836612e10</v>
      </c>
      <c r="H169" s="17">
        <f t="shared" si="2"/>
        <v>20836612000</v>
      </c>
      <c r="I169" s="17" t="str">
        <f t="shared" si="3"/>
        <v>0.0000012e10</v>
      </c>
      <c r="J169" s="17">
        <f t="shared" si="4"/>
        <v>12000</v>
      </c>
      <c r="K169" s="17" t="b">
        <f t="shared" si="5"/>
        <v>0</v>
      </c>
      <c r="L169" s="16" t="str">
        <f>IFERROR(__xludf.DUMMYFUNCTION("if(regexmatch(B169,""e(.*)$""),regexextract(B169,""e(.*)$""),"""")"),"10")</f>
        <v>10</v>
      </c>
      <c r="M169" s="18"/>
      <c r="N169" s="18">
        <f>countif(ConstantsUnits!C:C,F169)</f>
        <v>1</v>
      </c>
      <c r="O169" s="16" t="str">
        <f>ifna(VLOOKUP(A169,ConstantsUnits!A:A,1,false),"")</f>
        <v>kelvin-hertz relationship</v>
      </c>
    </row>
    <row r="170">
      <c r="A170" s="1" t="s">
        <v>637</v>
      </c>
      <c r="B170" s="1" t="s">
        <v>1823</v>
      </c>
      <c r="C170" s="1" t="s">
        <v>1824</v>
      </c>
      <c r="D170" s="1" t="s">
        <v>83</v>
      </c>
      <c r="F170" s="16" t="str">
        <f>ifna(VLOOKUP($A170,ConstantsUnits!$A:$C,3,false),"")</f>
        <v>KelvinInverseMeterRelationship</v>
      </c>
      <c r="G170" s="17" t="str">
        <f t="shared" si="1"/>
        <v>69.503457</v>
      </c>
      <c r="H170" s="17">
        <f t="shared" si="2"/>
        <v>69.503457</v>
      </c>
      <c r="I170" s="17" t="str">
        <f t="shared" si="3"/>
        <v>0.000040</v>
      </c>
      <c r="J170" s="17">
        <f t="shared" si="4"/>
        <v>0.00004</v>
      </c>
      <c r="K170" s="17" t="b">
        <f t="shared" si="5"/>
        <v>0</v>
      </c>
      <c r="L170" s="16" t="str">
        <f>IFERROR(__xludf.DUMMYFUNCTION("if(regexmatch(B170,""e(.*)$""),regexextract(B170,""e(.*)$""),"""")"),"")</f>
        <v/>
      </c>
      <c r="M170" s="18"/>
      <c r="N170" s="18">
        <f>countif(ConstantsUnits!C:C,F170)</f>
        <v>1</v>
      </c>
      <c r="O170" s="16" t="str">
        <f>ifna(VLOOKUP(A170,ConstantsUnits!A:A,1,false),"")</f>
        <v>kelvin-inverse meter relationship</v>
      </c>
    </row>
    <row r="171">
      <c r="A171" s="1" t="s">
        <v>640</v>
      </c>
      <c r="B171" s="1" t="s">
        <v>1816</v>
      </c>
      <c r="C171" s="1" t="s">
        <v>1817</v>
      </c>
      <c r="D171" s="1" t="s">
        <v>41</v>
      </c>
      <c r="F171" s="16" t="str">
        <f>ifna(VLOOKUP($A171,ConstantsUnits!$A:$C,3,false),"")</f>
        <v>KelvinJouleRelationship</v>
      </c>
      <c r="G171" s="17" t="str">
        <f t="shared" si="1"/>
        <v>1.38064852e-23</v>
      </c>
      <c r="H171" s="17">
        <f t="shared" si="2"/>
        <v>0</v>
      </c>
      <c r="I171" s="17" t="str">
        <f t="shared" si="3"/>
        <v>0.00000079e-23</v>
      </c>
      <c r="J171" s="17">
        <f t="shared" si="4"/>
        <v>0</v>
      </c>
      <c r="K171" s="17" t="b">
        <f t="shared" si="5"/>
        <v>0</v>
      </c>
      <c r="L171" s="16" t="str">
        <f>IFERROR(__xludf.DUMMYFUNCTION("if(regexmatch(B171,""e(.*)$""),regexextract(B171,""e(.*)$""),"""")"),"-23")</f>
        <v>-23</v>
      </c>
      <c r="M171" s="18"/>
      <c r="N171" s="18">
        <f>countif(ConstantsUnits!C:C,F171)</f>
        <v>1</v>
      </c>
      <c r="O171" s="16" t="str">
        <f>ifna(VLOOKUP(A171,ConstantsUnits!A:A,1,false),"")</f>
        <v>kelvin-joule relationship</v>
      </c>
    </row>
    <row r="172">
      <c r="A172" s="1" t="s">
        <v>643</v>
      </c>
      <c r="B172" s="1" t="s">
        <v>1995</v>
      </c>
      <c r="C172" s="1" t="s">
        <v>1996</v>
      </c>
      <c r="D172" s="1" t="s">
        <v>38</v>
      </c>
      <c r="F172" s="16" t="str">
        <f>ifna(VLOOKUP($A172,ConstantsUnits!$A:$C,3,false),"")</f>
        <v>KelvinKilogramRelationship</v>
      </c>
      <c r="G172" s="17" t="str">
        <f t="shared" si="1"/>
        <v>1.53617865e-40</v>
      </c>
      <c r="H172" s="17">
        <f t="shared" si="2"/>
        <v>0</v>
      </c>
      <c r="I172" s="17" t="str">
        <f t="shared" si="3"/>
        <v>0.00000088e-40</v>
      </c>
      <c r="J172" s="17">
        <f t="shared" si="4"/>
        <v>0</v>
      </c>
      <c r="K172" s="17" t="b">
        <f t="shared" si="5"/>
        <v>0</v>
      </c>
      <c r="L172" s="16" t="str">
        <f>IFERROR(__xludf.DUMMYFUNCTION("if(regexmatch(B172,""e(.*)$""),regexextract(B172,""e(.*)$""),"""")"),"-40")</f>
        <v>-40</v>
      </c>
      <c r="M172" s="18"/>
      <c r="N172" s="18">
        <f>countif(ConstantsUnits!C:C,F172)</f>
        <v>1</v>
      </c>
      <c r="O172" s="16" t="str">
        <f>ifna(VLOOKUP(A172,ConstantsUnits!A:A,1,false),"")</f>
        <v>kelvin-kilogram relationship</v>
      </c>
    </row>
    <row r="173">
      <c r="A173" s="1" t="s">
        <v>646</v>
      </c>
      <c r="B173" s="1" t="s">
        <v>1997</v>
      </c>
      <c r="C173" s="1" t="s">
        <v>1998</v>
      </c>
      <c r="D173" s="1" t="s">
        <v>48</v>
      </c>
      <c r="F173" s="16" t="str">
        <f>ifna(VLOOKUP($A173,ConstantsUnits!$A:$C,3,false),"")</f>
        <v>KilogramAtomicMassUnitRelationship</v>
      </c>
      <c r="G173" s="17" t="str">
        <f t="shared" si="1"/>
        <v>6.022140857e26</v>
      </c>
      <c r="H173" s="17">
        <f t="shared" si="2"/>
        <v>6.02214E+26</v>
      </c>
      <c r="I173" s="17" t="str">
        <f t="shared" si="3"/>
        <v>0.000000074e26</v>
      </c>
      <c r="J173" s="17">
        <f t="shared" si="4"/>
        <v>7.4E+18</v>
      </c>
      <c r="K173" s="17" t="b">
        <f t="shared" si="5"/>
        <v>0</v>
      </c>
      <c r="L173" s="16" t="str">
        <f>IFERROR(__xludf.DUMMYFUNCTION("if(regexmatch(B173,""e(.*)$""),regexextract(B173,""e(.*)$""),"""")"),"26")</f>
        <v>26</v>
      </c>
      <c r="M173" s="18"/>
      <c r="N173" s="18">
        <f>countif(ConstantsUnits!C:C,F173)</f>
        <v>1</v>
      </c>
      <c r="O173" s="16" t="str">
        <f>ifna(VLOOKUP(A173,ConstantsUnits!A:A,1,false),"")</f>
        <v>kilogram-atomic mass unit relationship</v>
      </c>
    </row>
    <row r="174">
      <c r="A174" s="1" t="s">
        <v>649</v>
      </c>
      <c r="B174" s="1" t="s">
        <v>1999</v>
      </c>
      <c r="C174" s="1" t="s">
        <v>2000</v>
      </c>
      <c r="D174" s="1" t="s">
        <v>70</v>
      </c>
      <c r="F174" s="16" t="str">
        <f>ifna(VLOOKUP($A174,ConstantsUnits!$A:$C,3,false),"")</f>
        <v>KilogramElectronVoltRelationship</v>
      </c>
      <c r="G174" s="17" t="str">
        <f t="shared" si="1"/>
        <v>5.609588650e35</v>
      </c>
      <c r="H174" s="17">
        <f t="shared" si="2"/>
        <v>5.60959E+35</v>
      </c>
      <c r="I174" s="17" t="str">
        <f t="shared" si="3"/>
        <v>0.000000034e35</v>
      </c>
      <c r="J174" s="17">
        <f t="shared" si="4"/>
        <v>3.4E+27</v>
      </c>
      <c r="K174" s="17" t="b">
        <f t="shared" si="5"/>
        <v>0</v>
      </c>
      <c r="L174" s="16" t="str">
        <f>IFERROR(__xludf.DUMMYFUNCTION("if(regexmatch(B174,""e(.*)$""),regexextract(B174,""e(.*)$""),"""")"),"35")</f>
        <v>35</v>
      </c>
      <c r="M174" s="18"/>
      <c r="N174" s="18">
        <f>countif(ConstantsUnits!C:C,F174)</f>
        <v>1</v>
      </c>
      <c r="O174" s="16" t="str">
        <f>ifna(VLOOKUP(A174,ConstantsUnits!A:A,1,false),"")</f>
        <v>kilogram-electron volt relationship</v>
      </c>
    </row>
    <row r="175">
      <c r="A175" s="1" t="s">
        <v>652</v>
      </c>
      <c r="B175" s="1" t="s">
        <v>2001</v>
      </c>
      <c r="C175" s="1" t="s">
        <v>2002</v>
      </c>
      <c r="D175" s="1" t="s">
        <v>74</v>
      </c>
      <c r="F175" s="16" t="str">
        <f>ifna(VLOOKUP($A175,ConstantsUnits!$A:$C,3,false),"")</f>
        <v>KilogramHartreeRelationship</v>
      </c>
      <c r="G175" s="17" t="str">
        <f t="shared" si="1"/>
        <v>2.061485823e34</v>
      </c>
      <c r="H175" s="17">
        <f t="shared" si="2"/>
        <v>2.06149E+34</v>
      </c>
      <c r="I175" s="17" t="str">
        <f t="shared" si="3"/>
        <v>0.000000025e34</v>
      </c>
      <c r="J175" s="17">
        <f t="shared" si="4"/>
        <v>2.5E+26</v>
      </c>
      <c r="K175" s="17" t="b">
        <f t="shared" si="5"/>
        <v>0</v>
      </c>
      <c r="L175" s="16" t="str">
        <f>IFERROR(__xludf.DUMMYFUNCTION("if(regexmatch(B175,""e(.*)$""),regexextract(B175,""e(.*)$""),"""")"),"34")</f>
        <v>34</v>
      </c>
      <c r="M175" s="18"/>
      <c r="N175" s="18">
        <f>countif(ConstantsUnits!C:C,F175)</f>
        <v>1</v>
      </c>
      <c r="O175" s="16" t="str">
        <f>ifna(VLOOKUP(A175,ConstantsUnits!A:A,1,false),"")</f>
        <v>kilogram-hartree relationship</v>
      </c>
    </row>
    <row r="176">
      <c r="A176" s="1" t="s">
        <v>655</v>
      </c>
      <c r="B176" s="1" t="s">
        <v>2003</v>
      </c>
      <c r="C176" s="1" t="s">
        <v>2004</v>
      </c>
      <c r="D176" s="1" t="s">
        <v>79</v>
      </c>
      <c r="F176" s="16" t="str">
        <f>ifna(VLOOKUP($A176,ConstantsUnits!$A:$C,3,false),"")</f>
        <v>KilogramHertzRelationship</v>
      </c>
      <c r="G176" s="17" t="str">
        <f t="shared" si="1"/>
        <v>1.356392512e50</v>
      </c>
      <c r="H176" s="17">
        <f t="shared" si="2"/>
        <v>1.35639E+50</v>
      </c>
      <c r="I176" s="17" t="str">
        <f t="shared" si="3"/>
        <v>0.000000017e50</v>
      </c>
      <c r="J176" s="17">
        <f t="shared" si="4"/>
        <v>1.7E+42</v>
      </c>
      <c r="K176" s="17" t="b">
        <f t="shared" si="5"/>
        <v>0</v>
      </c>
      <c r="L176" s="16" t="str">
        <f>IFERROR(__xludf.DUMMYFUNCTION("if(regexmatch(B176,""e(.*)$""),regexextract(B176,""e(.*)$""),"""")"),"50")</f>
        <v>50</v>
      </c>
      <c r="M176" s="18"/>
      <c r="N176" s="18">
        <f>countif(ConstantsUnits!C:C,F176)</f>
        <v>1</v>
      </c>
      <c r="O176" s="16" t="str">
        <f>ifna(VLOOKUP(A176,ConstantsUnits!A:A,1,false),"")</f>
        <v>kilogram-hertz relationship</v>
      </c>
    </row>
    <row r="177">
      <c r="A177" s="1" t="s">
        <v>658</v>
      </c>
      <c r="B177" s="1" t="s">
        <v>2005</v>
      </c>
      <c r="C177" s="1" t="s">
        <v>2006</v>
      </c>
      <c r="D177" s="1" t="s">
        <v>83</v>
      </c>
      <c r="F177" s="16" t="str">
        <f>ifna(VLOOKUP($A177,ConstantsUnits!$A:$C,3,false),"")</f>
        <v>KilogramInverseMeterRelationship</v>
      </c>
      <c r="G177" s="17" t="str">
        <f t="shared" si="1"/>
        <v>4.524438411e41</v>
      </c>
      <c r="H177" s="17">
        <f t="shared" si="2"/>
        <v>4.52444E+41</v>
      </c>
      <c r="I177" s="17" t="str">
        <f t="shared" si="3"/>
        <v>0.000000056e41</v>
      </c>
      <c r="J177" s="17">
        <f t="shared" si="4"/>
        <v>5.6E+33</v>
      </c>
      <c r="K177" s="17" t="b">
        <f t="shared" si="5"/>
        <v>0</v>
      </c>
      <c r="L177" s="16" t="str">
        <f>IFERROR(__xludf.DUMMYFUNCTION("if(regexmatch(B177,""e(.*)$""),regexextract(B177,""e(.*)$""),"""")"),"41")</f>
        <v>41</v>
      </c>
      <c r="M177" s="18"/>
      <c r="N177" s="18">
        <f>countif(ConstantsUnits!C:C,F177)</f>
        <v>1</v>
      </c>
      <c r="O177" s="16" t="str">
        <f>ifna(VLOOKUP(A177,ConstantsUnits!A:A,1,false),"")</f>
        <v>kilogram-inverse meter relationship</v>
      </c>
    </row>
    <row r="178">
      <c r="A178" s="1" t="s">
        <v>661</v>
      </c>
      <c r="B178" s="1" t="s">
        <v>1472</v>
      </c>
      <c r="C178" s="1" t="s">
        <v>1232</v>
      </c>
      <c r="D178" s="1" t="s">
        <v>41</v>
      </c>
      <c r="F178" s="16" t="str">
        <f>ifna(VLOOKUP($A178,ConstantsUnits!$A:$C,3,false),"")</f>
        <v>KilogramJouleRelationship</v>
      </c>
      <c r="G178" s="17" t="str">
        <f t="shared" si="1"/>
        <v>8.987551787e16</v>
      </c>
      <c r="H178" s="17">
        <f t="shared" si="2"/>
        <v>8.98755E+16</v>
      </c>
      <c r="I178" s="17" t="str">
        <f t="shared" si="3"/>
        <v>(exact)</v>
      </c>
      <c r="J178" s="17" t="str">
        <f t="shared" si="4"/>
        <v/>
      </c>
      <c r="K178" s="17" t="b">
        <f t="shared" si="5"/>
        <v>1</v>
      </c>
      <c r="L178" s="16" t="str">
        <f>IFERROR(__xludf.DUMMYFUNCTION("if(regexmatch(B178,""e(.*)$""),regexextract(B178,""e(.*)$""),"""")"),"16")</f>
        <v>16</v>
      </c>
      <c r="M178" s="18"/>
      <c r="N178" s="18">
        <f>countif(ConstantsUnits!C:C,F178)</f>
        <v>1</v>
      </c>
      <c r="O178" s="16" t="str">
        <f>ifna(VLOOKUP(A178,ConstantsUnits!A:A,1,false),"")</f>
        <v>kilogram-joule relationship</v>
      </c>
    </row>
    <row r="179">
      <c r="A179" s="1" t="s">
        <v>664</v>
      </c>
      <c r="B179" s="1" t="s">
        <v>2007</v>
      </c>
      <c r="C179" s="1" t="s">
        <v>2008</v>
      </c>
      <c r="D179" s="1" t="s">
        <v>91</v>
      </c>
      <c r="F179" s="16" t="str">
        <f>ifna(VLOOKUP($A179,ConstantsUnits!$A:$C,3,false),"")</f>
        <v>KilogramKelvinRelationship</v>
      </c>
      <c r="G179" s="17" t="str">
        <f t="shared" si="1"/>
        <v>6.5096595e39</v>
      </c>
      <c r="H179" s="17">
        <f t="shared" si="2"/>
        <v>6.50966E+39</v>
      </c>
      <c r="I179" s="17" t="str">
        <f t="shared" si="3"/>
        <v>0.0000037e39</v>
      </c>
      <c r="J179" s="17">
        <f t="shared" si="4"/>
        <v>3.7E+33</v>
      </c>
      <c r="K179" s="17" t="b">
        <f t="shared" si="5"/>
        <v>0</v>
      </c>
      <c r="L179" s="16" t="str">
        <f>IFERROR(__xludf.DUMMYFUNCTION("if(regexmatch(B179,""e(.*)$""),regexextract(B179,""e(.*)$""),"""")"),"39")</f>
        <v>39</v>
      </c>
      <c r="M179" s="18"/>
      <c r="N179" s="18">
        <f>countif(ConstantsUnits!C:C,F179)</f>
        <v>1</v>
      </c>
      <c r="O179" s="16" t="str">
        <f>ifna(VLOOKUP(A179,ConstantsUnits!A:A,1,false),"")</f>
        <v>kilogram-kelvin relationship</v>
      </c>
    </row>
    <row r="180">
      <c r="A180" s="1" t="s">
        <v>667</v>
      </c>
      <c r="B180" s="1" t="s">
        <v>2009</v>
      </c>
      <c r="C180" s="1" t="s">
        <v>2010</v>
      </c>
      <c r="D180" s="1" t="s">
        <v>59</v>
      </c>
      <c r="F180" s="16" t="str">
        <f>ifna(VLOOKUP($A180,ConstantsUnits!$A:$C,3,false),"")</f>
        <v>LatticeParameterOfSilicon</v>
      </c>
      <c r="G180" s="17" t="str">
        <f t="shared" si="1"/>
        <v>543.1020504e-12</v>
      </c>
      <c r="H180" s="17">
        <f t="shared" si="2"/>
        <v>0.0000000005431020504</v>
      </c>
      <c r="I180" s="17" t="str">
        <f t="shared" si="3"/>
        <v>0.0000089e-12</v>
      </c>
      <c r="J180" s="17">
        <f t="shared" si="4"/>
        <v>0</v>
      </c>
      <c r="K180" s="17" t="b">
        <f t="shared" si="5"/>
        <v>0</v>
      </c>
      <c r="L180" s="16" t="str">
        <f>IFERROR(__xludf.DUMMYFUNCTION("if(regexmatch(B180,""e(.*)$""),regexextract(B180,""e(.*)$""),"""")"),"-12")</f>
        <v>-12</v>
      </c>
      <c r="M180" s="18"/>
      <c r="N180" s="18">
        <f>countif(ConstantsUnits!C:C,F180)</f>
        <v>1</v>
      </c>
      <c r="O180" s="16" t="str">
        <f>ifna(VLOOKUP(A180,ConstantsUnits!A:A,1,false),"")</f>
        <v>lattice parameter of silicon</v>
      </c>
    </row>
    <row r="181">
      <c r="A181" s="1" t="s">
        <v>673</v>
      </c>
      <c r="B181" s="1" t="s">
        <v>2011</v>
      </c>
      <c r="C181" s="1" t="s">
        <v>2012</v>
      </c>
      <c r="D181" s="1" t="s">
        <v>674</v>
      </c>
      <c r="F181" s="16" t="str">
        <f>ifna(VLOOKUP($A181,ConstantsUnits!$A:$C,3,false),"")</f>
        <v>LoschmidtConstant273K100Kpa</v>
      </c>
      <c r="G181" s="17" t="str">
        <f t="shared" si="1"/>
        <v>2.6516467e25</v>
      </c>
      <c r="H181" s="17">
        <f t="shared" si="2"/>
        <v>2.65165E+25</v>
      </c>
      <c r="I181" s="17" t="str">
        <f t="shared" si="3"/>
        <v>0.0000015e25</v>
      </c>
      <c r="J181" s="17">
        <f t="shared" si="4"/>
        <v>1.5E+19</v>
      </c>
      <c r="K181" s="17" t="b">
        <f t="shared" si="5"/>
        <v>0</v>
      </c>
      <c r="L181" s="16" t="str">
        <f>IFERROR(__xludf.DUMMYFUNCTION("if(regexmatch(B181,""e(.*)$""),regexextract(B181,""e(.*)$""),"""")"),"25")</f>
        <v>25</v>
      </c>
      <c r="M181" s="18"/>
      <c r="N181" s="18">
        <f>countif(ConstantsUnits!C:C,F181)</f>
        <v>1</v>
      </c>
      <c r="O181" s="16" t="str">
        <f>ifna(VLOOKUP(A181,ConstantsUnits!A:A,1,false),"")</f>
        <v>Loschmidt constant (273.15 K, 100 kPa)</v>
      </c>
    </row>
    <row r="182">
      <c r="A182" s="1" t="s">
        <v>678</v>
      </c>
      <c r="B182" s="1" t="s">
        <v>2013</v>
      </c>
      <c r="C182" s="1" t="s">
        <v>2012</v>
      </c>
      <c r="D182" s="1" t="s">
        <v>674</v>
      </c>
      <c r="F182" s="16" t="str">
        <f>ifna(VLOOKUP($A182,ConstantsUnits!$A:$C,3,false),"")</f>
        <v>LoschmidtConstant273K101Kpa</v>
      </c>
      <c r="G182" s="17" t="str">
        <f t="shared" si="1"/>
        <v>2.6867811e25</v>
      </c>
      <c r="H182" s="17">
        <f t="shared" si="2"/>
        <v>2.68678E+25</v>
      </c>
      <c r="I182" s="17" t="str">
        <f t="shared" si="3"/>
        <v>0.0000015e25</v>
      </c>
      <c r="J182" s="17">
        <f t="shared" si="4"/>
        <v>1.5E+19</v>
      </c>
      <c r="K182" s="17" t="b">
        <f t="shared" si="5"/>
        <v>0</v>
      </c>
      <c r="L182" s="16" t="str">
        <f>IFERROR(__xludf.DUMMYFUNCTION("if(regexmatch(B182,""e(.*)$""),regexextract(B182,""e(.*)$""),"""")"),"25")</f>
        <v>25</v>
      </c>
      <c r="M182" s="18"/>
      <c r="N182" s="18">
        <f>countif(ConstantsUnits!C:C,F182)</f>
        <v>1</v>
      </c>
      <c r="O182" s="16" t="str">
        <f>ifna(VLOOKUP(A182,ConstantsUnits!A:A,1,false),"")</f>
        <v>Loschmidt constant (273.15 K, 101.325 kPa)</v>
      </c>
    </row>
    <row r="183">
      <c r="A183" s="1" t="s">
        <v>2014</v>
      </c>
      <c r="B183" s="1" t="s">
        <v>2015</v>
      </c>
      <c r="C183" s="1" t="s">
        <v>1232</v>
      </c>
      <c r="D183" s="1" t="s">
        <v>1166</v>
      </c>
      <c r="F183" s="1" t="s">
        <v>684</v>
      </c>
      <c r="G183" s="17" t="str">
        <f t="shared" si="1"/>
        <v>12.566370614e-7</v>
      </c>
      <c r="H183" s="17">
        <f t="shared" si="2"/>
        <v>0.000001256637061</v>
      </c>
      <c r="I183" s="17" t="str">
        <f t="shared" si="3"/>
        <v>(exact)</v>
      </c>
      <c r="J183" s="17" t="str">
        <f t="shared" si="4"/>
        <v/>
      </c>
      <c r="K183" s="17" t="b">
        <f t="shared" si="5"/>
        <v>1</v>
      </c>
      <c r="L183" s="16" t="str">
        <f>IFERROR(__xludf.DUMMYFUNCTION("if(regexmatch(B183,""e(.*)$""),regexextract(B183,""e(.*)$""),"""")"),"-7")</f>
        <v>-7</v>
      </c>
      <c r="M183" s="18"/>
      <c r="N183" s="18">
        <f>countif(ConstantsUnits!C:C,F183)</f>
        <v>1</v>
      </c>
      <c r="O183" s="16" t="str">
        <f>ifna(VLOOKUP(A183,ConstantsUnits!A:A,1,false),"")</f>
        <v/>
      </c>
    </row>
    <row r="184">
      <c r="A184" s="1" t="s">
        <v>686</v>
      </c>
      <c r="B184" s="1" t="s">
        <v>2016</v>
      </c>
      <c r="C184" s="1" t="s">
        <v>2017</v>
      </c>
      <c r="D184" s="1" t="s">
        <v>687</v>
      </c>
      <c r="F184" s="16" t="str">
        <f>ifna(VLOOKUP($A184,ConstantsUnits!$A:$C,3,false),"")</f>
        <v>MagneticFluxQuantum</v>
      </c>
      <c r="G184" s="17" t="str">
        <f t="shared" si="1"/>
        <v>2.067833831e-15</v>
      </c>
      <c r="H184" s="17">
        <f t="shared" si="2"/>
        <v>0</v>
      </c>
      <c r="I184" s="17" t="str">
        <f t="shared" si="3"/>
        <v>0.000000013e-15</v>
      </c>
      <c r="J184" s="17">
        <f t="shared" si="4"/>
        <v>0</v>
      </c>
      <c r="K184" s="17" t="b">
        <f t="shared" si="5"/>
        <v>0</v>
      </c>
      <c r="L184" s="16" t="str">
        <f>IFERROR(__xludf.DUMMYFUNCTION("if(regexmatch(B184,""e(.*)$""),regexextract(B184,""e(.*)$""),"""")"),"-15")</f>
        <v>-15</v>
      </c>
      <c r="M184" s="18"/>
      <c r="N184" s="18">
        <f>countif(ConstantsUnits!C:C,F184)</f>
        <v>1</v>
      </c>
      <c r="O184" s="16" t="str">
        <f>ifna(VLOOKUP(A184,ConstantsUnits!A:A,1,false),"")</f>
        <v>mag. flux quantum</v>
      </c>
    </row>
    <row r="185">
      <c r="A185" s="1" t="s">
        <v>690</v>
      </c>
      <c r="B185" s="1" t="s">
        <v>2018</v>
      </c>
      <c r="C185" s="1" t="s">
        <v>2019</v>
      </c>
      <c r="D185" s="1" t="s">
        <v>691</v>
      </c>
      <c r="F185" s="16" t="str">
        <f>ifna(VLOOKUP($A185,ConstantsUnits!$A:$C,3,false),"")</f>
        <v>MolarGasConstant</v>
      </c>
      <c r="G185" s="17" t="str">
        <f t="shared" si="1"/>
        <v>8.3144598</v>
      </c>
      <c r="H185" s="17">
        <f t="shared" si="2"/>
        <v>8.3144598</v>
      </c>
      <c r="I185" s="17" t="str">
        <f t="shared" si="3"/>
        <v>0.0000048</v>
      </c>
      <c r="J185" s="17">
        <f t="shared" si="4"/>
        <v>0.0000048</v>
      </c>
      <c r="K185" s="17" t="b">
        <f t="shared" si="5"/>
        <v>0</v>
      </c>
      <c r="L185" s="16" t="str">
        <f>IFERROR(__xludf.DUMMYFUNCTION("if(regexmatch(B185,""e(.*)$""),regexextract(B185,""e(.*)$""),"""")"),"")</f>
        <v/>
      </c>
      <c r="M185" s="18"/>
      <c r="N185" s="18">
        <f>countif(ConstantsUnits!C:C,F185)</f>
        <v>1</v>
      </c>
      <c r="O185" s="16" t="str">
        <f>ifna(VLOOKUP(A185,ConstantsUnits!A:A,1,false),"")</f>
        <v>molar gas constant</v>
      </c>
    </row>
    <row r="186">
      <c r="A186" s="1" t="s">
        <v>695</v>
      </c>
      <c r="B186" s="19" t="s">
        <v>2020</v>
      </c>
      <c r="C186" s="1" t="s">
        <v>1232</v>
      </c>
      <c r="D186" s="1" t="s">
        <v>51</v>
      </c>
      <c r="F186" s="16" t="str">
        <f>ifna(VLOOKUP($A186,ConstantsUnits!$A:$C,3,false),"")</f>
        <v>MolarMassConstant</v>
      </c>
      <c r="G186" s="17" t="str">
        <f t="shared" si="1"/>
        <v>1e-3</v>
      </c>
      <c r="H186" s="17">
        <f t="shared" si="2"/>
        <v>0.001</v>
      </c>
      <c r="I186" s="17" t="str">
        <f t="shared" si="3"/>
        <v>(exact)</v>
      </c>
      <c r="J186" s="17" t="str">
        <f t="shared" si="4"/>
        <v/>
      </c>
      <c r="K186" s="17" t="b">
        <f t="shared" si="5"/>
        <v>0</v>
      </c>
      <c r="L186" s="16" t="str">
        <f>IFERROR(__xludf.DUMMYFUNCTION("if(regexmatch(B186,""e(.*)$""),regexextract(B186,""e(.*)$""),"""")"),"-3")</f>
        <v>-3</v>
      </c>
      <c r="M186" s="18"/>
      <c r="N186" s="18">
        <f>countif(ConstantsUnits!C:C,F186)</f>
        <v>1</v>
      </c>
      <c r="O186" s="16" t="str">
        <f>ifna(VLOOKUP(A186,ConstantsUnits!A:A,1,false),"")</f>
        <v>molar mass constant</v>
      </c>
    </row>
    <row r="187">
      <c r="A187" s="1" t="s">
        <v>698</v>
      </c>
      <c r="B187" s="19" t="s">
        <v>2021</v>
      </c>
      <c r="C187" s="1" t="s">
        <v>1232</v>
      </c>
      <c r="D187" s="1" t="s">
        <v>51</v>
      </c>
      <c r="F187" s="16" t="str">
        <f>ifna(VLOOKUP($A187,ConstantsUnits!$A:$C,3,false),"")</f>
        <v>MolarMassOfCarbon12</v>
      </c>
      <c r="G187" s="17" t="str">
        <f t="shared" si="1"/>
        <v>12e-3</v>
      </c>
      <c r="H187" s="17">
        <f t="shared" si="2"/>
        <v>0.012</v>
      </c>
      <c r="I187" s="17" t="str">
        <f t="shared" si="3"/>
        <v>(exact)</v>
      </c>
      <c r="J187" s="17" t="str">
        <f t="shared" si="4"/>
        <v/>
      </c>
      <c r="K187" s="17" t="b">
        <f t="shared" si="5"/>
        <v>0</v>
      </c>
      <c r="L187" s="16" t="str">
        <f>IFERROR(__xludf.DUMMYFUNCTION("if(regexmatch(B187,""e(.*)$""),regexextract(B187,""e(.*)$""),"""")"),"-3")</f>
        <v>-3</v>
      </c>
      <c r="M187" s="18"/>
      <c r="N187" s="18">
        <f>countif(ConstantsUnits!C:C,F187)</f>
        <v>1</v>
      </c>
      <c r="O187" s="16" t="str">
        <f>ifna(VLOOKUP(A187,ConstantsUnits!A:A,1,false),"")</f>
        <v>molar mass of carbon-12</v>
      </c>
    </row>
    <row r="188">
      <c r="A188" s="1" t="s">
        <v>701</v>
      </c>
      <c r="B188" s="1" t="s">
        <v>2022</v>
      </c>
      <c r="C188" s="1" t="s">
        <v>1200</v>
      </c>
      <c r="D188" s="1" t="s">
        <v>2023</v>
      </c>
      <c r="F188" s="16" t="str">
        <f>ifna(VLOOKUP($A188,ConstantsUnits!$A:$C,3,false),"")</f>
        <v>MolarPlanckConstant</v>
      </c>
      <c r="G188" s="17" t="str">
        <f t="shared" si="1"/>
        <v>3.9903127110e-10</v>
      </c>
      <c r="H188" s="17">
        <f t="shared" si="2"/>
        <v>0.0000000003990312711</v>
      </c>
      <c r="I188" s="17" t="str">
        <f t="shared" si="3"/>
        <v>0.0000000018e-10</v>
      </c>
      <c r="J188" s="17">
        <f t="shared" si="4"/>
        <v>0</v>
      </c>
      <c r="K188" s="17" t="b">
        <f t="shared" si="5"/>
        <v>0</v>
      </c>
      <c r="L188" s="16" t="str">
        <f>IFERROR(__xludf.DUMMYFUNCTION("if(regexmatch(B188,""e(.*)$""),regexextract(B188,""e(.*)$""),"""")"),"-10")</f>
        <v>-10</v>
      </c>
      <c r="M188" s="18"/>
      <c r="N188" s="18">
        <f>countif(ConstantsUnits!C:C,F188)</f>
        <v>1</v>
      </c>
      <c r="O188" s="16" t="str">
        <f>ifna(VLOOKUP(A188,ConstantsUnits!A:A,1,false),"")</f>
        <v>molar Planck constant</v>
      </c>
    </row>
    <row r="189">
      <c r="A189" s="1" t="s">
        <v>2024</v>
      </c>
      <c r="B189" s="1" t="s">
        <v>2025</v>
      </c>
      <c r="C189" s="1" t="s">
        <v>2026</v>
      </c>
      <c r="D189" s="1" t="s">
        <v>2027</v>
      </c>
      <c r="F189" s="1" t="s">
        <v>706</v>
      </c>
      <c r="G189" s="17" t="str">
        <f t="shared" si="1"/>
        <v>0.119626565582</v>
      </c>
      <c r="H189" s="17">
        <f t="shared" si="2"/>
        <v>0.1196265656</v>
      </c>
      <c r="I189" s="17" t="str">
        <f t="shared" si="3"/>
        <v>0.000000000054</v>
      </c>
      <c r="J189" s="17">
        <f t="shared" si="4"/>
        <v>0</v>
      </c>
      <c r="K189" s="17" t="b">
        <f t="shared" si="5"/>
        <v>0</v>
      </c>
      <c r="L189" s="16" t="str">
        <f>IFERROR(__xludf.DUMMYFUNCTION("if(regexmatch(B189,""e(.*)$""),regexextract(B189,""e(.*)$""),"""")"),"")</f>
        <v/>
      </c>
      <c r="M189" s="18"/>
      <c r="N189" s="18">
        <f>countif(ConstantsUnits!C:C,F189)</f>
        <v>1</v>
      </c>
      <c r="O189" s="16" t="str">
        <f>ifna(VLOOKUP(A189,ConstantsUnits!A:A,1,false),"")</f>
        <v/>
      </c>
    </row>
    <row r="190">
      <c r="A190" s="1" t="s">
        <v>708</v>
      </c>
      <c r="B190" s="1" t="s">
        <v>2028</v>
      </c>
      <c r="C190" s="1" t="s">
        <v>2029</v>
      </c>
      <c r="D190" s="1" t="s">
        <v>709</v>
      </c>
      <c r="F190" s="16" t="str">
        <f>ifna(VLOOKUP($A190,ConstantsUnits!$A:$C,3,false),"")</f>
        <v>MolarVolumeOfIdealGas273K100Kpa</v>
      </c>
      <c r="G190" s="17" t="str">
        <f t="shared" si="1"/>
        <v>22.710947e-3</v>
      </c>
      <c r="H190" s="17">
        <f t="shared" si="2"/>
        <v>0.022710947</v>
      </c>
      <c r="I190" s="17" t="str">
        <f t="shared" si="3"/>
        <v>0.000013e-3</v>
      </c>
      <c r="J190" s="17">
        <f t="shared" si="4"/>
        <v>0.000000013</v>
      </c>
      <c r="K190" s="17" t="b">
        <f t="shared" si="5"/>
        <v>0</v>
      </c>
      <c r="L190" s="16" t="str">
        <f>IFERROR(__xludf.DUMMYFUNCTION("if(regexmatch(B190,""e(.*)$""),regexextract(B190,""e(.*)$""),"""")"),"-3")</f>
        <v>-3</v>
      </c>
      <c r="M190" s="18"/>
      <c r="N190" s="18">
        <f>countif(ConstantsUnits!C:C,F190)</f>
        <v>1</v>
      </c>
      <c r="O190" s="16" t="str">
        <f>ifna(VLOOKUP(A190,ConstantsUnits!A:A,1,false),"")</f>
        <v>molar volume of ideal gas (273.15 K, 100 kPa)</v>
      </c>
    </row>
    <row r="191">
      <c r="A191" s="1" t="s">
        <v>713</v>
      </c>
      <c r="B191" s="1" t="s">
        <v>2030</v>
      </c>
      <c r="C191" s="1" t="s">
        <v>2029</v>
      </c>
      <c r="D191" s="1" t="s">
        <v>709</v>
      </c>
      <c r="F191" s="16" t="str">
        <f>ifna(VLOOKUP($A191,ConstantsUnits!$A:$C,3,false),"")</f>
        <v>MolarVolumeOfIdealGas273K101Kpa</v>
      </c>
      <c r="G191" s="17" t="str">
        <f t="shared" si="1"/>
        <v>22.413962e-3</v>
      </c>
      <c r="H191" s="17">
        <f t="shared" si="2"/>
        <v>0.022413962</v>
      </c>
      <c r="I191" s="17" t="str">
        <f t="shared" si="3"/>
        <v>0.000013e-3</v>
      </c>
      <c r="J191" s="17">
        <f t="shared" si="4"/>
        <v>0.000000013</v>
      </c>
      <c r="K191" s="17" t="b">
        <f t="shared" si="5"/>
        <v>0</v>
      </c>
      <c r="L191" s="16" t="str">
        <f>IFERROR(__xludf.DUMMYFUNCTION("if(regexmatch(B191,""e(.*)$""),regexextract(B191,""e(.*)$""),"""")"),"-3")</f>
        <v>-3</v>
      </c>
      <c r="M191" s="18"/>
      <c r="N191" s="18">
        <f>countif(ConstantsUnits!C:C,F191)</f>
        <v>1</v>
      </c>
      <c r="O191" s="16" t="str">
        <f>ifna(VLOOKUP(A191,ConstantsUnits!A:A,1,false),"")</f>
        <v>molar volume of ideal gas (273.15 K, 101.325 kPa)</v>
      </c>
    </row>
    <row r="192">
      <c r="A192" s="1" t="s">
        <v>715</v>
      </c>
      <c r="B192" s="1" t="s">
        <v>2031</v>
      </c>
      <c r="C192" s="1" t="s">
        <v>2032</v>
      </c>
      <c r="D192" s="1" t="s">
        <v>709</v>
      </c>
      <c r="F192" s="16" t="str">
        <f>ifna(VLOOKUP($A192,ConstantsUnits!$A:$C,3,false),"")</f>
        <v>MolarVolumeOfSilicon</v>
      </c>
      <c r="G192" s="17" t="str">
        <f t="shared" si="1"/>
        <v>12.05883214e-6</v>
      </c>
      <c r="H192" s="17">
        <f t="shared" si="2"/>
        <v>0.00001205883214</v>
      </c>
      <c r="I192" s="17" t="str">
        <f t="shared" si="3"/>
        <v>0.00000061e-6</v>
      </c>
      <c r="J192" s="17">
        <f t="shared" si="4"/>
        <v>0</v>
      </c>
      <c r="K192" s="17" t="b">
        <f t="shared" si="5"/>
        <v>0</v>
      </c>
      <c r="L192" s="16" t="str">
        <f>IFERROR(__xludf.DUMMYFUNCTION("if(regexmatch(B192,""e(.*)$""),regexextract(B192,""e(.*)$""),"""")"),"-6")</f>
        <v>-6</v>
      </c>
      <c r="M192" s="18"/>
      <c r="N192" s="18">
        <f>countif(ConstantsUnits!C:C,F192)</f>
        <v>1</v>
      </c>
      <c r="O192" s="16" t="str">
        <f>ifna(VLOOKUP(A192,ConstantsUnits!A:A,1,false),"")</f>
        <v>molar volume of silicon</v>
      </c>
    </row>
    <row r="193">
      <c r="A193" s="1" t="s">
        <v>2033</v>
      </c>
      <c r="B193" s="1" t="s">
        <v>1492</v>
      </c>
      <c r="C193" s="1" t="s">
        <v>1493</v>
      </c>
      <c r="D193" s="1" t="s">
        <v>59</v>
      </c>
      <c r="F193" s="1" t="s">
        <v>719</v>
      </c>
      <c r="G193" s="17" t="str">
        <f t="shared" si="1"/>
        <v>1.00209952e-13</v>
      </c>
      <c r="H193" s="17">
        <f t="shared" si="2"/>
        <v>0</v>
      </c>
      <c r="I193" s="17" t="str">
        <f t="shared" si="3"/>
        <v>0.00000053e-13</v>
      </c>
      <c r="J193" s="17">
        <f t="shared" si="4"/>
        <v>0</v>
      </c>
      <c r="K193" s="17" t="b">
        <f t="shared" si="5"/>
        <v>0</v>
      </c>
      <c r="L193" s="16" t="str">
        <f>IFERROR(__xludf.DUMMYFUNCTION("if(regexmatch(B193,""e(.*)$""),regexextract(B193,""e(.*)$""),"""")"),"-13")</f>
        <v>-13</v>
      </c>
      <c r="M193" s="18"/>
      <c r="N193" s="18">
        <f>countif(ConstantsUnits!C:C,F193)</f>
        <v>1</v>
      </c>
      <c r="O193" s="16" t="str">
        <f>ifna(VLOOKUP(A193,ConstantsUnits!A:A,1,false),"")</f>
        <v/>
      </c>
    </row>
    <row r="194">
      <c r="A194" s="1" t="s">
        <v>722</v>
      </c>
      <c r="B194" s="1" t="s">
        <v>2034</v>
      </c>
      <c r="C194" s="1" t="s">
        <v>2035</v>
      </c>
      <c r="D194" s="1" t="s">
        <v>59</v>
      </c>
      <c r="F194" s="16" t="str">
        <f>ifna(VLOOKUP($A194,ConstantsUnits!$A:$C,3,false),"")</f>
        <v>MuonComptonWavelength</v>
      </c>
      <c r="G194" s="17" t="str">
        <f t="shared" si="1"/>
        <v>11.73444111e-15</v>
      </c>
      <c r="H194" s="17">
        <f t="shared" si="2"/>
        <v>0</v>
      </c>
      <c r="I194" s="17" t="str">
        <f t="shared" si="3"/>
        <v>0.00000026e-15</v>
      </c>
      <c r="J194" s="17">
        <f t="shared" si="4"/>
        <v>0</v>
      </c>
      <c r="K194" s="17" t="b">
        <f t="shared" si="5"/>
        <v>0</v>
      </c>
      <c r="L194" s="16" t="str">
        <f>IFERROR(__xludf.DUMMYFUNCTION("if(regexmatch(B194,""e(.*)$""),regexextract(B194,""e(.*)$""),"""")"),"-15")</f>
        <v>-15</v>
      </c>
      <c r="M194" s="18"/>
      <c r="N194" s="18">
        <f>countif(ConstantsUnits!C:C,F194)</f>
        <v>1</v>
      </c>
      <c r="O194" s="16" t="str">
        <f>ifna(VLOOKUP(A194,ConstantsUnits!A:A,1,false),"")</f>
        <v>muon Compton wavelength</v>
      </c>
    </row>
    <row r="195">
      <c r="A195" s="1" t="s">
        <v>2036</v>
      </c>
      <c r="B195" s="1" t="s">
        <v>2037</v>
      </c>
      <c r="C195" s="1" t="s">
        <v>1631</v>
      </c>
      <c r="D195" s="1" t="s">
        <v>59</v>
      </c>
      <c r="F195" s="1" t="s">
        <v>2038</v>
      </c>
      <c r="G195" s="17" t="str">
        <f t="shared" si="1"/>
        <v>1.867594308e-15</v>
      </c>
      <c r="H195" s="17">
        <f t="shared" si="2"/>
        <v>0</v>
      </c>
      <c r="I195" s="17" t="str">
        <f t="shared" si="3"/>
        <v>0.000000042e-15</v>
      </c>
      <c r="J195" s="17">
        <f t="shared" si="4"/>
        <v>0</v>
      </c>
      <c r="K195" s="17" t="b">
        <f t="shared" si="5"/>
        <v>0</v>
      </c>
      <c r="L195" s="16" t="str">
        <f>IFERROR(__xludf.DUMMYFUNCTION("if(regexmatch(B195,""e(.*)$""),regexextract(B195,""e(.*)$""),"""")"),"-15")</f>
        <v>-15</v>
      </c>
      <c r="M195" s="18"/>
      <c r="N195" s="18">
        <f>countif(ConstantsUnits!C:C,F195)</f>
        <v>1</v>
      </c>
      <c r="O195" s="16" t="str">
        <f>ifna(VLOOKUP(A195,ConstantsUnits!A:A,1,false),"")</f>
        <v/>
      </c>
    </row>
    <row r="196">
      <c r="A196" s="1" t="s">
        <v>726</v>
      </c>
      <c r="B196" s="1" t="s">
        <v>2039</v>
      </c>
      <c r="C196" s="1" t="s">
        <v>1358</v>
      </c>
      <c r="F196" s="16" t="str">
        <f>ifna(VLOOKUP($A196,ConstantsUnits!$A:$C,3,false),"")</f>
        <v>MuonElectronMassRatio</v>
      </c>
      <c r="G196" s="17" t="str">
        <f t="shared" si="1"/>
        <v>206.7682826</v>
      </c>
      <c r="H196" s="17">
        <f t="shared" si="2"/>
        <v>206.7682826</v>
      </c>
      <c r="I196" s="17" t="str">
        <f t="shared" si="3"/>
        <v>0.0000046</v>
      </c>
      <c r="J196" s="17">
        <f t="shared" si="4"/>
        <v>0.0000046</v>
      </c>
      <c r="K196" s="17" t="b">
        <f t="shared" si="5"/>
        <v>0</v>
      </c>
      <c r="L196" s="16" t="str">
        <f>IFERROR(__xludf.DUMMYFUNCTION("if(regexmatch(B196,""e(.*)$""),regexextract(B196,""e(.*)$""),"""")"),"")</f>
        <v/>
      </c>
      <c r="M196" s="18"/>
      <c r="N196" s="18">
        <f>countif(ConstantsUnits!C:C,F196)</f>
        <v>1</v>
      </c>
      <c r="O196" s="16" t="str">
        <f>ifna(VLOOKUP(A196,ConstantsUnits!A:A,1,false),"")</f>
        <v>muon-electron mass ratio</v>
      </c>
    </row>
    <row r="197">
      <c r="A197" s="1" t="s">
        <v>729</v>
      </c>
      <c r="B197" s="1" t="s">
        <v>1497</v>
      </c>
      <c r="C197" s="1" t="s">
        <v>1498</v>
      </c>
      <c r="F197" s="16" t="str">
        <f>ifna(VLOOKUP($A197,ConstantsUnits!$A:$C,3,false),"")</f>
        <v>MuonGFactor</v>
      </c>
      <c r="G197" s="17" t="str">
        <f t="shared" si="1"/>
        <v>-2.0023318418</v>
      </c>
      <c r="H197" s="17">
        <f t="shared" si="2"/>
        <v>-2.002331842</v>
      </c>
      <c r="I197" s="17" t="str">
        <f t="shared" si="3"/>
        <v>0.0000000013</v>
      </c>
      <c r="J197" s="17">
        <f t="shared" si="4"/>
        <v>0.0000000013</v>
      </c>
      <c r="K197" s="17" t="b">
        <f t="shared" si="5"/>
        <v>0</v>
      </c>
      <c r="L197" s="16" t="str">
        <f>IFERROR(__xludf.DUMMYFUNCTION("if(regexmatch(B197,""e(.*)$""),regexextract(B197,""e(.*)$""),"""")"),"")</f>
        <v/>
      </c>
      <c r="M197" s="18"/>
      <c r="N197" s="18">
        <f>countif(ConstantsUnits!C:C,F197)</f>
        <v>1</v>
      </c>
      <c r="O197" s="16" t="str">
        <f>ifna(VLOOKUP(A197,ConstantsUnits!A:A,1,false),"")</f>
        <v>muon g factor</v>
      </c>
    </row>
    <row r="198">
      <c r="A198" s="1" t="s">
        <v>732</v>
      </c>
      <c r="B198" s="1" t="s">
        <v>2040</v>
      </c>
      <c r="C198" s="1" t="s">
        <v>1500</v>
      </c>
      <c r="D198" s="1" t="s">
        <v>165</v>
      </c>
      <c r="F198" s="16" t="str">
        <f>ifna(VLOOKUP($A198,ConstantsUnits!$A:$C,3,false),"")</f>
        <v>MuonMagneticMoment</v>
      </c>
      <c r="G198" s="17" t="str">
        <f t="shared" si="1"/>
        <v>-4.49044826e-26</v>
      </c>
      <c r="H198" s="17">
        <f t="shared" si="2"/>
        <v>0</v>
      </c>
      <c r="I198" s="17" t="str">
        <f t="shared" si="3"/>
        <v>0.00000010e-26</v>
      </c>
      <c r="J198" s="17">
        <f t="shared" si="4"/>
        <v>0</v>
      </c>
      <c r="K198" s="17" t="b">
        <f t="shared" si="5"/>
        <v>0</v>
      </c>
      <c r="L198" s="16" t="str">
        <f>IFERROR(__xludf.DUMMYFUNCTION("if(regexmatch(B198,""e(.*)$""),regexextract(B198,""e(.*)$""),"""")"),"-26")</f>
        <v>-26</v>
      </c>
      <c r="M198" s="18"/>
      <c r="N198" s="18">
        <f>countif(ConstantsUnits!C:C,F198)</f>
        <v>1</v>
      </c>
      <c r="O198" s="16" t="str">
        <f>ifna(VLOOKUP(A198,ConstantsUnits!A:A,1,false),"")</f>
        <v>muon mag. mom.</v>
      </c>
    </row>
    <row r="199">
      <c r="A199" s="1" t="s">
        <v>735</v>
      </c>
      <c r="B199" s="1" t="s">
        <v>1501</v>
      </c>
      <c r="C199" s="1" t="s">
        <v>1502</v>
      </c>
      <c r="F199" s="16" t="str">
        <f>ifna(VLOOKUP($A199,ConstantsUnits!$A:$C,3,false),"")</f>
        <v>MuonMagneticMomentAnomaly</v>
      </c>
      <c r="G199" s="17" t="str">
        <f t="shared" si="1"/>
        <v>1.16592089e-3</v>
      </c>
      <c r="H199" s="17">
        <f t="shared" si="2"/>
        <v>0.00116592089</v>
      </c>
      <c r="I199" s="17" t="str">
        <f t="shared" si="3"/>
        <v>0.00000063e-3</v>
      </c>
      <c r="J199" s="17">
        <f t="shared" si="4"/>
        <v>0.00000000063</v>
      </c>
      <c r="K199" s="17" t="b">
        <f t="shared" si="5"/>
        <v>0</v>
      </c>
      <c r="L199" s="16" t="str">
        <f>IFERROR(__xludf.DUMMYFUNCTION("if(regexmatch(B199,""e(.*)$""),regexextract(B199,""e(.*)$""),"""")"),"-3")</f>
        <v>-3</v>
      </c>
      <c r="M199" s="18"/>
      <c r="N199" s="18">
        <f>countif(ConstantsUnits!C:C,F199)</f>
        <v>1</v>
      </c>
      <c r="O199" s="16" t="str">
        <f>ifna(VLOOKUP(A199,ConstantsUnits!A:A,1,false),"")</f>
        <v>muon mag. mom. anomaly</v>
      </c>
    </row>
    <row r="200">
      <c r="A200" s="1" t="s">
        <v>738</v>
      </c>
      <c r="B200" s="1" t="s">
        <v>2041</v>
      </c>
      <c r="C200" s="1" t="s">
        <v>1360</v>
      </c>
      <c r="F200" s="16" t="str">
        <f>ifna(VLOOKUP($A200,ConstantsUnits!$A:$C,3,false),"")</f>
        <v>MuonMagneticMomentToBohrMagnetonRatio</v>
      </c>
      <c r="G200" s="17" t="str">
        <f t="shared" si="1"/>
        <v>-4.84197048e-3</v>
      </c>
      <c r="H200" s="17">
        <f t="shared" si="2"/>
        <v>-0.00484197048</v>
      </c>
      <c r="I200" s="17" t="str">
        <f t="shared" si="3"/>
        <v>0.00000011e-3</v>
      </c>
      <c r="J200" s="17">
        <f t="shared" si="4"/>
        <v>0.00000000011</v>
      </c>
      <c r="K200" s="17" t="b">
        <f t="shared" si="5"/>
        <v>0</v>
      </c>
      <c r="L200" s="16" t="str">
        <f>IFERROR(__xludf.DUMMYFUNCTION("if(regexmatch(B200,""e(.*)$""),regexextract(B200,""e(.*)$""),"""")"),"-3")</f>
        <v>-3</v>
      </c>
      <c r="M200" s="18"/>
      <c r="N200" s="18">
        <f>countif(ConstantsUnits!C:C,F200)</f>
        <v>1</v>
      </c>
      <c r="O200" s="16" t="str">
        <f>ifna(VLOOKUP(A200,ConstantsUnits!A:A,1,false),"")</f>
        <v>muon mag. mom. to Bohr magneton ratio</v>
      </c>
    </row>
    <row r="201">
      <c r="A201" s="1" t="s">
        <v>741</v>
      </c>
      <c r="B201" s="1" t="s">
        <v>2042</v>
      </c>
      <c r="C201" s="1" t="s">
        <v>1366</v>
      </c>
      <c r="F201" s="16" t="str">
        <f>ifna(VLOOKUP($A201,ConstantsUnits!$A:$C,3,false),"")</f>
        <v>MuonMagneticMomentToNuclearMagnetonRatio</v>
      </c>
      <c r="G201" s="17" t="str">
        <f t="shared" si="1"/>
        <v>-8.89059705</v>
      </c>
      <c r="H201" s="17">
        <f t="shared" si="2"/>
        <v>-8.89059705</v>
      </c>
      <c r="I201" s="17" t="str">
        <f t="shared" si="3"/>
        <v>0.00000020</v>
      </c>
      <c r="J201" s="17">
        <f t="shared" si="4"/>
        <v>0.0000002</v>
      </c>
      <c r="K201" s="17" t="b">
        <f t="shared" si="5"/>
        <v>0</v>
      </c>
      <c r="L201" s="16" t="str">
        <f>IFERROR(__xludf.DUMMYFUNCTION("if(regexmatch(B201,""e(.*)$""),regexextract(B201,""e(.*)$""),"""")"),"")</f>
        <v/>
      </c>
      <c r="M201" s="18"/>
      <c r="N201" s="18">
        <f>countif(ConstantsUnits!C:C,F201)</f>
        <v>1</v>
      </c>
      <c r="O201" s="16" t="str">
        <f>ifna(VLOOKUP(A201,ConstantsUnits!A:A,1,false),"")</f>
        <v>muon mag. mom. to nuclear magneton ratio</v>
      </c>
    </row>
    <row r="202">
      <c r="A202" s="1" t="s">
        <v>744</v>
      </c>
      <c r="B202" s="1" t="s">
        <v>2043</v>
      </c>
      <c r="C202" s="1" t="s">
        <v>2044</v>
      </c>
      <c r="D202" s="1" t="s">
        <v>38</v>
      </c>
      <c r="F202" s="16" t="str">
        <f>ifna(VLOOKUP($A202,ConstantsUnits!$A:$C,3,false),"")</f>
        <v>MuonMass</v>
      </c>
      <c r="G202" s="17" t="str">
        <f t="shared" si="1"/>
        <v>1.883531594e-28</v>
      </c>
      <c r="H202" s="17">
        <f t="shared" si="2"/>
        <v>0</v>
      </c>
      <c r="I202" s="17" t="str">
        <f t="shared" si="3"/>
        <v>0.000000048e-28</v>
      </c>
      <c r="J202" s="17">
        <f t="shared" si="4"/>
        <v>0</v>
      </c>
      <c r="K202" s="17" t="b">
        <f t="shared" si="5"/>
        <v>0</v>
      </c>
      <c r="L202" s="16" t="str">
        <f>IFERROR(__xludf.DUMMYFUNCTION("if(regexmatch(B202,""e(.*)$""),regexextract(B202,""e(.*)$""),"""")"),"-28")</f>
        <v>-28</v>
      </c>
      <c r="M202" s="18"/>
      <c r="N202" s="18">
        <f>countif(ConstantsUnits!C:C,F202)</f>
        <v>1</v>
      </c>
      <c r="O202" s="16" t="str">
        <f>ifna(VLOOKUP(A202,ConstantsUnits!A:A,1,false),"")</f>
        <v>muon mass</v>
      </c>
    </row>
    <row r="203">
      <c r="A203" s="1" t="s">
        <v>747</v>
      </c>
      <c r="B203" s="1" t="s">
        <v>2045</v>
      </c>
      <c r="C203" s="1" t="s">
        <v>2046</v>
      </c>
      <c r="D203" s="1" t="s">
        <v>41</v>
      </c>
      <c r="F203" s="16" t="str">
        <f>ifna(VLOOKUP($A203,ConstantsUnits!$A:$C,3,false),"")</f>
        <v>MuonMassEnergyEquivalent</v>
      </c>
      <c r="G203" s="17" t="str">
        <f t="shared" si="1"/>
        <v>1.692833774e-11</v>
      </c>
      <c r="H203" s="17">
        <f t="shared" si="2"/>
        <v>0</v>
      </c>
      <c r="I203" s="17" t="str">
        <f t="shared" si="3"/>
        <v>0.000000043e-11</v>
      </c>
      <c r="J203" s="17">
        <f t="shared" si="4"/>
        <v>0</v>
      </c>
      <c r="K203" s="17" t="b">
        <f t="shared" si="5"/>
        <v>0</v>
      </c>
      <c r="L203" s="16" t="str">
        <f>IFERROR(__xludf.DUMMYFUNCTION("if(regexmatch(B203,""e(.*)$""),regexextract(B203,""e(.*)$""),"""")"),"-11")</f>
        <v>-11</v>
      </c>
      <c r="M203" s="18"/>
      <c r="N203" s="18">
        <f>countif(ConstantsUnits!C:C,F203)</f>
        <v>1</v>
      </c>
      <c r="O203" s="16" t="str">
        <f>ifna(VLOOKUP(A203,ConstantsUnits!A:A,1,false),"")</f>
        <v>muon mass energy equivalent</v>
      </c>
    </row>
    <row r="204">
      <c r="A204" s="1" t="s">
        <v>750</v>
      </c>
      <c r="B204" s="1" t="s">
        <v>2047</v>
      </c>
      <c r="C204" s="1" t="s">
        <v>2048</v>
      </c>
      <c r="D204" s="1" t="s">
        <v>45</v>
      </c>
      <c r="F204" s="16" t="str">
        <f>ifna(VLOOKUP($A204,ConstantsUnits!$A:$C,3,false),"")</f>
        <v>MuonMassEnergyEquivalentInMeV</v>
      </c>
      <c r="G204" s="17" t="str">
        <f t="shared" si="1"/>
        <v>105.6583745</v>
      </c>
      <c r="H204" s="17">
        <f t="shared" si="2"/>
        <v>105.6583745</v>
      </c>
      <c r="I204" s="17" t="str">
        <f t="shared" si="3"/>
        <v>0.0000024</v>
      </c>
      <c r="J204" s="17">
        <f t="shared" si="4"/>
        <v>0.0000024</v>
      </c>
      <c r="K204" s="17" t="b">
        <f t="shared" si="5"/>
        <v>0</v>
      </c>
      <c r="L204" s="16" t="str">
        <f>IFERROR(__xludf.DUMMYFUNCTION("if(regexmatch(B204,""e(.*)$""),regexextract(B204,""e(.*)$""),"""")"),"")</f>
        <v/>
      </c>
      <c r="M204" s="18"/>
      <c r="N204" s="18">
        <f>countif(ConstantsUnits!C:C,F204)</f>
        <v>1</v>
      </c>
      <c r="O204" s="16" t="str">
        <f>ifna(VLOOKUP(A204,ConstantsUnits!A:A,1,false),"")</f>
        <v>muon mass energy equivalent in MeV</v>
      </c>
    </row>
    <row r="205">
      <c r="A205" s="1" t="s">
        <v>752</v>
      </c>
      <c r="B205" s="1" t="s">
        <v>2049</v>
      </c>
      <c r="C205" s="1" t="s">
        <v>1512</v>
      </c>
      <c r="D205" s="1" t="s">
        <v>48</v>
      </c>
      <c r="F205" s="16" t="str">
        <f>ifna(VLOOKUP($A205,ConstantsUnits!$A:$C,3,false),"")</f>
        <v>MuonMassInAtomicMassUnit</v>
      </c>
      <c r="G205" s="17" t="str">
        <f t="shared" si="1"/>
        <v>0.1134289257</v>
      </c>
      <c r="H205" s="17">
        <f t="shared" si="2"/>
        <v>0.1134289257</v>
      </c>
      <c r="I205" s="17" t="str">
        <f t="shared" si="3"/>
        <v>0.0000000025</v>
      </c>
      <c r="J205" s="17">
        <f t="shared" si="4"/>
        <v>0.0000000025</v>
      </c>
      <c r="K205" s="17" t="b">
        <f t="shared" si="5"/>
        <v>0</v>
      </c>
      <c r="L205" s="16" t="str">
        <f>IFERROR(__xludf.DUMMYFUNCTION("if(regexmatch(B205,""e(.*)$""),regexextract(B205,""e(.*)$""),"""")"),"")</f>
        <v/>
      </c>
      <c r="M205" s="18"/>
      <c r="N205" s="18">
        <f>countif(ConstantsUnits!C:C,F205)</f>
        <v>1</v>
      </c>
      <c r="O205" s="16" t="str">
        <f>ifna(VLOOKUP(A205,ConstantsUnits!A:A,1,false),"")</f>
        <v>muon mass in u</v>
      </c>
    </row>
    <row r="206">
      <c r="A206" s="1" t="s">
        <v>755</v>
      </c>
      <c r="B206" s="1" t="s">
        <v>2050</v>
      </c>
      <c r="C206" s="1" t="s">
        <v>2051</v>
      </c>
      <c r="D206" s="1" t="s">
        <v>51</v>
      </c>
      <c r="F206" s="16" t="str">
        <f>ifna(VLOOKUP($A206,ConstantsUnits!$A:$C,3,false),"")</f>
        <v>MuonMolarMass</v>
      </c>
      <c r="G206" s="17" t="str">
        <f t="shared" si="1"/>
        <v>0.1134289257e-3</v>
      </c>
      <c r="H206" s="17">
        <f t="shared" si="2"/>
        <v>0.0001134289257</v>
      </c>
      <c r="I206" s="17" t="str">
        <f t="shared" si="3"/>
        <v>0.0000000025e-3</v>
      </c>
      <c r="J206" s="17">
        <f t="shared" si="4"/>
        <v>0</v>
      </c>
      <c r="K206" s="17" t="b">
        <f t="shared" si="5"/>
        <v>0</v>
      </c>
      <c r="L206" s="16" t="str">
        <f>IFERROR(__xludf.DUMMYFUNCTION("if(regexmatch(B206,""e(.*)$""),regexextract(B206,""e(.*)$""),"""")"),"-3")</f>
        <v>-3</v>
      </c>
      <c r="M206" s="18"/>
      <c r="N206" s="18">
        <f>countif(ConstantsUnits!C:C,F206)</f>
        <v>1</v>
      </c>
      <c r="O206" s="16" t="str">
        <f>ifna(VLOOKUP(A206,ConstantsUnits!A:A,1,false),"")</f>
        <v>muon molar mass</v>
      </c>
    </row>
    <row r="207">
      <c r="A207" s="1" t="s">
        <v>758</v>
      </c>
      <c r="B207" s="1" t="s">
        <v>2052</v>
      </c>
      <c r="C207" s="1" t="s">
        <v>1512</v>
      </c>
      <c r="F207" s="16" t="str">
        <f>ifna(VLOOKUP($A207,ConstantsUnits!$A:$C,3,false),"")</f>
        <v>MuonNeutronMassRatio</v>
      </c>
      <c r="G207" s="17" t="str">
        <f t="shared" si="1"/>
        <v>0.1124545167</v>
      </c>
      <c r="H207" s="17">
        <f t="shared" si="2"/>
        <v>0.1124545167</v>
      </c>
      <c r="I207" s="17" t="str">
        <f t="shared" si="3"/>
        <v>0.0000000025</v>
      </c>
      <c r="J207" s="17">
        <f t="shared" si="4"/>
        <v>0.0000000025</v>
      </c>
      <c r="K207" s="17" t="b">
        <f t="shared" si="5"/>
        <v>0</v>
      </c>
      <c r="L207" s="16" t="str">
        <f>IFERROR(__xludf.DUMMYFUNCTION("if(regexmatch(B207,""e(.*)$""),regexextract(B207,""e(.*)$""),"""")"),"")</f>
        <v/>
      </c>
      <c r="M207" s="18"/>
      <c r="N207" s="18">
        <f>countif(ConstantsUnits!C:C,F207)</f>
        <v>1</v>
      </c>
      <c r="O207" s="16" t="str">
        <f>ifna(VLOOKUP(A207,ConstantsUnits!A:A,1,false),"")</f>
        <v>muon-neutron mass ratio</v>
      </c>
    </row>
    <row r="208">
      <c r="A208" s="1" t="s">
        <v>761</v>
      </c>
      <c r="B208" s="1" t="s">
        <v>1516</v>
      </c>
      <c r="C208" s="1" t="s">
        <v>1517</v>
      </c>
      <c r="F208" s="16" t="str">
        <f>ifna(VLOOKUP($A208,ConstantsUnits!$A:$C,3,false),"")</f>
        <v>MuonProtonMagneticMomentRatio</v>
      </c>
      <c r="G208" s="17" t="str">
        <f t="shared" si="1"/>
        <v>-3.183345142</v>
      </c>
      <c r="H208" s="17">
        <f t="shared" si="2"/>
        <v>-3.183345142</v>
      </c>
      <c r="I208" s="17" t="str">
        <f t="shared" si="3"/>
        <v>0.000000071</v>
      </c>
      <c r="J208" s="17">
        <f t="shared" si="4"/>
        <v>0.000000071</v>
      </c>
      <c r="K208" s="17" t="b">
        <f t="shared" si="5"/>
        <v>0</v>
      </c>
      <c r="L208" s="16" t="str">
        <f>IFERROR(__xludf.DUMMYFUNCTION("if(regexmatch(B208,""e(.*)$""),regexextract(B208,""e(.*)$""),"""")"),"")</f>
        <v/>
      </c>
      <c r="M208" s="18"/>
      <c r="N208" s="18">
        <f>countif(ConstantsUnits!C:C,F208)</f>
        <v>1</v>
      </c>
      <c r="O208" s="16" t="str">
        <f>ifna(VLOOKUP(A208,ConstantsUnits!A:A,1,false),"")</f>
        <v>muon-proton mag. mom. ratio</v>
      </c>
    </row>
    <row r="209">
      <c r="A209" s="1" t="s">
        <v>764</v>
      </c>
      <c r="B209" s="1" t="s">
        <v>2053</v>
      </c>
      <c r="C209" s="1" t="s">
        <v>1512</v>
      </c>
      <c r="F209" s="16" t="str">
        <f>ifna(VLOOKUP($A209,ConstantsUnits!$A:$C,3,false),"")</f>
        <v>MuonProtonMassRatio</v>
      </c>
      <c r="G209" s="17" t="str">
        <f t="shared" si="1"/>
        <v>0.1126095262</v>
      </c>
      <c r="H209" s="17">
        <f t="shared" si="2"/>
        <v>0.1126095262</v>
      </c>
      <c r="I209" s="17" t="str">
        <f t="shared" si="3"/>
        <v>0.0000000025</v>
      </c>
      <c r="J209" s="17">
        <f t="shared" si="4"/>
        <v>0.0000000025</v>
      </c>
      <c r="K209" s="17" t="b">
        <f t="shared" si="5"/>
        <v>0</v>
      </c>
      <c r="L209" s="16" t="str">
        <f>IFERROR(__xludf.DUMMYFUNCTION("if(regexmatch(B209,""e(.*)$""),regexextract(B209,""e(.*)$""),"""")"),"")</f>
        <v/>
      </c>
      <c r="M209" s="18"/>
      <c r="N209" s="18">
        <f>countif(ConstantsUnits!C:C,F209)</f>
        <v>1</v>
      </c>
      <c r="O209" s="16" t="str">
        <f>ifna(VLOOKUP(A209,ConstantsUnits!A:A,1,false),"")</f>
        <v>muon-proton mass ratio</v>
      </c>
    </row>
    <row r="210">
      <c r="A210" s="1" t="s">
        <v>767</v>
      </c>
      <c r="B210" s="1" t="s">
        <v>2054</v>
      </c>
      <c r="C210" s="1" t="s">
        <v>2055</v>
      </c>
      <c r="F210" s="16" t="str">
        <f>ifna(VLOOKUP($A210,ConstantsUnits!$A:$C,3,false),"")</f>
        <v>MuonTauMassRatio</v>
      </c>
      <c r="G210" s="17" t="str">
        <f t="shared" si="1"/>
        <v>5.94649e-2</v>
      </c>
      <c r="H210" s="17">
        <f t="shared" si="2"/>
        <v>0.0594649</v>
      </c>
      <c r="I210" s="17" t="str">
        <f t="shared" si="3"/>
        <v>0.00054e-2</v>
      </c>
      <c r="J210" s="17">
        <f t="shared" si="4"/>
        <v>0.0000054</v>
      </c>
      <c r="K210" s="17" t="b">
        <f t="shared" si="5"/>
        <v>0</v>
      </c>
      <c r="L210" s="16" t="str">
        <f>IFERROR(__xludf.DUMMYFUNCTION("if(regexmatch(B210,""e(.*)$""),regexextract(B210,""e(.*)$""),"""")"),"-2")</f>
        <v>-2</v>
      </c>
      <c r="M210" s="18"/>
      <c r="N210" s="18">
        <f>countif(ConstantsUnits!C:C,F210)</f>
        <v>1</v>
      </c>
      <c r="O210" s="16" t="str">
        <f>ifna(VLOOKUP(A210,ConstantsUnits!A:A,1,false),"")</f>
        <v>muon-tau mass ratio</v>
      </c>
    </row>
    <row r="211">
      <c r="A211" s="1" t="s">
        <v>770</v>
      </c>
      <c r="B211" s="1" t="s">
        <v>1762</v>
      </c>
      <c r="C211" s="1" t="s">
        <v>1763</v>
      </c>
      <c r="D211" s="1" t="s">
        <v>108</v>
      </c>
      <c r="F211" s="16" t="str">
        <f>ifna(VLOOKUP($A211,ConstantsUnits!$A:$C,3,false),"")</f>
        <v>NaturalUnitOfAction</v>
      </c>
      <c r="G211" s="17" t="str">
        <f t="shared" si="1"/>
        <v>1.054571800e-34</v>
      </c>
      <c r="H211" s="17">
        <f t="shared" si="2"/>
        <v>0</v>
      </c>
      <c r="I211" s="17" t="str">
        <f t="shared" si="3"/>
        <v>0.000000013e-34</v>
      </c>
      <c r="J211" s="17">
        <f t="shared" si="4"/>
        <v>0</v>
      </c>
      <c r="K211" s="17" t="b">
        <f t="shared" si="5"/>
        <v>0</v>
      </c>
      <c r="L211" s="16" t="str">
        <f>IFERROR(__xludf.DUMMYFUNCTION("if(regexmatch(B211,""e(.*)$""),regexextract(B211,""e(.*)$""),"""")"),"-34")</f>
        <v>-34</v>
      </c>
      <c r="M211" s="18"/>
      <c r="N211" s="18">
        <f>countif(ConstantsUnits!C:C,F211)</f>
        <v>1</v>
      </c>
      <c r="O211" s="16" t="str">
        <f>ifna(VLOOKUP(A211,ConstantsUnits!A:A,1,false),"")</f>
        <v>natural unit of action</v>
      </c>
    </row>
    <row r="212">
      <c r="A212" s="1" t="s">
        <v>773</v>
      </c>
      <c r="B212" s="1" t="s">
        <v>2056</v>
      </c>
      <c r="C212" s="1" t="s">
        <v>2057</v>
      </c>
      <c r="D212" s="1" t="s">
        <v>774</v>
      </c>
      <c r="F212" s="16" t="str">
        <f>ifna(VLOOKUP($A212,ConstantsUnits!$A:$C,3,false),"")</f>
        <v>NaturalUnitOfActionInEVS</v>
      </c>
      <c r="G212" s="17" t="str">
        <f t="shared" si="1"/>
        <v>6.582119514e-16</v>
      </c>
      <c r="H212" s="17">
        <f t="shared" si="2"/>
        <v>0</v>
      </c>
      <c r="I212" s="17" t="str">
        <f t="shared" si="3"/>
        <v>0.000000040e-16</v>
      </c>
      <c r="J212" s="17">
        <f t="shared" si="4"/>
        <v>0</v>
      </c>
      <c r="K212" s="17" t="b">
        <f t="shared" si="5"/>
        <v>0</v>
      </c>
      <c r="L212" s="16" t="str">
        <f>IFERROR(__xludf.DUMMYFUNCTION("if(regexmatch(B212,""e(.*)$""),regexextract(B212,""e(.*)$""),"""")"),"-16")</f>
        <v>-16</v>
      </c>
      <c r="M212" s="18"/>
      <c r="N212" s="18">
        <f>countif(ConstantsUnits!C:C,F212)</f>
        <v>1</v>
      </c>
      <c r="O212" s="16" t="str">
        <f>ifna(VLOOKUP(A212,ConstantsUnits!A:A,1,false),"")</f>
        <v>natural unit of action in eV s</v>
      </c>
    </row>
    <row r="213">
      <c r="A213" s="1" t="s">
        <v>777</v>
      </c>
      <c r="B213" s="1" t="s">
        <v>1880</v>
      </c>
      <c r="C213" s="1" t="s">
        <v>1881</v>
      </c>
      <c r="D213" s="1" t="s">
        <v>41</v>
      </c>
      <c r="F213" s="16" t="str">
        <f>ifna(VLOOKUP($A213,ConstantsUnits!$A:$C,3,false),"")</f>
        <v>NaturalUnitOfEnergy</v>
      </c>
      <c r="G213" s="17" t="str">
        <f t="shared" si="1"/>
        <v>8.18710565e-14</v>
      </c>
      <c r="H213" s="17">
        <f t="shared" si="2"/>
        <v>0</v>
      </c>
      <c r="I213" s="17" t="str">
        <f t="shared" si="3"/>
        <v>0.00000010e-14</v>
      </c>
      <c r="J213" s="17">
        <f t="shared" si="4"/>
        <v>0</v>
      </c>
      <c r="K213" s="17" t="b">
        <f t="shared" si="5"/>
        <v>0</v>
      </c>
      <c r="L213" s="16" t="str">
        <f>IFERROR(__xludf.DUMMYFUNCTION("if(regexmatch(B213,""e(.*)$""),regexextract(B213,""e(.*)$""),"""")"),"-14")</f>
        <v>-14</v>
      </c>
      <c r="M213" s="18"/>
      <c r="N213" s="18">
        <f>countif(ConstantsUnits!C:C,F213)</f>
        <v>1</v>
      </c>
      <c r="O213" s="16" t="str">
        <f>ifna(VLOOKUP(A213,ConstantsUnits!A:A,1,false),"")</f>
        <v>natural unit of energy</v>
      </c>
    </row>
    <row r="214">
      <c r="A214" s="1" t="s">
        <v>780</v>
      </c>
      <c r="B214" s="1" t="s">
        <v>1882</v>
      </c>
      <c r="C214" s="1" t="s">
        <v>1883</v>
      </c>
      <c r="D214" s="1" t="s">
        <v>45</v>
      </c>
      <c r="F214" s="16" t="str">
        <f>ifna(VLOOKUP($A214,ConstantsUnits!$A:$C,3,false),"")</f>
        <v>NaturalUnitOfEnergyInMeV</v>
      </c>
      <c r="G214" s="17" t="str">
        <f t="shared" si="1"/>
        <v>0.5109989461</v>
      </c>
      <c r="H214" s="17">
        <f t="shared" si="2"/>
        <v>0.5109989461</v>
      </c>
      <c r="I214" s="17" t="str">
        <f t="shared" si="3"/>
        <v>0.0000000031</v>
      </c>
      <c r="J214" s="17">
        <f t="shared" si="4"/>
        <v>0.0000000031</v>
      </c>
      <c r="K214" s="17" t="b">
        <f t="shared" si="5"/>
        <v>0</v>
      </c>
      <c r="L214" s="16" t="str">
        <f>IFERROR(__xludf.DUMMYFUNCTION("if(regexmatch(B214,""e(.*)$""),regexextract(B214,""e(.*)$""),"""")"),"")</f>
        <v/>
      </c>
      <c r="M214" s="18"/>
      <c r="N214" s="18">
        <f>countif(ConstantsUnits!C:C,F214)</f>
        <v>1</v>
      </c>
      <c r="O214" s="16" t="str">
        <f>ifna(VLOOKUP(A214,ConstantsUnits!A:A,1,false),"")</f>
        <v>natural unit of energy in MeV</v>
      </c>
    </row>
    <row r="215">
      <c r="A215" s="1" t="s">
        <v>782</v>
      </c>
      <c r="B215" s="1" t="s">
        <v>1831</v>
      </c>
      <c r="C215" s="1" t="s">
        <v>1832</v>
      </c>
      <c r="D215" s="1" t="s">
        <v>59</v>
      </c>
      <c r="F215" s="16" t="str">
        <f>ifna(VLOOKUP($A215,ConstantsUnits!$A:$C,3,false),"")</f>
        <v>NaturalUnitOfLength</v>
      </c>
      <c r="G215" s="17" t="str">
        <f t="shared" si="1"/>
        <v>386.15926764e-15</v>
      </c>
      <c r="H215" s="17">
        <f t="shared" si="2"/>
        <v>0</v>
      </c>
      <c r="I215" s="17" t="str">
        <f t="shared" si="3"/>
        <v>0.00000018e-15</v>
      </c>
      <c r="J215" s="17">
        <f t="shared" si="4"/>
        <v>0</v>
      </c>
      <c r="K215" s="17" t="b">
        <f t="shared" si="5"/>
        <v>0</v>
      </c>
      <c r="L215" s="16" t="str">
        <f>IFERROR(__xludf.DUMMYFUNCTION("if(regexmatch(B215,""e(.*)$""),regexextract(B215,""e(.*)$""),"""")"),"-15")</f>
        <v>-15</v>
      </c>
      <c r="M215" s="18"/>
      <c r="N215" s="18">
        <f>countif(ConstantsUnits!C:C,F215)</f>
        <v>1</v>
      </c>
      <c r="O215" s="16" t="str">
        <f>ifna(VLOOKUP(A215,ConstantsUnits!A:A,1,false),"")</f>
        <v>natural unit of length</v>
      </c>
    </row>
    <row r="216">
      <c r="A216" s="1" t="s">
        <v>785</v>
      </c>
      <c r="B216" s="1" t="s">
        <v>1794</v>
      </c>
      <c r="C216" s="1" t="s">
        <v>1795</v>
      </c>
      <c r="D216" s="1" t="s">
        <v>38</v>
      </c>
      <c r="F216" s="16" t="str">
        <f>ifna(VLOOKUP($A216,ConstantsUnits!$A:$C,3,false),"")</f>
        <v>NaturalUnitOfMass</v>
      </c>
      <c r="G216" s="17" t="str">
        <f t="shared" si="1"/>
        <v>9.10938356e-31</v>
      </c>
      <c r="H216" s="17">
        <f t="shared" si="2"/>
        <v>0</v>
      </c>
      <c r="I216" s="17" t="str">
        <f t="shared" si="3"/>
        <v>0.00000011e-31</v>
      </c>
      <c r="J216" s="17">
        <f t="shared" si="4"/>
        <v>0</v>
      </c>
      <c r="K216" s="17" t="b">
        <f t="shared" si="5"/>
        <v>0</v>
      </c>
      <c r="L216" s="16" t="str">
        <f>IFERROR(__xludf.DUMMYFUNCTION("if(regexmatch(B216,""e(.*)$""),regexextract(B216,""e(.*)$""),"""")"),"-31")</f>
        <v>-31</v>
      </c>
      <c r="M216" s="18"/>
      <c r="N216" s="18">
        <f>countif(ConstantsUnits!C:C,F216)</f>
        <v>1</v>
      </c>
      <c r="O216" s="16" t="str">
        <f>ifna(VLOOKUP(A216,ConstantsUnits!A:A,1,false),"")</f>
        <v>natural unit of mass</v>
      </c>
    </row>
    <row r="217">
      <c r="A217" s="1" t="s">
        <v>2058</v>
      </c>
      <c r="B217" s="1" t="s">
        <v>2059</v>
      </c>
      <c r="C217" s="1" t="s">
        <v>2060</v>
      </c>
      <c r="D217" s="1" t="s">
        <v>182</v>
      </c>
      <c r="F217" s="20" t="s">
        <v>789</v>
      </c>
      <c r="G217" s="17" t="str">
        <f t="shared" si="1"/>
        <v>2.730924488e-22</v>
      </c>
      <c r="H217" s="17">
        <f t="shared" si="2"/>
        <v>0</v>
      </c>
      <c r="I217" s="17" t="str">
        <f t="shared" si="3"/>
        <v>0.000000034e-22</v>
      </c>
      <c r="J217" s="17">
        <f t="shared" si="4"/>
        <v>0</v>
      </c>
      <c r="K217" s="17" t="b">
        <f t="shared" si="5"/>
        <v>0</v>
      </c>
      <c r="L217" s="16" t="str">
        <f>IFERROR(__xludf.DUMMYFUNCTION("if(regexmatch(B217,""e(.*)$""),regexextract(B217,""e(.*)$""),"""")"),"-22")</f>
        <v>-22</v>
      </c>
      <c r="M217" s="18"/>
      <c r="N217" s="18">
        <f>countif(ConstantsUnits!C:C,F217)</f>
        <v>1</v>
      </c>
      <c r="O217" s="16" t="str">
        <f>ifna(VLOOKUP(A217,ConstantsUnits!A:A,1,false),"")</f>
        <v/>
      </c>
    </row>
    <row r="218">
      <c r="A218" s="1" t="s">
        <v>2061</v>
      </c>
      <c r="B218" s="1" t="s">
        <v>1882</v>
      </c>
      <c r="C218" s="1" t="s">
        <v>1883</v>
      </c>
      <c r="D218" s="1" t="s">
        <v>792</v>
      </c>
      <c r="F218" s="3" t="s">
        <v>2062</v>
      </c>
      <c r="G218" s="17" t="str">
        <f t="shared" si="1"/>
        <v>0.5109989461</v>
      </c>
      <c r="H218" s="17">
        <f t="shared" si="2"/>
        <v>0.5109989461</v>
      </c>
      <c r="I218" s="17" t="str">
        <f t="shared" si="3"/>
        <v>0.0000000031</v>
      </c>
      <c r="J218" s="17">
        <f t="shared" si="4"/>
        <v>0.0000000031</v>
      </c>
      <c r="K218" s="17" t="b">
        <f t="shared" si="5"/>
        <v>0</v>
      </c>
      <c r="L218" s="16" t="str">
        <f>IFERROR(__xludf.DUMMYFUNCTION("if(regexmatch(B218,""e(.*)$""),regexextract(B218,""e(.*)$""),"""")"),"")</f>
        <v/>
      </c>
      <c r="M218" s="18"/>
      <c r="N218" s="18">
        <f>countif(ConstantsUnits!C:C,F218)</f>
        <v>1</v>
      </c>
      <c r="O218" s="16" t="str">
        <f>ifna(VLOOKUP(A218,ConstantsUnits!A:A,1,false),"")</f>
        <v/>
      </c>
    </row>
    <row r="219">
      <c r="A219" s="1" t="s">
        <v>795</v>
      </c>
      <c r="B219" s="1" t="s">
        <v>2063</v>
      </c>
      <c r="C219" s="1" t="s">
        <v>2064</v>
      </c>
      <c r="D219" s="1" t="s">
        <v>192</v>
      </c>
      <c r="F219" s="16" t="str">
        <f>ifna(VLOOKUP($A219,ConstantsUnits!$A:$C,3,false),"")</f>
        <v>NaturalUnitOfTime</v>
      </c>
      <c r="G219" s="17" t="str">
        <f t="shared" si="1"/>
        <v>1.28808866712e-21</v>
      </c>
      <c r="H219" s="17">
        <f t="shared" si="2"/>
        <v>0</v>
      </c>
      <c r="I219" s="17" t="str">
        <f t="shared" si="3"/>
        <v>0.00000000058e-21</v>
      </c>
      <c r="J219" s="17">
        <f t="shared" si="4"/>
        <v>0</v>
      </c>
      <c r="K219" s="17" t="b">
        <f t="shared" si="5"/>
        <v>0</v>
      </c>
      <c r="L219" s="16" t="str">
        <f>IFERROR(__xludf.DUMMYFUNCTION("if(regexmatch(B219,""e(.*)$""),regexextract(B219,""e(.*)$""),"""")"),"-21")</f>
        <v>-21</v>
      </c>
      <c r="M219" s="18"/>
      <c r="N219" s="18">
        <f>countif(ConstantsUnits!C:C,F219)</f>
        <v>1</v>
      </c>
      <c r="O219" s="16" t="str">
        <f>ifna(VLOOKUP(A219,ConstantsUnits!A:A,1,false),"")</f>
        <v>natural unit of time</v>
      </c>
    </row>
    <row r="220">
      <c r="A220" s="1" t="s">
        <v>798</v>
      </c>
      <c r="B220" s="1" t="s">
        <v>1445</v>
      </c>
      <c r="C220" s="1" t="s">
        <v>1232</v>
      </c>
      <c r="D220" s="1" t="s">
        <v>196</v>
      </c>
      <c r="F220" s="16" t="str">
        <f>ifna(VLOOKUP($A220,ConstantsUnits!$A:$C,3,false),"")</f>
        <v>NaturalUnitOfVelocity</v>
      </c>
      <c r="G220" s="17" t="str">
        <f t="shared" si="1"/>
        <v>299792458</v>
      </c>
      <c r="H220" s="17">
        <f t="shared" si="2"/>
        <v>299792458</v>
      </c>
      <c r="I220" s="17" t="str">
        <f t="shared" si="3"/>
        <v>(exact)</v>
      </c>
      <c r="J220" s="17" t="str">
        <f t="shared" si="4"/>
        <v/>
      </c>
      <c r="K220" s="17" t="b">
        <f t="shared" si="5"/>
        <v>0</v>
      </c>
      <c r="L220" s="16" t="str">
        <f>IFERROR(__xludf.DUMMYFUNCTION("if(regexmatch(B220,""e(.*)$""),regexextract(B220,""e(.*)$""),"""")"),"")</f>
        <v/>
      </c>
      <c r="M220" s="18"/>
      <c r="N220" s="18">
        <f>countif(ConstantsUnits!C:C,F220)</f>
        <v>1</v>
      </c>
      <c r="O220" s="16" t="str">
        <f>ifna(VLOOKUP(A220,ConstantsUnits!A:A,1,false),"")</f>
        <v>natural unit of velocity</v>
      </c>
    </row>
    <row r="221">
      <c r="A221" s="1" t="s">
        <v>801</v>
      </c>
      <c r="B221" s="1" t="s">
        <v>2065</v>
      </c>
      <c r="C221" s="1" t="s">
        <v>2066</v>
      </c>
      <c r="D221" s="1" t="s">
        <v>59</v>
      </c>
      <c r="F221" s="16" t="str">
        <f>ifna(VLOOKUP($A221,ConstantsUnits!$A:$C,3,false),"")</f>
        <v>NeutronComptonWavelength</v>
      </c>
      <c r="G221" s="17" t="str">
        <f t="shared" si="1"/>
        <v>1.31959090481e-15</v>
      </c>
      <c r="H221" s="17">
        <f t="shared" si="2"/>
        <v>0</v>
      </c>
      <c r="I221" s="17" t="str">
        <f t="shared" si="3"/>
        <v>0.00000000088e-15</v>
      </c>
      <c r="J221" s="17">
        <f t="shared" si="4"/>
        <v>0</v>
      </c>
      <c r="K221" s="17" t="b">
        <f t="shared" si="5"/>
        <v>0</v>
      </c>
      <c r="L221" s="16" t="str">
        <f>IFERROR(__xludf.DUMMYFUNCTION("if(regexmatch(B221,""e(.*)$""),regexextract(B221,""e(.*)$""),"""")"),"-15")</f>
        <v>-15</v>
      </c>
      <c r="M221" s="18"/>
      <c r="N221" s="18">
        <f>countif(ConstantsUnits!C:C,F221)</f>
        <v>1</v>
      </c>
      <c r="O221" s="16" t="str">
        <f>ifna(VLOOKUP(A221,ConstantsUnits!A:A,1,false),"")</f>
        <v>neutron Compton wavelength</v>
      </c>
    </row>
    <row r="222">
      <c r="A222" s="1" t="s">
        <v>2067</v>
      </c>
      <c r="B222" s="1" t="s">
        <v>2068</v>
      </c>
      <c r="C222" s="1" t="s">
        <v>2069</v>
      </c>
      <c r="D222" s="1" t="s">
        <v>59</v>
      </c>
      <c r="F222" s="3" t="s">
        <v>2070</v>
      </c>
      <c r="G222" s="17" t="str">
        <f t="shared" si="1"/>
        <v>0.21001941536e-15</v>
      </c>
      <c r="H222" s="17">
        <f t="shared" si="2"/>
        <v>0</v>
      </c>
      <c r="I222" s="17" t="str">
        <f t="shared" si="3"/>
        <v>0.00000000014e-15</v>
      </c>
      <c r="J222" s="17">
        <f t="shared" si="4"/>
        <v>0</v>
      </c>
      <c r="K222" s="17" t="b">
        <f t="shared" si="5"/>
        <v>0</v>
      </c>
      <c r="L222" s="16" t="str">
        <f>IFERROR(__xludf.DUMMYFUNCTION("if(regexmatch(B222,""e(.*)$""),regexextract(B222,""e(.*)$""),"""")"),"-15")</f>
        <v>-15</v>
      </c>
      <c r="M222" s="18"/>
      <c r="N222" s="18">
        <f>countif(ConstantsUnits!C:C,F222)</f>
        <v>1</v>
      </c>
      <c r="O222" s="16" t="str">
        <f>ifna(VLOOKUP(A222,ConstantsUnits!A:A,1,false),"")</f>
        <v/>
      </c>
    </row>
    <row r="223">
      <c r="A223" s="1" t="s">
        <v>805</v>
      </c>
      <c r="B223" s="1" t="s">
        <v>1530</v>
      </c>
      <c r="C223" s="1" t="s">
        <v>1531</v>
      </c>
      <c r="F223" s="16" t="str">
        <f>ifna(VLOOKUP($A223,ConstantsUnits!$A:$C,3,false),"")</f>
        <v>NeutronElectronMagneticMomentRatio</v>
      </c>
      <c r="G223" s="17" t="str">
        <f t="shared" si="1"/>
        <v>1.04066882e-3</v>
      </c>
      <c r="H223" s="17">
        <f t="shared" si="2"/>
        <v>0.00104066882</v>
      </c>
      <c r="I223" s="17" t="str">
        <f t="shared" si="3"/>
        <v>0.00000025e-3</v>
      </c>
      <c r="J223" s="17">
        <f t="shared" si="4"/>
        <v>0.00000000025</v>
      </c>
      <c r="K223" s="17" t="b">
        <f t="shared" si="5"/>
        <v>0</v>
      </c>
      <c r="L223" s="16" t="str">
        <f>IFERROR(__xludf.DUMMYFUNCTION("if(regexmatch(B223,""e(.*)$""),regexextract(B223,""e(.*)$""),"""")"),"-3")</f>
        <v>-3</v>
      </c>
      <c r="M223" s="18"/>
      <c r="N223" s="18">
        <f>countif(ConstantsUnits!C:C,F223)</f>
        <v>1</v>
      </c>
      <c r="O223" s="16" t="str">
        <f>ifna(VLOOKUP(A223,ConstantsUnits!A:A,1,false),"")</f>
        <v>neutron-electron mag. mom. ratio</v>
      </c>
    </row>
    <row r="224">
      <c r="A224" s="1" t="s">
        <v>808</v>
      </c>
      <c r="B224" s="1" t="s">
        <v>2071</v>
      </c>
      <c r="C224" s="1" t="s">
        <v>1535</v>
      </c>
      <c r="F224" s="16" t="str">
        <f>ifna(VLOOKUP($A224,ConstantsUnits!$A:$C,3,false),"")</f>
        <v>NeutronElectronMassRatio</v>
      </c>
      <c r="G224" s="17" t="str">
        <f t="shared" si="1"/>
        <v>1838.68366158</v>
      </c>
      <c r="H224" s="17">
        <f t="shared" si="2"/>
        <v>1838.683662</v>
      </c>
      <c r="I224" s="17" t="str">
        <f t="shared" si="3"/>
        <v>0.00000090</v>
      </c>
      <c r="J224" s="17">
        <f t="shared" si="4"/>
        <v>0.0000009</v>
      </c>
      <c r="K224" s="17" t="b">
        <f t="shared" si="5"/>
        <v>0</v>
      </c>
      <c r="L224" s="16" t="str">
        <f>IFERROR(__xludf.DUMMYFUNCTION("if(regexmatch(B224,""e(.*)$""),regexextract(B224,""e(.*)$""),"""")"),"")</f>
        <v/>
      </c>
      <c r="M224" s="18"/>
      <c r="N224" s="18">
        <f>countif(ConstantsUnits!C:C,F224)</f>
        <v>1</v>
      </c>
      <c r="O224" s="16" t="str">
        <f>ifna(VLOOKUP(A224,ConstantsUnits!A:A,1,false),"")</f>
        <v>neutron-electron mass ratio</v>
      </c>
    </row>
    <row r="225">
      <c r="A225" s="1" t="s">
        <v>811</v>
      </c>
      <c r="B225" s="1" t="s">
        <v>1534</v>
      </c>
      <c r="C225" s="1" t="s">
        <v>1535</v>
      </c>
      <c r="F225" s="16" t="str">
        <f>ifna(VLOOKUP($A225,ConstantsUnits!$A:$C,3,false),"")</f>
        <v>NeutronGFactor</v>
      </c>
      <c r="G225" s="17" t="str">
        <f t="shared" si="1"/>
        <v>-3.82608545</v>
      </c>
      <c r="H225" s="17">
        <f t="shared" si="2"/>
        <v>-3.82608545</v>
      </c>
      <c r="I225" s="17" t="str">
        <f t="shared" si="3"/>
        <v>0.00000090</v>
      </c>
      <c r="J225" s="17">
        <f t="shared" si="4"/>
        <v>0.0000009</v>
      </c>
      <c r="K225" s="17" t="b">
        <f t="shared" si="5"/>
        <v>0</v>
      </c>
      <c r="L225" s="16" t="str">
        <f>IFERROR(__xludf.DUMMYFUNCTION("if(regexmatch(B225,""e(.*)$""),regexextract(B225,""e(.*)$""),"""")"),"")</f>
        <v/>
      </c>
      <c r="M225" s="18"/>
      <c r="N225" s="18">
        <f>countif(ConstantsUnits!C:C,F225)</f>
        <v>1</v>
      </c>
      <c r="O225" s="16" t="str">
        <f>ifna(VLOOKUP(A225,ConstantsUnits!A:A,1,false),"")</f>
        <v>neutron g factor</v>
      </c>
    </row>
    <row r="226">
      <c r="A226" s="1" t="s">
        <v>814</v>
      </c>
      <c r="B226" s="1" t="s">
        <v>2072</v>
      </c>
      <c r="C226" s="1" t="s">
        <v>1537</v>
      </c>
      <c r="D226" s="1" t="s">
        <v>361</v>
      </c>
      <c r="F226" s="16" t="str">
        <f>ifna(VLOOKUP($A226,ConstantsUnits!$A:$C,3,false),"")</f>
        <v>NeutronGyromagneticRatio</v>
      </c>
      <c r="G226" s="17" t="str">
        <f t="shared" si="1"/>
        <v>1.83247172e8</v>
      </c>
      <c r="H226" s="17">
        <f t="shared" si="2"/>
        <v>183247172</v>
      </c>
      <c r="I226" s="17" t="str">
        <f t="shared" si="3"/>
        <v>0.00000043e8</v>
      </c>
      <c r="J226" s="17">
        <f t="shared" si="4"/>
        <v>43</v>
      </c>
      <c r="K226" s="17" t="b">
        <f t="shared" si="5"/>
        <v>0</v>
      </c>
      <c r="L226" s="16" t="str">
        <f>IFERROR(__xludf.DUMMYFUNCTION("if(regexmatch(B226,""e(.*)$""),regexextract(B226,""e(.*)$""),"""")"),"8")</f>
        <v>8</v>
      </c>
      <c r="M226" s="18"/>
      <c r="N226" s="18">
        <f>countif(ConstantsUnits!C:C,F226)</f>
        <v>1</v>
      </c>
      <c r="O226" s="16" t="str">
        <f>ifna(VLOOKUP(A226,ConstantsUnits!A:A,1,false),"")</f>
        <v>neutron gyromag. ratio</v>
      </c>
    </row>
    <row r="227">
      <c r="A227" s="1" t="s">
        <v>2073</v>
      </c>
      <c r="B227" s="1" t="s">
        <v>2074</v>
      </c>
      <c r="C227" s="1" t="s">
        <v>1539</v>
      </c>
      <c r="D227" s="1" t="s">
        <v>367</v>
      </c>
      <c r="F227" s="1" t="s">
        <v>2075</v>
      </c>
      <c r="G227" s="17" t="str">
        <f t="shared" si="1"/>
        <v>29.1646933</v>
      </c>
      <c r="H227" s="17">
        <f t="shared" si="2"/>
        <v>29.1646933</v>
      </c>
      <c r="I227" s="17" t="str">
        <f t="shared" si="3"/>
        <v>0.0000069</v>
      </c>
      <c r="J227" s="17">
        <f t="shared" si="4"/>
        <v>0.0000069</v>
      </c>
      <c r="K227" s="17" t="b">
        <f t="shared" si="5"/>
        <v>0</v>
      </c>
      <c r="L227" s="16" t="str">
        <f>IFERROR(__xludf.DUMMYFUNCTION("if(regexmatch(B227,""e(.*)$""),regexextract(B227,""e(.*)$""),"""")"),"")</f>
        <v/>
      </c>
      <c r="M227" s="18"/>
      <c r="N227" s="18">
        <f>countif(ConstantsUnits!C:C,F227)</f>
        <v>1</v>
      </c>
      <c r="O227" s="16" t="str">
        <f>ifna(VLOOKUP(A227,ConstantsUnits!A:A,1,false),"")</f>
        <v/>
      </c>
    </row>
    <row r="228">
      <c r="A228" s="1" t="s">
        <v>821</v>
      </c>
      <c r="B228" s="1" t="s">
        <v>2076</v>
      </c>
      <c r="C228" s="1" t="s">
        <v>2077</v>
      </c>
      <c r="D228" s="1" t="s">
        <v>165</v>
      </c>
      <c r="F228" s="16" t="str">
        <f>ifna(VLOOKUP($A228,ConstantsUnits!$A:$C,3,false),"")</f>
        <v>NeutronMagneticMoment</v>
      </c>
      <c r="G228" s="17" t="str">
        <f t="shared" si="1"/>
        <v>-0.96623650e-26</v>
      </c>
      <c r="H228" s="17">
        <f t="shared" si="2"/>
        <v>0</v>
      </c>
      <c r="I228" s="17" t="str">
        <f t="shared" si="3"/>
        <v>0.00000023e-26</v>
      </c>
      <c r="J228" s="17">
        <f t="shared" si="4"/>
        <v>0</v>
      </c>
      <c r="K228" s="17" t="b">
        <f t="shared" si="5"/>
        <v>0</v>
      </c>
      <c r="L228" s="16" t="str">
        <f>IFERROR(__xludf.DUMMYFUNCTION("if(regexmatch(B228,""e(.*)$""),regexextract(B228,""e(.*)$""),"""")"),"-26")</f>
        <v>-26</v>
      </c>
      <c r="M228" s="18"/>
      <c r="N228" s="18">
        <f>countif(ConstantsUnits!C:C,F228)</f>
        <v>1</v>
      </c>
      <c r="O228" s="16" t="str">
        <f>ifna(VLOOKUP(A228,ConstantsUnits!A:A,1,false),"")</f>
        <v>neutron mag. mom.</v>
      </c>
    </row>
    <row r="229">
      <c r="A229" s="1" t="s">
        <v>824</v>
      </c>
      <c r="B229" s="1" t="s">
        <v>1542</v>
      </c>
      <c r="C229" s="1" t="s">
        <v>1531</v>
      </c>
      <c r="F229" s="16" t="str">
        <f>ifna(VLOOKUP($A229,ConstantsUnits!$A:$C,3,false),"")</f>
        <v>NeutronMagneticMomentToBohrMagnetonRatio</v>
      </c>
      <c r="G229" s="17" t="str">
        <f t="shared" si="1"/>
        <v>-1.04187563e-3</v>
      </c>
      <c r="H229" s="17">
        <f t="shared" si="2"/>
        <v>-0.00104187563</v>
      </c>
      <c r="I229" s="17" t="str">
        <f t="shared" si="3"/>
        <v>0.00000025e-3</v>
      </c>
      <c r="J229" s="17">
        <f t="shared" si="4"/>
        <v>0.00000000025</v>
      </c>
      <c r="K229" s="17" t="b">
        <f t="shared" si="5"/>
        <v>0</v>
      </c>
      <c r="L229" s="16" t="str">
        <f>IFERROR(__xludf.DUMMYFUNCTION("if(regexmatch(B229,""e(.*)$""),regexextract(B229,""e(.*)$""),"""")"),"-3")</f>
        <v>-3</v>
      </c>
      <c r="M229" s="18"/>
      <c r="N229" s="18">
        <f>countif(ConstantsUnits!C:C,F229)</f>
        <v>1</v>
      </c>
      <c r="O229" s="16" t="str">
        <f>ifna(VLOOKUP(A229,ConstantsUnits!A:A,1,false),"")</f>
        <v>neutron mag. mom. to Bohr magneton ratio</v>
      </c>
    </row>
    <row r="230">
      <c r="A230" s="1" t="s">
        <v>827</v>
      </c>
      <c r="B230" s="1" t="s">
        <v>1543</v>
      </c>
      <c r="C230" s="1" t="s">
        <v>1544</v>
      </c>
      <c r="F230" s="16" t="str">
        <f>ifna(VLOOKUP($A230,ConstantsUnits!$A:$C,3,false),"")</f>
        <v>NeutronMagneticMomentToNuclearMagnetonRatio</v>
      </c>
      <c r="G230" s="17" t="str">
        <f t="shared" si="1"/>
        <v>-1.91304273</v>
      </c>
      <c r="H230" s="17">
        <f t="shared" si="2"/>
        <v>-1.91304273</v>
      </c>
      <c r="I230" s="17" t="str">
        <f t="shared" si="3"/>
        <v>0.00000045</v>
      </c>
      <c r="J230" s="17">
        <f t="shared" si="4"/>
        <v>0.00000045</v>
      </c>
      <c r="K230" s="17" t="b">
        <f t="shared" si="5"/>
        <v>0</v>
      </c>
      <c r="L230" s="16" t="str">
        <f>IFERROR(__xludf.DUMMYFUNCTION("if(regexmatch(B230,""e(.*)$""),regexextract(B230,""e(.*)$""),"""")"),"")</f>
        <v/>
      </c>
      <c r="M230" s="18"/>
      <c r="N230" s="18">
        <f>countif(ConstantsUnits!C:C,F230)</f>
        <v>1</v>
      </c>
      <c r="O230" s="16" t="str">
        <f>ifna(VLOOKUP(A230,ConstantsUnits!A:A,1,false),"")</f>
        <v>neutron mag. mom. to nuclear magneton ratio</v>
      </c>
    </row>
    <row r="231">
      <c r="A231" s="1" t="s">
        <v>830</v>
      </c>
      <c r="B231" s="1" t="s">
        <v>2078</v>
      </c>
      <c r="C231" s="1" t="s">
        <v>2079</v>
      </c>
      <c r="D231" s="1" t="s">
        <v>38</v>
      </c>
      <c r="F231" s="16" t="str">
        <f>ifna(VLOOKUP($A231,ConstantsUnits!$A:$C,3,false),"")</f>
        <v>NeutronMass</v>
      </c>
      <c r="G231" s="17" t="str">
        <f t="shared" si="1"/>
        <v>1.674927471e-27</v>
      </c>
      <c r="H231" s="17">
        <f t="shared" si="2"/>
        <v>0</v>
      </c>
      <c r="I231" s="17" t="str">
        <f t="shared" si="3"/>
        <v>0.000000021e-27</v>
      </c>
      <c r="J231" s="17">
        <f t="shared" si="4"/>
        <v>0</v>
      </c>
      <c r="K231" s="17" t="b">
        <f t="shared" si="5"/>
        <v>0</v>
      </c>
      <c r="L231" s="16" t="str">
        <f>IFERROR(__xludf.DUMMYFUNCTION("if(regexmatch(B231,""e(.*)$""),regexextract(B231,""e(.*)$""),"""")"),"-27")</f>
        <v>-27</v>
      </c>
      <c r="M231" s="18"/>
      <c r="N231" s="18">
        <f>countif(ConstantsUnits!C:C,F231)</f>
        <v>1</v>
      </c>
      <c r="O231" s="16" t="str">
        <f>ifna(VLOOKUP(A231,ConstantsUnits!A:A,1,false),"")</f>
        <v>neutron mass</v>
      </c>
    </row>
    <row r="232">
      <c r="A232" s="1" t="s">
        <v>833</v>
      </c>
      <c r="B232" s="1" t="s">
        <v>2080</v>
      </c>
      <c r="C232" s="1" t="s">
        <v>2081</v>
      </c>
      <c r="D232" s="1" t="s">
        <v>41</v>
      </c>
      <c r="F232" s="16" t="str">
        <f>ifna(VLOOKUP($A232,ConstantsUnits!$A:$C,3,false),"")</f>
        <v>NeutronMassEnergyEquivalent</v>
      </c>
      <c r="G232" s="17" t="str">
        <f t="shared" si="1"/>
        <v>1.505349739e-10</v>
      </c>
      <c r="H232" s="17">
        <f t="shared" si="2"/>
        <v>0.0000000001505349739</v>
      </c>
      <c r="I232" s="17" t="str">
        <f t="shared" si="3"/>
        <v>0.000000019e-10</v>
      </c>
      <c r="J232" s="17">
        <f t="shared" si="4"/>
        <v>0</v>
      </c>
      <c r="K232" s="17" t="b">
        <f t="shared" si="5"/>
        <v>0</v>
      </c>
      <c r="L232" s="16" t="str">
        <f>IFERROR(__xludf.DUMMYFUNCTION("if(regexmatch(B232,""e(.*)$""),regexextract(B232,""e(.*)$""),"""")"),"-10")</f>
        <v>-10</v>
      </c>
      <c r="M232" s="18"/>
      <c r="N232" s="18">
        <f>countif(ConstantsUnits!C:C,F232)</f>
        <v>1</v>
      </c>
      <c r="O232" s="16" t="str">
        <f>ifna(VLOOKUP(A232,ConstantsUnits!A:A,1,false),"")</f>
        <v>neutron mass energy equivalent</v>
      </c>
    </row>
    <row r="233">
      <c r="A233" s="1" t="s">
        <v>836</v>
      </c>
      <c r="B233" s="1" t="s">
        <v>2082</v>
      </c>
      <c r="C233" s="1" t="s">
        <v>2083</v>
      </c>
      <c r="D233" s="1" t="s">
        <v>45</v>
      </c>
      <c r="F233" s="16" t="str">
        <f>ifna(VLOOKUP($A233,ConstantsUnits!$A:$C,3,false),"")</f>
        <v>NeutronMassEnergyEquivalentInMeV</v>
      </c>
      <c r="G233" s="17" t="str">
        <f t="shared" si="1"/>
        <v>939.5654133</v>
      </c>
      <c r="H233" s="17">
        <f t="shared" si="2"/>
        <v>939.5654133</v>
      </c>
      <c r="I233" s="17" t="str">
        <f t="shared" si="3"/>
        <v>0.0000058</v>
      </c>
      <c r="J233" s="17">
        <f t="shared" si="4"/>
        <v>0.0000058</v>
      </c>
      <c r="K233" s="17" t="b">
        <f t="shared" si="5"/>
        <v>0</v>
      </c>
      <c r="L233" s="16" t="str">
        <f>IFERROR(__xludf.DUMMYFUNCTION("if(regexmatch(B233,""e(.*)$""),regexextract(B233,""e(.*)$""),"""")"),"")</f>
        <v/>
      </c>
      <c r="M233" s="18"/>
      <c r="N233" s="18">
        <f>countif(ConstantsUnits!C:C,F233)</f>
        <v>1</v>
      </c>
      <c r="O233" s="16" t="str">
        <f>ifna(VLOOKUP(A233,ConstantsUnits!A:A,1,false),"")</f>
        <v>neutron mass energy equivalent in MeV</v>
      </c>
    </row>
    <row r="234">
      <c r="A234" s="1" t="s">
        <v>838</v>
      </c>
      <c r="B234" s="1" t="s">
        <v>2084</v>
      </c>
      <c r="C234" s="1" t="s">
        <v>1552</v>
      </c>
      <c r="D234" s="1" t="s">
        <v>48</v>
      </c>
      <c r="F234" s="16" t="str">
        <f>ifna(VLOOKUP($A234,ConstantsUnits!$A:$C,3,false),"")</f>
        <v>NeutronMassInAtomicMassUnit</v>
      </c>
      <c r="G234" s="17" t="str">
        <f t="shared" si="1"/>
        <v>1.00866491588</v>
      </c>
      <c r="H234" s="17">
        <f t="shared" si="2"/>
        <v>1.008664916</v>
      </c>
      <c r="I234" s="17" t="str">
        <f t="shared" si="3"/>
        <v>0.00000000049</v>
      </c>
      <c r="J234" s="17">
        <f t="shared" si="4"/>
        <v>0.00000000049</v>
      </c>
      <c r="K234" s="17" t="b">
        <f t="shared" si="5"/>
        <v>0</v>
      </c>
      <c r="L234" s="16" t="str">
        <f>IFERROR(__xludf.DUMMYFUNCTION("if(regexmatch(B234,""e(.*)$""),regexextract(B234,""e(.*)$""),"""")"),"")</f>
        <v/>
      </c>
      <c r="M234" s="18"/>
      <c r="N234" s="18">
        <f>countif(ConstantsUnits!C:C,F234)</f>
        <v>1</v>
      </c>
      <c r="O234" s="16" t="str">
        <f>ifna(VLOOKUP(A234,ConstantsUnits!A:A,1,false),"")</f>
        <v>neutron mass in u</v>
      </c>
    </row>
    <row r="235">
      <c r="A235" s="1" t="s">
        <v>841</v>
      </c>
      <c r="B235" s="1" t="s">
        <v>2085</v>
      </c>
      <c r="C235" s="1" t="s">
        <v>2086</v>
      </c>
      <c r="D235" s="1" t="s">
        <v>51</v>
      </c>
      <c r="F235" s="16" t="str">
        <f>ifna(VLOOKUP($A235,ConstantsUnits!$A:$C,3,false),"")</f>
        <v>NeutronMolarMass</v>
      </c>
      <c r="G235" s="17" t="str">
        <f t="shared" si="1"/>
        <v>1.00866491588e-3</v>
      </c>
      <c r="H235" s="17">
        <f t="shared" si="2"/>
        <v>0.001008664916</v>
      </c>
      <c r="I235" s="17" t="str">
        <f t="shared" si="3"/>
        <v>0.00000000049e-3</v>
      </c>
      <c r="J235" s="17">
        <f t="shared" si="4"/>
        <v>0</v>
      </c>
      <c r="K235" s="17" t="b">
        <f t="shared" si="5"/>
        <v>0</v>
      </c>
      <c r="L235" s="16" t="str">
        <f>IFERROR(__xludf.DUMMYFUNCTION("if(regexmatch(B235,""e(.*)$""),regexextract(B235,""e(.*)$""),"""")"),"-3")</f>
        <v>-3</v>
      </c>
      <c r="M235" s="18"/>
      <c r="N235" s="18">
        <f>countif(ConstantsUnits!C:C,F235)</f>
        <v>1</v>
      </c>
      <c r="O235" s="16" t="str">
        <f>ifna(VLOOKUP(A235,ConstantsUnits!A:A,1,false),"")</f>
        <v>neutron molar mass</v>
      </c>
    </row>
    <row r="236">
      <c r="A236" s="1" t="s">
        <v>844</v>
      </c>
      <c r="B236" s="1" t="s">
        <v>2087</v>
      </c>
      <c r="C236" s="1" t="s">
        <v>1366</v>
      </c>
      <c r="F236" s="16" t="str">
        <f>ifna(VLOOKUP($A236,ConstantsUnits!$A:$C,3,false),"")</f>
        <v>NeutronMuonMassRatio</v>
      </c>
      <c r="G236" s="17" t="str">
        <f t="shared" si="1"/>
        <v>8.89248408</v>
      </c>
      <c r="H236" s="17">
        <f t="shared" si="2"/>
        <v>8.89248408</v>
      </c>
      <c r="I236" s="17" t="str">
        <f t="shared" si="3"/>
        <v>0.00000020</v>
      </c>
      <c r="J236" s="17">
        <f t="shared" si="4"/>
        <v>0.0000002</v>
      </c>
      <c r="K236" s="17" t="b">
        <f t="shared" si="5"/>
        <v>0</v>
      </c>
      <c r="L236" s="16" t="str">
        <f>IFERROR(__xludf.DUMMYFUNCTION("if(regexmatch(B236,""e(.*)$""),regexextract(B236,""e(.*)$""),"""")"),"")</f>
        <v/>
      </c>
      <c r="M236" s="18"/>
      <c r="N236" s="18">
        <f>countif(ConstantsUnits!C:C,F236)</f>
        <v>1</v>
      </c>
      <c r="O236" s="16" t="str">
        <f>ifna(VLOOKUP(A236,ConstantsUnits!A:A,1,false),"")</f>
        <v>neutron-muon mass ratio</v>
      </c>
    </row>
    <row r="237">
      <c r="A237" s="1" t="s">
        <v>847</v>
      </c>
      <c r="B237" s="1" t="s">
        <v>1556</v>
      </c>
      <c r="C237" s="1" t="s">
        <v>1557</v>
      </c>
      <c r="F237" s="16" t="str">
        <f>ifna(VLOOKUP($A237,ConstantsUnits!$A:$C,3,false),"")</f>
        <v>NeutronProtonMagneticMomentRatio</v>
      </c>
      <c r="G237" s="17" t="str">
        <f t="shared" si="1"/>
        <v>-0.68497934</v>
      </c>
      <c r="H237" s="17">
        <f t="shared" si="2"/>
        <v>-0.68497934</v>
      </c>
      <c r="I237" s="17" t="str">
        <f t="shared" si="3"/>
        <v>0.00000016</v>
      </c>
      <c r="J237" s="17">
        <f t="shared" si="4"/>
        <v>0.00000016</v>
      </c>
      <c r="K237" s="17" t="b">
        <f t="shared" si="5"/>
        <v>0</v>
      </c>
      <c r="L237" s="16" t="str">
        <f>IFERROR(__xludf.DUMMYFUNCTION("if(regexmatch(B237,""e(.*)$""),regexextract(B237,""e(.*)$""),"""")"),"")</f>
        <v/>
      </c>
      <c r="M237" s="18"/>
      <c r="N237" s="18">
        <f>countif(ConstantsUnits!C:C,F237)</f>
        <v>1</v>
      </c>
      <c r="O237" s="16" t="str">
        <f>ifna(VLOOKUP(A237,ConstantsUnits!A:A,1,false),"")</f>
        <v>neutron-proton mag. mom. ratio</v>
      </c>
    </row>
    <row r="238">
      <c r="A238" s="1" t="s">
        <v>850</v>
      </c>
      <c r="B238" s="1" t="s">
        <v>2088</v>
      </c>
      <c r="C238" s="1" t="s">
        <v>2089</v>
      </c>
      <c r="F238" s="16" t="str">
        <f>ifna(VLOOKUP($A238,ConstantsUnits!$A:$C,3,false),"")</f>
        <v>Neutron-ProtonMassDifference</v>
      </c>
      <c r="G238" s="17" t="str">
        <f t="shared" si="1"/>
        <v>2.30557377e-30</v>
      </c>
      <c r="H238" s="17">
        <f t="shared" si="2"/>
        <v>0</v>
      </c>
      <c r="I238" s="17" t="str">
        <f t="shared" si="3"/>
        <v>0.00000085e-30</v>
      </c>
      <c r="J238" s="17">
        <f t="shared" si="4"/>
        <v>0</v>
      </c>
      <c r="K238" s="17" t="b">
        <f t="shared" si="5"/>
        <v>0</v>
      </c>
      <c r="L238" s="16" t="str">
        <f>IFERROR(__xludf.DUMMYFUNCTION("if(regexmatch(B238,""e(.*)$""),regexextract(B238,""e(.*)$""),"""")"),"-30")</f>
        <v>-30</v>
      </c>
      <c r="M238" s="18"/>
      <c r="N238" s="18">
        <f>countif(ConstantsUnits!C:C,F238)</f>
        <v>1</v>
      </c>
      <c r="O238" s="16" t="str">
        <f>ifna(VLOOKUP(A238,ConstantsUnits!A:A,1,false),"")</f>
        <v>neutron-proton mass difference</v>
      </c>
    </row>
    <row r="239">
      <c r="A239" s="1" t="s">
        <v>852</v>
      </c>
      <c r="B239" s="1" t="s">
        <v>2090</v>
      </c>
      <c r="C239" s="1" t="s">
        <v>2091</v>
      </c>
      <c r="F239" s="16" t="str">
        <f>ifna(VLOOKUP($A239,ConstantsUnits!$A:$C,3,false),"")</f>
        <v>Neutron-ProtonMassDifferenceEnergyEquivalent</v>
      </c>
      <c r="G239" s="17" t="str">
        <f t="shared" si="1"/>
        <v>2.07214637e-13</v>
      </c>
      <c r="H239" s="17">
        <f t="shared" si="2"/>
        <v>0</v>
      </c>
      <c r="I239" s="17" t="str">
        <f t="shared" si="3"/>
        <v>0.00000076e-13</v>
      </c>
      <c r="J239" s="17">
        <f t="shared" si="4"/>
        <v>0</v>
      </c>
      <c r="K239" s="17" t="b">
        <f t="shared" si="5"/>
        <v>0</v>
      </c>
      <c r="L239" s="16" t="str">
        <f>IFERROR(__xludf.DUMMYFUNCTION("if(regexmatch(B239,""e(.*)$""),regexextract(B239,""e(.*)$""),"""")"),"-13")</f>
        <v>-13</v>
      </c>
      <c r="M239" s="18"/>
      <c r="N239" s="18">
        <f>countif(ConstantsUnits!C:C,F239)</f>
        <v>1</v>
      </c>
      <c r="O239" s="16" t="str">
        <f>ifna(VLOOKUP(A239,ConstantsUnits!A:A,1,false),"")</f>
        <v>neutron-proton mass difference energy equivalent</v>
      </c>
    </row>
    <row r="240">
      <c r="A240" s="1" t="s">
        <v>854</v>
      </c>
      <c r="B240" s="1" t="s">
        <v>2092</v>
      </c>
      <c r="C240" s="1" t="s">
        <v>2093</v>
      </c>
      <c r="F240" s="16" t="str">
        <f>ifna(VLOOKUP($A240,ConstantsUnits!$A:$C,3,false),"")</f>
        <v>Neutron-ProtonMassDifferenceEnergyEquivalentInMev</v>
      </c>
      <c r="G240" s="17" t="str">
        <f t="shared" si="1"/>
        <v>1.29333205</v>
      </c>
      <c r="H240" s="17">
        <f t="shared" si="2"/>
        <v>1.29333205</v>
      </c>
      <c r="I240" s="17" t="str">
        <f t="shared" si="3"/>
        <v>0.00000048</v>
      </c>
      <c r="J240" s="17">
        <f t="shared" si="4"/>
        <v>0.00000048</v>
      </c>
      <c r="K240" s="17" t="b">
        <f t="shared" si="5"/>
        <v>0</v>
      </c>
      <c r="L240" s="16" t="str">
        <f>IFERROR(__xludf.DUMMYFUNCTION("if(regexmatch(B240,""e(.*)$""),regexextract(B240,""e(.*)$""),"""")"),"")</f>
        <v/>
      </c>
      <c r="M240" s="18"/>
      <c r="N240" s="18">
        <f>countif(ConstantsUnits!C:C,F240)</f>
        <v>1</v>
      </c>
      <c r="O240" s="16" t="str">
        <f>ifna(VLOOKUP(A240,ConstantsUnits!A:A,1,false),"")</f>
        <v>neutron-proton mass difference energy equivalent in MeV</v>
      </c>
    </row>
    <row r="241">
      <c r="A241" s="1" t="s">
        <v>855</v>
      </c>
      <c r="B241" s="1" t="s">
        <v>2094</v>
      </c>
      <c r="C241" s="1" t="s">
        <v>2095</v>
      </c>
      <c r="F241" s="16" t="str">
        <f>ifna(VLOOKUP($A241,ConstantsUnits!$A:$C,3,false),"")</f>
        <v>Neutron-ProtonMassDifferenceInU</v>
      </c>
      <c r="G241" s="17" t="str">
        <f t="shared" si="1"/>
        <v>0.00138844900</v>
      </c>
      <c r="H241" s="17">
        <f t="shared" si="2"/>
        <v>0.001388449</v>
      </c>
      <c r="I241" s="17" t="str">
        <f t="shared" si="3"/>
        <v>0.00000000051</v>
      </c>
      <c r="J241" s="17">
        <f t="shared" si="4"/>
        <v>0.00000000051</v>
      </c>
      <c r="K241" s="17" t="b">
        <f t="shared" si="5"/>
        <v>0</v>
      </c>
      <c r="L241" s="16" t="str">
        <f>IFERROR(__xludf.DUMMYFUNCTION("if(regexmatch(B241,""e(.*)$""),regexextract(B241,""e(.*)$""),"""")"),"")</f>
        <v/>
      </c>
      <c r="M241" s="18"/>
      <c r="N241" s="18">
        <f>countif(ConstantsUnits!C:C,F241)</f>
        <v>1</v>
      </c>
      <c r="O241" s="16" t="str">
        <f>ifna(VLOOKUP(A241,ConstantsUnits!A:A,1,false),"")</f>
        <v>neutron-proton mass difference in u</v>
      </c>
    </row>
    <row r="242">
      <c r="A242" s="1" t="s">
        <v>857</v>
      </c>
      <c r="B242" s="1" t="s">
        <v>2096</v>
      </c>
      <c r="C242" s="1" t="s">
        <v>2095</v>
      </c>
      <c r="F242" s="16" t="str">
        <f>ifna(VLOOKUP($A242,ConstantsUnits!$A:$C,3,false),"")</f>
        <v>NeutronProtonMassRatio</v>
      </c>
      <c r="G242" s="17" t="str">
        <f t="shared" si="1"/>
        <v>1.00137841898</v>
      </c>
      <c r="H242" s="17">
        <f t="shared" si="2"/>
        <v>1.001378419</v>
      </c>
      <c r="I242" s="17" t="str">
        <f t="shared" si="3"/>
        <v>0.00000000051</v>
      </c>
      <c r="J242" s="17">
        <f t="shared" si="4"/>
        <v>0.00000000051</v>
      </c>
      <c r="K242" s="17" t="b">
        <f t="shared" si="5"/>
        <v>0</v>
      </c>
      <c r="L242" s="16" t="str">
        <f>IFERROR(__xludf.DUMMYFUNCTION("if(regexmatch(B242,""e(.*)$""),regexextract(B242,""e(.*)$""),"""")"),"")</f>
        <v/>
      </c>
      <c r="M242" s="18"/>
      <c r="N242" s="18">
        <f>countif(ConstantsUnits!C:C,F242)</f>
        <v>1</v>
      </c>
      <c r="O242" s="16" t="str">
        <f>ifna(VLOOKUP(A242,ConstantsUnits!A:A,1,false),"")</f>
        <v>neutron-proton mass ratio</v>
      </c>
    </row>
    <row r="243">
      <c r="A243" s="1" t="s">
        <v>862</v>
      </c>
      <c r="B243" s="1" t="s">
        <v>2097</v>
      </c>
      <c r="C243" s="1" t="s">
        <v>2098</v>
      </c>
      <c r="F243" s="16" t="str">
        <f>ifna(VLOOKUP($A243,ConstantsUnits!$A:$C,3,false),"")</f>
        <v>NeutronTauMassRatio</v>
      </c>
      <c r="G243" s="17" t="str">
        <f t="shared" si="1"/>
        <v>0.528790</v>
      </c>
      <c r="H243" s="17">
        <f t="shared" si="2"/>
        <v>0.52879</v>
      </c>
      <c r="I243" s="17" t="str">
        <f t="shared" si="3"/>
        <v>0.000048</v>
      </c>
      <c r="J243" s="17">
        <f t="shared" si="4"/>
        <v>0.000048</v>
      </c>
      <c r="K243" s="17" t="b">
        <f t="shared" si="5"/>
        <v>0</v>
      </c>
      <c r="L243" s="16" t="str">
        <f>IFERROR(__xludf.DUMMYFUNCTION("if(regexmatch(B243,""e(.*)$""),regexextract(B243,""e(.*)$""),"""")"),"")</f>
        <v/>
      </c>
      <c r="M243" s="18"/>
      <c r="N243" s="18">
        <f>countif(ConstantsUnits!C:C,F243)</f>
        <v>1</v>
      </c>
      <c r="O243" s="16" t="str">
        <f>ifna(VLOOKUP(A243,ConstantsUnits!A:A,1,false),"")</f>
        <v>neutron-tau mass ratio</v>
      </c>
    </row>
    <row r="244">
      <c r="A244" s="1" t="s">
        <v>865</v>
      </c>
      <c r="B244" s="1" t="s">
        <v>1569</v>
      </c>
      <c r="C244" s="1" t="s">
        <v>1557</v>
      </c>
      <c r="F244" s="16" t="str">
        <f>ifna(VLOOKUP($A244,ConstantsUnits!$A:$C,3,false),"")</f>
        <v>NeutronToShieldedProtonMagneticMomentRatio</v>
      </c>
      <c r="G244" s="17" t="str">
        <f t="shared" si="1"/>
        <v>-0.68499694</v>
      </c>
      <c r="H244" s="17">
        <f t="shared" si="2"/>
        <v>-0.68499694</v>
      </c>
      <c r="I244" s="17" t="str">
        <f t="shared" si="3"/>
        <v>0.00000016</v>
      </c>
      <c r="J244" s="17">
        <f t="shared" si="4"/>
        <v>0.00000016</v>
      </c>
      <c r="K244" s="17" t="b">
        <f t="shared" si="5"/>
        <v>0</v>
      </c>
      <c r="L244" s="16" t="str">
        <f>IFERROR(__xludf.DUMMYFUNCTION("if(regexmatch(B244,""e(.*)$""),regexextract(B244,""e(.*)$""),"""")"),"")</f>
        <v/>
      </c>
      <c r="M244" s="18"/>
      <c r="N244" s="18">
        <f>countif(ConstantsUnits!C:C,F244)</f>
        <v>1</v>
      </c>
      <c r="O244" s="16" t="str">
        <f>ifna(VLOOKUP(A244,ConstantsUnits!A:A,1,false),"")</f>
        <v>neutron to shielded proton mag. mom. ratio</v>
      </c>
    </row>
    <row r="245">
      <c r="A245" s="1" t="s">
        <v>868</v>
      </c>
      <c r="B245" s="1" t="s">
        <v>2099</v>
      </c>
      <c r="C245" s="1" t="s">
        <v>2100</v>
      </c>
      <c r="D245" s="1" t="s">
        <v>869</v>
      </c>
      <c r="F245" s="16" t="str">
        <f>ifna(VLOOKUP($A245,ConstantsUnits!$A:$C,3,false),"")</f>
        <v>NewtonianConstantOfGravitation</v>
      </c>
      <c r="G245" s="17" t="str">
        <f t="shared" si="1"/>
        <v>6.67408e-11</v>
      </c>
      <c r="H245" s="17">
        <f t="shared" si="2"/>
        <v>0</v>
      </c>
      <c r="I245" s="17" t="str">
        <f t="shared" si="3"/>
        <v>0.00031e-11</v>
      </c>
      <c r="J245" s="17">
        <f t="shared" si="4"/>
        <v>0</v>
      </c>
      <c r="K245" s="17" t="b">
        <f t="shared" si="5"/>
        <v>0</v>
      </c>
      <c r="L245" s="16" t="str">
        <f>IFERROR(__xludf.DUMMYFUNCTION("if(regexmatch(B245,""e(.*)$""),regexextract(B245,""e(.*)$""),"""")"),"-11")</f>
        <v>-11</v>
      </c>
      <c r="M245" s="18"/>
      <c r="N245" s="18">
        <f>countif(ConstantsUnits!C:C,F245)</f>
        <v>1</v>
      </c>
      <c r="O245" s="16" t="str">
        <f>ifna(VLOOKUP(A245,ConstantsUnits!A:A,1,false),"")</f>
        <v>Newtonian constant of gravitation</v>
      </c>
    </row>
    <row r="246">
      <c r="A246" s="1" t="s">
        <v>873</v>
      </c>
      <c r="B246" s="1" t="s">
        <v>2101</v>
      </c>
      <c r="C246" s="1" t="s">
        <v>2102</v>
      </c>
      <c r="D246" s="1" t="s">
        <v>874</v>
      </c>
      <c r="F246" s="16" t="str">
        <f>ifna(VLOOKUP($A246,ConstantsUnits!$A:$C,3,false),"")</f>
        <v>NewtonianConstantOfGravitationOverHBarC</v>
      </c>
      <c r="G246" s="17" t="str">
        <f t="shared" si="1"/>
        <v>6.70861e-39</v>
      </c>
      <c r="H246" s="17">
        <f t="shared" si="2"/>
        <v>0</v>
      </c>
      <c r="I246" s="17" t="str">
        <f t="shared" si="3"/>
        <v>0.00031e-39</v>
      </c>
      <c r="J246" s="17">
        <f t="shared" si="4"/>
        <v>0</v>
      </c>
      <c r="K246" s="17" t="b">
        <f t="shared" si="5"/>
        <v>0</v>
      </c>
      <c r="L246" s="16" t="str">
        <f>IFERROR(__xludf.DUMMYFUNCTION("if(regexmatch(B246,""e(.*)$""),regexextract(B246,""e(.*)$""),"""")"),"-39")</f>
        <v>-39</v>
      </c>
      <c r="M246" s="18"/>
      <c r="N246" s="18">
        <f>countif(ConstantsUnits!C:C,F246)</f>
        <v>1</v>
      </c>
      <c r="O246" s="16" t="str">
        <f>ifna(VLOOKUP(A246,ConstantsUnits!A:A,1,false),"")</f>
        <v>Newtonian constant of gravitation over h-bar c</v>
      </c>
    </row>
    <row r="247">
      <c r="A247" s="1" t="s">
        <v>877</v>
      </c>
      <c r="B247" s="1" t="s">
        <v>2103</v>
      </c>
      <c r="C247" s="1" t="s">
        <v>2104</v>
      </c>
      <c r="D247" s="1" t="s">
        <v>165</v>
      </c>
      <c r="F247" s="16" t="str">
        <f>ifna(VLOOKUP($A247,ConstantsUnits!$A:$C,3,false),"")</f>
        <v>NuclearMagneton</v>
      </c>
      <c r="G247" s="17" t="str">
        <f t="shared" si="1"/>
        <v>5.050783699e-27</v>
      </c>
      <c r="H247" s="17">
        <f t="shared" si="2"/>
        <v>0</v>
      </c>
      <c r="I247" s="17" t="str">
        <f t="shared" si="3"/>
        <v>0.000000031e-27</v>
      </c>
      <c r="J247" s="17">
        <f t="shared" si="4"/>
        <v>0</v>
      </c>
      <c r="K247" s="17" t="b">
        <f t="shared" si="5"/>
        <v>0</v>
      </c>
      <c r="L247" s="16" t="str">
        <f>IFERROR(__xludf.DUMMYFUNCTION("if(regexmatch(B247,""e(.*)$""),regexextract(B247,""e(.*)$""),"""")"),"-27")</f>
        <v>-27</v>
      </c>
      <c r="M247" s="18"/>
      <c r="N247" s="18">
        <f>countif(ConstantsUnits!C:C,F247)</f>
        <v>1</v>
      </c>
      <c r="O247" s="16" t="str">
        <f>ifna(VLOOKUP(A247,ConstantsUnits!A:A,1,false),"")</f>
        <v>nuclear magneton</v>
      </c>
    </row>
    <row r="248">
      <c r="A248" s="1" t="s">
        <v>880</v>
      </c>
      <c r="B248" s="1" t="s">
        <v>2105</v>
      </c>
      <c r="C248" s="1" t="s">
        <v>2106</v>
      </c>
      <c r="D248" s="1" t="s">
        <v>209</v>
      </c>
      <c r="F248" s="16" t="str">
        <f>ifna(VLOOKUP($A248,ConstantsUnits!$A:$C,3,false),"")</f>
        <v>NuclearMagnetonInEVPerT</v>
      </c>
      <c r="G248" s="17" t="str">
        <f t="shared" si="1"/>
        <v>3.1524512550e-8</v>
      </c>
      <c r="H248" s="17">
        <f t="shared" si="2"/>
        <v>0.00000003152451255</v>
      </c>
      <c r="I248" s="17" t="str">
        <f t="shared" si="3"/>
        <v>0.0000000015e-8</v>
      </c>
      <c r="J248" s="17">
        <f t="shared" si="4"/>
        <v>0</v>
      </c>
      <c r="K248" s="17" t="b">
        <f t="shared" si="5"/>
        <v>0</v>
      </c>
      <c r="L248" s="16" t="str">
        <f>IFERROR(__xludf.DUMMYFUNCTION("if(regexmatch(B248,""e(.*)$""),regexextract(B248,""e(.*)$""),"""")"),"-8")</f>
        <v>-8</v>
      </c>
      <c r="M248" s="18"/>
      <c r="N248" s="18">
        <f>countif(ConstantsUnits!C:C,F248)</f>
        <v>1</v>
      </c>
      <c r="O248" s="16" t="str">
        <f>ifna(VLOOKUP(A248,ConstantsUnits!A:A,1,false),"")</f>
        <v>nuclear magneton in eV/T</v>
      </c>
    </row>
    <row r="249">
      <c r="A249" s="1" t="s">
        <v>2107</v>
      </c>
      <c r="B249" s="1" t="s">
        <v>2108</v>
      </c>
      <c r="C249" s="1" t="s">
        <v>2109</v>
      </c>
      <c r="D249" s="1" t="s">
        <v>219</v>
      </c>
      <c r="F249" s="1" t="s">
        <v>883</v>
      </c>
      <c r="G249" s="17" t="str">
        <f t="shared" si="1"/>
        <v>2.542623432e-2</v>
      </c>
      <c r="H249" s="17">
        <f t="shared" si="2"/>
        <v>0.02542623432</v>
      </c>
      <c r="I249" s="17" t="str">
        <f t="shared" si="3"/>
        <v>0.000000016e-2</v>
      </c>
      <c r="J249" s="17">
        <f t="shared" si="4"/>
        <v>0.00000000016</v>
      </c>
      <c r="K249" s="17" t="b">
        <f t="shared" si="5"/>
        <v>0</v>
      </c>
      <c r="L249" s="16" t="str">
        <f>IFERROR(__xludf.DUMMYFUNCTION("if(regexmatch(B249,""e(.*)$""),regexextract(B249,""e(.*)$""),"""")"),"-2")</f>
        <v>-2</v>
      </c>
      <c r="M249" s="18"/>
      <c r="N249" s="18">
        <f>countif(ConstantsUnits!C:C,F249)</f>
        <v>1</v>
      </c>
      <c r="O249" s="16" t="str">
        <f>ifna(VLOOKUP(A249,ConstantsUnits!A:A,1,false),"")</f>
        <v/>
      </c>
    </row>
    <row r="250">
      <c r="A250" s="1" t="s">
        <v>885</v>
      </c>
      <c r="B250" s="1" t="s">
        <v>2110</v>
      </c>
      <c r="C250" s="1" t="s">
        <v>2111</v>
      </c>
      <c r="D250" s="1" t="s">
        <v>224</v>
      </c>
      <c r="F250" s="16" t="str">
        <f>ifna(VLOOKUP($A250,ConstantsUnits!$A:$C,3,false),"")</f>
        <v>NuclearMagnetonInKPerT</v>
      </c>
      <c r="G250" s="17" t="str">
        <f t="shared" si="1"/>
        <v>3.6582690e-4</v>
      </c>
      <c r="H250" s="17">
        <f t="shared" si="2"/>
        <v>0.0003658269</v>
      </c>
      <c r="I250" s="17" t="str">
        <f t="shared" si="3"/>
        <v>0.0000021e-4</v>
      </c>
      <c r="J250" s="17">
        <f t="shared" si="4"/>
        <v>0.00000000021</v>
      </c>
      <c r="K250" s="17" t="b">
        <f t="shared" si="5"/>
        <v>0</v>
      </c>
      <c r="L250" s="16" t="str">
        <f>IFERROR(__xludf.DUMMYFUNCTION("if(regexmatch(B250,""e(.*)$""),regexextract(B250,""e(.*)$""),"""")"),"-4")</f>
        <v>-4</v>
      </c>
      <c r="M250" s="18"/>
      <c r="N250" s="18">
        <f>countif(ConstantsUnits!C:C,F250)</f>
        <v>1</v>
      </c>
      <c r="O250" s="16" t="str">
        <f>ifna(VLOOKUP(A250,ConstantsUnits!A:A,1,false),"")</f>
        <v>nuclear magneton in K/T</v>
      </c>
    </row>
    <row r="251">
      <c r="A251" s="1" t="s">
        <v>888</v>
      </c>
      <c r="B251" s="1" t="s">
        <v>2112</v>
      </c>
      <c r="C251" s="1" t="s">
        <v>2113</v>
      </c>
      <c r="D251" s="1" t="s">
        <v>367</v>
      </c>
      <c r="F251" s="16" t="str">
        <f>ifna(VLOOKUP($A251,ConstantsUnits!$A:$C,3,false),"")</f>
        <v>NuclearMagnetonInMHzPerT</v>
      </c>
      <c r="G251" s="17" t="str">
        <f t="shared" si="1"/>
        <v>7.622593285</v>
      </c>
      <c r="H251" s="17">
        <f t="shared" si="2"/>
        <v>7.622593285</v>
      </c>
      <c r="I251" s="17" t="str">
        <f t="shared" si="3"/>
        <v>0.000000047</v>
      </c>
      <c r="J251" s="17">
        <f t="shared" si="4"/>
        <v>0.000000047</v>
      </c>
      <c r="K251" s="17" t="b">
        <f t="shared" si="5"/>
        <v>0</v>
      </c>
      <c r="L251" s="16" t="str">
        <f>IFERROR(__xludf.DUMMYFUNCTION("if(regexmatch(B251,""e(.*)$""),regexextract(B251,""e(.*)$""),"""")"),"")</f>
        <v/>
      </c>
      <c r="M251" s="18"/>
      <c r="N251" s="18">
        <f>countif(ConstantsUnits!C:C,F251)</f>
        <v>1</v>
      </c>
      <c r="O251" s="16" t="str">
        <f>ifna(VLOOKUP(A251,ConstantsUnits!A:A,1,false),"")</f>
        <v>nuclear magneton in MHz/T</v>
      </c>
    </row>
    <row r="252">
      <c r="A252" s="1" t="s">
        <v>891</v>
      </c>
      <c r="B252" s="1" t="s">
        <v>1955</v>
      </c>
      <c r="C252" s="1" t="s">
        <v>1956</v>
      </c>
      <c r="D252" s="1" t="s">
        <v>108</v>
      </c>
      <c r="F252" s="16" t="str">
        <f>ifna(VLOOKUP($A252,ConstantsUnits!$A:$C,3,false),"")</f>
        <v>PlanckConstant</v>
      </c>
      <c r="G252" s="17" t="str">
        <f t="shared" si="1"/>
        <v>6.626070040e-34</v>
      </c>
      <c r="H252" s="17">
        <f t="shared" si="2"/>
        <v>0</v>
      </c>
      <c r="I252" s="17" t="str">
        <f t="shared" si="3"/>
        <v>0.000000081e-34</v>
      </c>
      <c r="J252" s="17">
        <f t="shared" si="4"/>
        <v>0</v>
      </c>
      <c r="K252" s="17" t="b">
        <f t="shared" si="5"/>
        <v>0</v>
      </c>
      <c r="L252" s="16" t="str">
        <f>IFERROR(__xludf.DUMMYFUNCTION("if(regexmatch(B252,""e(.*)$""),regexextract(B252,""e(.*)$""),"""")"),"-34")</f>
        <v>-34</v>
      </c>
      <c r="M252" s="18"/>
      <c r="N252" s="18">
        <f>countif(ConstantsUnits!C:C,F252)</f>
        <v>1</v>
      </c>
      <c r="O252" s="16" t="str">
        <f>ifna(VLOOKUP(A252,ConstantsUnits!A:A,1,false),"")</f>
        <v>Planck constant</v>
      </c>
    </row>
    <row r="253">
      <c r="A253" s="1" t="s">
        <v>2114</v>
      </c>
      <c r="B253" s="1" t="s">
        <v>1951</v>
      </c>
      <c r="C253" s="1" t="s">
        <v>1952</v>
      </c>
      <c r="D253" s="1" t="s">
        <v>774</v>
      </c>
      <c r="F253" s="1" t="s">
        <v>2115</v>
      </c>
      <c r="G253" s="17" t="str">
        <f t="shared" si="1"/>
        <v>4.135667662e-15</v>
      </c>
      <c r="H253" s="17">
        <f t="shared" si="2"/>
        <v>0</v>
      </c>
      <c r="I253" s="17" t="str">
        <f t="shared" si="3"/>
        <v>0.000000025e-15</v>
      </c>
      <c r="J253" s="17">
        <f t="shared" si="4"/>
        <v>0</v>
      </c>
      <c r="K253" s="17" t="b">
        <f t="shared" si="5"/>
        <v>0</v>
      </c>
      <c r="L253" s="16" t="str">
        <f>IFERROR(__xludf.DUMMYFUNCTION("if(regexmatch(B253,""e(.*)$""),regexextract(B253,""e(.*)$""),"""")"),"-15")</f>
        <v>-15</v>
      </c>
      <c r="M253" s="18"/>
      <c r="N253" s="18">
        <f>countif(ConstantsUnits!C:C,F253)</f>
        <v>1</v>
      </c>
      <c r="O253" s="16" t="str">
        <f>ifna(VLOOKUP(A253,ConstantsUnits!A:A,1,false),"")</f>
        <v/>
      </c>
    </row>
    <row r="254">
      <c r="A254" s="1" t="s">
        <v>2116</v>
      </c>
      <c r="B254" s="1" t="s">
        <v>1762</v>
      </c>
      <c r="C254" s="1" t="s">
        <v>1763</v>
      </c>
      <c r="D254" s="1" t="s">
        <v>108</v>
      </c>
      <c r="F254" s="3" t="s">
        <v>2117</v>
      </c>
      <c r="G254" s="17" t="str">
        <f t="shared" si="1"/>
        <v>1.054571800e-34</v>
      </c>
      <c r="H254" s="17">
        <f t="shared" si="2"/>
        <v>0</v>
      </c>
      <c r="I254" s="17" t="str">
        <f t="shared" si="3"/>
        <v>0.000000013e-34</v>
      </c>
      <c r="J254" s="17">
        <f t="shared" si="4"/>
        <v>0</v>
      </c>
      <c r="K254" s="17" t="b">
        <f t="shared" si="5"/>
        <v>0</v>
      </c>
      <c r="L254" s="16" t="str">
        <f>IFERROR(__xludf.DUMMYFUNCTION("if(regexmatch(B254,""e(.*)$""),regexextract(B254,""e(.*)$""),"""")"),"-34")</f>
        <v>-34</v>
      </c>
      <c r="M254" s="18"/>
      <c r="N254" s="18">
        <f>countif(ConstantsUnits!C:C,F254)</f>
        <v>1</v>
      </c>
      <c r="O254" s="16" t="str">
        <f>ifna(VLOOKUP(A254,ConstantsUnits!A:A,1,false),"")</f>
        <v/>
      </c>
    </row>
    <row r="255">
      <c r="A255" s="1" t="s">
        <v>2118</v>
      </c>
      <c r="B255" s="1" t="s">
        <v>2056</v>
      </c>
      <c r="C255" s="1" t="s">
        <v>2057</v>
      </c>
      <c r="D255" s="1" t="s">
        <v>774</v>
      </c>
      <c r="F255" s="3" t="s">
        <v>2119</v>
      </c>
      <c r="G255" s="17" t="str">
        <f t="shared" si="1"/>
        <v>6.582119514e-16</v>
      </c>
      <c r="H255" s="17">
        <f t="shared" si="2"/>
        <v>0</v>
      </c>
      <c r="I255" s="17" t="str">
        <f t="shared" si="3"/>
        <v>0.000000040e-16</v>
      </c>
      <c r="J255" s="17">
        <f t="shared" si="4"/>
        <v>0</v>
      </c>
      <c r="K255" s="17" t="b">
        <f t="shared" si="5"/>
        <v>0</v>
      </c>
      <c r="L255" s="16" t="str">
        <f>IFERROR(__xludf.DUMMYFUNCTION("if(regexmatch(B255,""e(.*)$""),regexextract(B255,""e(.*)$""),"""")"),"-16")</f>
        <v>-16</v>
      </c>
      <c r="M255" s="18"/>
      <c r="N255" s="18">
        <f>countif(ConstantsUnits!C:C,F255)</f>
        <v>1</v>
      </c>
      <c r="O255" s="16" t="str">
        <f>ifna(VLOOKUP(A255,ConstantsUnits!A:A,1,false),"")</f>
        <v/>
      </c>
    </row>
    <row r="256">
      <c r="A256" s="1" t="s">
        <v>2120</v>
      </c>
      <c r="B256" s="1" t="s">
        <v>2121</v>
      </c>
      <c r="C256" s="1" t="s">
        <v>2122</v>
      </c>
      <c r="D256" s="1" t="s">
        <v>999</v>
      </c>
      <c r="F256" s="3" t="s">
        <v>2123</v>
      </c>
      <c r="G256" s="17" t="str">
        <f t="shared" si="1"/>
        <v>197.3269788</v>
      </c>
      <c r="H256" s="17">
        <f t="shared" si="2"/>
        <v>197.3269788</v>
      </c>
      <c r="I256" s="17" t="str">
        <f t="shared" si="3"/>
        <v>0.0000012</v>
      </c>
      <c r="J256" s="17">
        <f t="shared" si="4"/>
        <v>0.0000012</v>
      </c>
      <c r="K256" s="17" t="b">
        <f t="shared" si="5"/>
        <v>0</v>
      </c>
      <c r="L256" s="16" t="str">
        <f>IFERROR(__xludf.DUMMYFUNCTION("if(regexmatch(B256,""e(.*)$""),regexextract(B256,""e(.*)$""),"""")"),"")</f>
        <v/>
      </c>
      <c r="M256" s="18"/>
      <c r="N256" s="18">
        <f>countif(ConstantsUnits!C:C,F256)</f>
        <v>1</v>
      </c>
      <c r="O256" s="16" t="str">
        <f>ifna(VLOOKUP(A256,ConstantsUnits!A:A,1,false),"")</f>
        <v/>
      </c>
    </row>
    <row r="257">
      <c r="A257" s="1" t="s">
        <v>903</v>
      </c>
      <c r="B257" s="1" t="s">
        <v>2124</v>
      </c>
      <c r="C257" s="1" t="s">
        <v>2125</v>
      </c>
      <c r="D257" s="1" t="s">
        <v>59</v>
      </c>
      <c r="F257" s="16" t="str">
        <f>ifna(VLOOKUP($A257,ConstantsUnits!$A:$C,3,false),"")</f>
        <v>PlanckLength</v>
      </c>
      <c r="G257" s="17" t="str">
        <f t="shared" si="1"/>
        <v>1.616229e-35</v>
      </c>
      <c r="H257" s="17">
        <f t="shared" si="2"/>
        <v>0</v>
      </c>
      <c r="I257" s="17" t="str">
        <f t="shared" si="3"/>
        <v>0.000038e-35</v>
      </c>
      <c r="J257" s="17">
        <f t="shared" si="4"/>
        <v>0</v>
      </c>
      <c r="K257" s="17" t="b">
        <f t="shared" si="5"/>
        <v>0</v>
      </c>
      <c r="L257" s="16" t="str">
        <f>IFERROR(__xludf.DUMMYFUNCTION("if(regexmatch(B257,""e(.*)$""),regexextract(B257,""e(.*)$""),"""")"),"-35")</f>
        <v>-35</v>
      </c>
      <c r="M257" s="18"/>
      <c r="N257" s="18">
        <f>countif(ConstantsUnits!C:C,F257)</f>
        <v>1</v>
      </c>
      <c r="O257" s="16" t="str">
        <f>ifna(VLOOKUP(A257,ConstantsUnits!A:A,1,false),"")</f>
        <v>Planck length</v>
      </c>
    </row>
    <row r="258">
      <c r="A258" s="1" t="s">
        <v>906</v>
      </c>
      <c r="B258" s="1" t="s">
        <v>2126</v>
      </c>
      <c r="C258" s="1" t="s">
        <v>2127</v>
      </c>
      <c r="D258" s="1" t="s">
        <v>38</v>
      </c>
      <c r="F258" s="16" t="str">
        <f>ifna(VLOOKUP($A258,ConstantsUnits!$A:$C,3,false),"")</f>
        <v>PlanckMass</v>
      </c>
      <c r="G258" s="17" t="str">
        <f t="shared" si="1"/>
        <v>2.176470e-8</v>
      </c>
      <c r="H258" s="17">
        <f t="shared" si="2"/>
        <v>0.0000000217647</v>
      </c>
      <c r="I258" s="17" t="str">
        <f t="shared" si="3"/>
        <v>0.000051e-8</v>
      </c>
      <c r="J258" s="17">
        <f t="shared" si="4"/>
        <v>0</v>
      </c>
      <c r="K258" s="17" t="b">
        <f t="shared" si="5"/>
        <v>0</v>
      </c>
      <c r="L258" s="16" t="str">
        <f>IFERROR(__xludf.DUMMYFUNCTION("if(regexmatch(B258,""e(.*)$""),regexextract(B258,""e(.*)$""),"""")"),"-8")</f>
        <v>-8</v>
      </c>
      <c r="M258" s="18"/>
      <c r="N258" s="18">
        <f>countif(ConstantsUnits!C:C,F258)</f>
        <v>1</v>
      </c>
      <c r="O258" s="16" t="str">
        <f>ifna(VLOOKUP(A258,ConstantsUnits!A:A,1,false),"")</f>
        <v>Planck mass</v>
      </c>
    </row>
    <row r="259">
      <c r="A259" s="1" t="s">
        <v>909</v>
      </c>
      <c r="B259" s="1" t="s">
        <v>2128</v>
      </c>
      <c r="C259" s="1" t="s">
        <v>2129</v>
      </c>
      <c r="D259" s="1" t="s">
        <v>910</v>
      </c>
      <c r="F259" s="16" t="str">
        <f>ifna(VLOOKUP($A259,ConstantsUnits!$A:$C,3,false),"")</f>
        <v>PlanckMassEnergyEquivalentInGeV</v>
      </c>
      <c r="G259" s="17" t="str">
        <f t="shared" si="1"/>
        <v>1.220910e19</v>
      </c>
      <c r="H259" s="17">
        <f t="shared" si="2"/>
        <v>1.22091E+19</v>
      </c>
      <c r="I259" s="17" t="str">
        <f t="shared" si="3"/>
        <v>0.000029e19</v>
      </c>
      <c r="J259" s="17">
        <f t="shared" si="4"/>
        <v>290000000000000</v>
      </c>
      <c r="K259" s="17" t="b">
        <f t="shared" si="5"/>
        <v>0</v>
      </c>
      <c r="L259" s="16" t="str">
        <f>IFERROR(__xludf.DUMMYFUNCTION("if(regexmatch(B259,""e(.*)$""),regexextract(B259,""e(.*)$""),"""")"),"19")</f>
        <v>19</v>
      </c>
      <c r="M259" s="18"/>
      <c r="N259" s="18">
        <f>countif(ConstantsUnits!C:C,F259)</f>
        <v>1</v>
      </c>
      <c r="O259" s="16" t="str">
        <f>ifna(VLOOKUP(A259,ConstantsUnits!A:A,1,false),"")</f>
        <v>Planck mass energy equivalent in GeV</v>
      </c>
    </row>
    <row r="260">
      <c r="A260" s="1" t="s">
        <v>912</v>
      </c>
      <c r="B260" s="1" t="s">
        <v>2130</v>
      </c>
      <c r="C260" s="1" t="s">
        <v>2131</v>
      </c>
      <c r="D260" s="1" t="s">
        <v>91</v>
      </c>
      <c r="F260" s="16" t="str">
        <f>ifna(VLOOKUP($A260,ConstantsUnits!$A:$C,3,false),"")</f>
        <v>PlanckTemperature</v>
      </c>
      <c r="G260" s="17" t="str">
        <f t="shared" si="1"/>
        <v>1.416808e32</v>
      </c>
      <c r="H260" s="17">
        <f t="shared" si="2"/>
        <v>1.41681E+32</v>
      </c>
      <c r="I260" s="17" t="str">
        <f t="shared" si="3"/>
        <v>0.000033e32</v>
      </c>
      <c r="J260" s="17">
        <f t="shared" si="4"/>
        <v>3.3E+27</v>
      </c>
      <c r="K260" s="17" t="b">
        <f t="shared" si="5"/>
        <v>0</v>
      </c>
      <c r="L260" s="16" t="str">
        <f>IFERROR(__xludf.DUMMYFUNCTION("if(regexmatch(B260,""e(.*)$""),regexextract(B260,""e(.*)$""),"""")"),"32")</f>
        <v>32</v>
      </c>
      <c r="M260" s="18"/>
      <c r="N260" s="18">
        <f>countif(ConstantsUnits!C:C,F260)</f>
        <v>1</v>
      </c>
      <c r="O260" s="16" t="str">
        <f>ifna(VLOOKUP(A260,ConstantsUnits!A:A,1,false),"")</f>
        <v>Planck temperature</v>
      </c>
    </row>
    <row r="261">
      <c r="A261" s="1" t="s">
        <v>916</v>
      </c>
      <c r="B261" s="1" t="s">
        <v>2132</v>
      </c>
      <c r="C261" s="1" t="s">
        <v>2133</v>
      </c>
      <c r="D261" s="1" t="s">
        <v>192</v>
      </c>
      <c r="F261" s="16" t="str">
        <f>ifna(VLOOKUP($A261,ConstantsUnits!$A:$C,3,false),"")</f>
        <v>PlanckTime</v>
      </c>
      <c r="G261" s="17" t="str">
        <f t="shared" si="1"/>
        <v>5.39116e-44</v>
      </c>
      <c r="H261" s="17">
        <f t="shared" si="2"/>
        <v>0</v>
      </c>
      <c r="I261" s="17" t="str">
        <f t="shared" si="3"/>
        <v>0.00013e-44</v>
      </c>
      <c r="J261" s="17">
        <f t="shared" si="4"/>
        <v>0</v>
      </c>
      <c r="K261" s="17" t="b">
        <f t="shared" si="5"/>
        <v>0</v>
      </c>
      <c r="L261" s="16" t="str">
        <f>IFERROR(__xludf.DUMMYFUNCTION("if(regexmatch(B261,""e(.*)$""),regexextract(B261,""e(.*)$""),"""")"),"-44")</f>
        <v>-44</v>
      </c>
      <c r="M261" s="18"/>
      <c r="N261" s="18">
        <f>countif(ConstantsUnits!C:C,F261)</f>
        <v>1</v>
      </c>
      <c r="O261" s="16" t="str">
        <f>ifna(VLOOKUP(A261,ConstantsUnits!A:A,1,false),"")</f>
        <v>Planck time</v>
      </c>
    </row>
    <row r="262">
      <c r="A262" s="1" t="s">
        <v>919</v>
      </c>
      <c r="B262" s="1" t="s">
        <v>2134</v>
      </c>
      <c r="C262" s="1" t="s">
        <v>2135</v>
      </c>
      <c r="D262" s="1" t="s">
        <v>347</v>
      </c>
      <c r="F262" s="16" t="str">
        <f>ifna(VLOOKUP($A262,ConstantsUnits!$A:$C,3,false),"")</f>
        <v>ProtonChargeToMassQuotient</v>
      </c>
      <c r="G262" s="17" t="str">
        <f t="shared" si="1"/>
        <v>9.578833226e7</v>
      </c>
      <c r="H262" s="17">
        <f t="shared" si="2"/>
        <v>95788332.26</v>
      </c>
      <c r="I262" s="17" t="str">
        <f t="shared" si="3"/>
        <v>0.000000059e7</v>
      </c>
      <c r="J262" s="17">
        <f t="shared" si="4"/>
        <v>0.59</v>
      </c>
      <c r="K262" s="17" t="b">
        <f t="shared" si="5"/>
        <v>0</v>
      </c>
      <c r="L262" s="16" t="str">
        <f>IFERROR(__xludf.DUMMYFUNCTION("if(regexmatch(B262,""e(.*)$""),regexextract(B262,""e(.*)$""),"""")"),"7")</f>
        <v>7</v>
      </c>
      <c r="M262" s="18"/>
      <c r="N262" s="18">
        <f>countif(ConstantsUnits!C:C,F262)</f>
        <v>1</v>
      </c>
      <c r="O262" s="16" t="str">
        <f>ifna(VLOOKUP(A262,ConstantsUnits!A:A,1,false),"")</f>
        <v>proton charge to mass quotient</v>
      </c>
    </row>
    <row r="263">
      <c r="A263" s="1" t="s">
        <v>922</v>
      </c>
      <c r="B263" s="1" t="s">
        <v>2136</v>
      </c>
      <c r="C263" s="1" t="s">
        <v>1964</v>
      </c>
      <c r="D263" s="1" t="s">
        <v>59</v>
      </c>
      <c r="F263" s="16" t="str">
        <f>ifna(VLOOKUP($A263,ConstantsUnits!$A:$C,3,false),"")</f>
        <v>ProtonComptonWavelength</v>
      </c>
      <c r="G263" s="17" t="str">
        <f t="shared" si="1"/>
        <v>1.32140985396e-15</v>
      </c>
      <c r="H263" s="17">
        <f t="shared" si="2"/>
        <v>0</v>
      </c>
      <c r="I263" s="17" t="str">
        <f t="shared" si="3"/>
        <v>0.00000000061e-15</v>
      </c>
      <c r="J263" s="17">
        <f t="shared" si="4"/>
        <v>0</v>
      </c>
      <c r="K263" s="17" t="b">
        <f t="shared" si="5"/>
        <v>0</v>
      </c>
      <c r="L263" s="16" t="str">
        <f>IFERROR(__xludf.DUMMYFUNCTION("if(regexmatch(B263,""e(.*)$""),regexextract(B263,""e(.*)$""),"""")"),"-15")</f>
        <v>-15</v>
      </c>
      <c r="M263" s="18"/>
      <c r="N263" s="18">
        <f>countif(ConstantsUnits!C:C,F263)</f>
        <v>1</v>
      </c>
      <c r="O263" s="16" t="str">
        <f>ifna(VLOOKUP(A263,ConstantsUnits!A:A,1,false),"")</f>
        <v>proton Compton wavelength</v>
      </c>
    </row>
    <row r="264">
      <c r="A264" s="1" t="s">
        <v>2137</v>
      </c>
      <c r="B264" s="1" t="s">
        <v>2138</v>
      </c>
      <c r="C264" s="1" t="s">
        <v>2139</v>
      </c>
      <c r="D264" s="1" t="s">
        <v>59</v>
      </c>
      <c r="F264" s="3" t="s">
        <v>2140</v>
      </c>
      <c r="G264" s="17" t="str">
        <f t="shared" si="1"/>
        <v>0.210308910109e-15</v>
      </c>
      <c r="H264" s="17">
        <f t="shared" si="2"/>
        <v>0</v>
      </c>
      <c r="I264" s="17" t="str">
        <f t="shared" si="3"/>
        <v>0.000000000097e-15</v>
      </c>
      <c r="J264" s="17">
        <f t="shared" si="4"/>
        <v>0</v>
      </c>
      <c r="K264" s="17" t="b">
        <f t="shared" si="5"/>
        <v>0</v>
      </c>
      <c r="L264" s="16" t="str">
        <f>IFERROR(__xludf.DUMMYFUNCTION("if(regexmatch(B264,""e(.*)$""),regexextract(B264,""e(.*)$""),"""")"),"-15")</f>
        <v>-15</v>
      </c>
      <c r="M264" s="18"/>
      <c r="N264" s="18">
        <f>countif(ConstantsUnits!C:C,F264)</f>
        <v>1</v>
      </c>
      <c r="O264" s="16" t="str">
        <f>ifna(VLOOKUP(A264,ConstantsUnits!A:A,1,false),"")</f>
        <v/>
      </c>
    </row>
    <row r="265">
      <c r="A265" s="1" t="s">
        <v>926</v>
      </c>
      <c r="B265" s="1" t="s">
        <v>2141</v>
      </c>
      <c r="C265" s="1" t="s">
        <v>1779</v>
      </c>
      <c r="F265" s="16" t="str">
        <f>ifna(VLOOKUP($A265,ConstantsUnits!$A:$C,3,false),"")</f>
        <v>ProtonElectronMassRatio</v>
      </c>
      <c r="G265" s="17" t="str">
        <f t="shared" si="1"/>
        <v>1836.15267389</v>
      </c>
      <c r="H265" s="17">
        <f t="shared" si="2"/>
        <v>1836.152674</v>
      </c>
      <c r="I265" s="17" t="str">
        <f t="shared" si="3"/>
        <v>0.00000017</v>
      </c>
      <c r="J265" s="17">
        <f t="shared" si="4"/>
        <v>0.00000017</v>
      </c>
      <c r="K265" s="17" t="b">
        <f t="shared" si="5"/>
        <v>0</v>
      </c>
      <c r="L265" s="16" t="str">
        <f>IFERROR(__xludf.DUMMYFUNCTION("if(regexmatch(B265,""e(.*)$""),regexextract(B265,""e(.*)$""),"""")"),"")</f>
        <v/>
      </c>
      <c r="M265" s="18"/>
      <c r="N265" s="18">
        <f>countif(ConstantsUnits!C:C,F265)</f>
        <v>1</v>
      </c>
      <c r="O265" s="16" t="str">
        <f>ifna(VLOOKUP(A265,ConstantsUnits!A:A,1,false),"")</f>
        <v>proton-electron mass ratio</v>
      </c>
    </row>
    <row r="266">
      <c r="A266" s="1" t="s">
        <v>929</v>
      </c>
      <c r="B266" s="1" t="s">
        <v>2142</v>
      </c>
      <c r="C266" s="1" t="s">
        <v>2143</v>
      </c>
      <c r="F266" s="16" t="str">
        <f>ifna(VLOOKUP($A266,ConstantsUnits!$A:$C,3,false),"")</f>
        <v>ProtonGFactor</v>
      </c>
      <c r="G266" s="17" t="str">
        <f t="shared" si="1"/>
        <v>5.585694702</v>
      </c>
      <c r="H266" s="17">
        <f t="shared" si="2"/>
        <v>5.585694702</v>
      </c>
      <c r="I266" s="17" t="str">
        <f t="shared" si="3"/>
        <v>0.000000017</v>
      </c>
      <c r="J266" s="17">
        <f t="shared" si="4"/>
        <v>0.000000017</v>
      </c>
      <c r="K266" s="17" t="b">
        <f t="shared" si="5"/>
        <v>0</v>
      </c>
      <c r="L266" s="16" t="str">
        <f>IFERROR(__xludf.DUMMYFUNCTION("if(regexmatch(B266,""e(.*)$""),regexextract(B266,""e(.*)$""),"""")"),"")</f>
        <v/>
      </c>
      <c r="M266" s="18"/>
      <c r="N266" s="18">
        <f>countif(ConstantsUnits!C:C,F266)</f>
        <v>1</v>
      </c>
      <c r="O266" s="16" t="str">
        <f>ifna(VLOOKUP(A266,ConstantsUnits!A:A,1,false),"")</f>
        <v>proton g factor</v>
      </c>
    </row>
    <row r="267">
      <c r="A267" s="1" t="s">
        <v>932</v>
      </c>
      <c r="B267" s="1" t="s">
        <v>2144</v>
      </c>
      <c r="C267" s="1" t="s">
        <v>2145</v>
      </c>
      <c r="D267" s="1" t="s">
        <v>361</v>
      </c>
      <c r="F267" s="16" t="str">
        <f>ifna(VLOOKUP($A267,ConstantsUnits!$A:$C,3,false),"")</f>
        <v>ProtonGyromagneticRatio</v>
      </c>
      <c r="G267" s="17" t="str">
        <f t="shared" si="1"/>
        <v>2.675221900e8</v>
      </c>
      <c r="H267" s="17">
        <f t="shared" si="2"/>
        <v>267522190</v>
      </c>
      <c r="I267" s="17" t="str">
        <f t="shared" si="3"/>
        <v>0.000000018e8</v>
      </c>
      <c r="J267" s="17">
        <f t="shared" si="4"/>
        <v>1.8</v>
      </c>
      <c r="K267" s="17" t="b">
        <f t="shared" si="5"/>
        <v>0</v>
      </c>
      <c r="L267" s="16" t="str">
        <f>IFERROR(__xludf.DUMMYFUNCTION("if(regexmatch(B267,""e(.*)$""),regexextract(B267,""e(.*)$""),"""")"),"8")</f>
        <v>8</v>
      </c>
      <c r="M267" s="18"/>
      <c r="N267" s="18">
        <f>countif(ConstantsUnits!C:C,F267)</f>
        <v>1</v>
      </c>
      <c r="O267" s="16" t="str">
        <f>ifna(VLOOKUP(A267,ConstantsUnits!A:A,1,false),"")</f>
        <v>proton gyromag. ratio</v>
      </c>
    </row>
    <row r="268">
      <c r="A268" s="1" t="s">
        <v>2146</v>
      </c>
      <c r="B268" s="1" t="s">
        <v>2147</v>
      </c>
      <c r="C268" s="1" t="s">
        <v>1616</v>
      </c>
      <c r="D268" s="1" t="s">
        <v>367</v>
      </c>
      <c r="F268" s="3" t="s">
        <v>2148</v>
      </c>
      <c r="G268" s="17" t="str">
        <f t="shared" si="1"/>
        <v>42.57747892</v>
      </c>
      <c r="H268" s="17">
        <f t="shared" si="2"/>
        <v>42.57747892</v>
      </c>
      <c r="I268" s="17" t="str">
        <f t="shared" si="3"/>
        <v>0.00000029</v>
      </c>
      <c r="J268" s="17">
        <f t="shared" si="4"/>
        <v>0.00000029</v>
      </c>
      <c r="K268" s="17" t="b">
        <f t="shared" si="5"/>
        <v>0</v>
      </c>
      <c r="L268" s="16" t="str">
        <f>IFERROR(__xludf.DUMMYFUNCTION("if(regexmatch(B268,""e(.*)$""),regexextract(B268,""e(.*)$""),"""")"),"")</f>
        <v/>
      </c>
      <c r="M268" s="18"/>
      <c r="N268" s="18">
        <f>countif(ConstantsUnits!C:C,F268)</f>
        <v>1</v>
      </c>
      <c r="O268" s="16" t="str">
        <f>ifna(VLOOKUP(A268,ConstantsUnits!A:A,1,false),"")</f>
        <v/>
      </c>
    </row>
    <row r="269">
      <c r="A269" s="1" t="s">
        <v>938</v>
      </c>
      <c r="B269" s="1" t="s">
        <v>2149</v>
      </c>
      <c r="C269" s="1" t="s">
        <v>2150</v>
      </c>
      <c r="D269" s="1" t="s">
        <v>165</v>
      </c>
      <c r="F269" s="16" t="str">
        <f>ifna(VLOOKUP($A269,ConstantsUnits!$A:$C,3,false),"")</f>
        <v>ProtonMagneticMoment</v>
      </c>
      <c r="G269" s="17" t="str">
        <f t="shared" si="1"/>
        <v>1.4106067873e-26</v>
      </c>
      <c r="H269" s="17">
        <f t="shared" si="2"/>
        <v>0</v>
      </c>
      <c r="I269" s="17" t="str">
        <f t="shared" si="3"/>
        <v>0.0000000097e-26</v>
      </c>
      <c r="J269" s="17">
        <f t="shared" si="4"/>
        <v>0</v>
      </c>
      <c r="K269" s="17" t="b">
        <f t="shared" si="5"/>
        <v>0</v>
      </c>
      <c r="L269" s="16" t="str">
        <f>IFERROR(__xludf.DUMMYFUNCTION("if(regexmatch(B269,""e(.*)$""),regexextract(B269,""e(.*)$""),"""")"),"-26")</f>
        <v>-26</v>
      </c>
      <c r="M269" s="18"/>
      <c r="N269" s="18">
        <f>countif(ConstantsUnits!C:C,F269)</f>
        <v>1</v>
      </c>
      <c r="O269" s="16" t="str">
        <f>ifna(VLOOKUP(A269,ConstantsUnits!A:A,1,false),"")</f>
        <v>proton mag. mom.</v>
      </c>
    </row>
    <row r="270">
      <c r="A270" s="1" t="s">
        <v>941</v>
      </c>
      <c r="B270" s="1" t="s">
        <v>2151</v>
      </c>
      <c r="C270" s="1" t="s">
        <v>2152</v>
      </c>
      <c r="F270" s="16" t="str">
        <f>ifna(VLOOKUP($A270,ConstantsUnits!$A:$C,3,false),"")</f>
        <v>ProtonMagneticMomentToBohrMagnetonRatio</v>
      </c>
      <c r="G270" s="17" t="str">
        <f t="shared" si="1"/>
        <v>1.5210322053e-3</v>
      </c>
      <c r="H270" s="17">
        <f t="shared" si="2"/>
        <v>0.001521032205</v>
      </c>
      <c r="I270" s="17" t="str">
        <f t="shared" si="3"/>
        <v>0.0000000046e-3</v>
      </c>
      <c r="J270" s="17">
        <f t="shared" si="4"/>
        <v>0</v>
      </c>
      <c r="K270" s="17" t="b">
        <f t="shared" si="5"/>
        <v>0</v>
      </c>
      <c r="L270" s="16" t="str">
        <f>IFERROR(__xludf.DUMMYFUNCTION("if(regexmatch(B270,""e(.*)$""),regexextract(B270,""e(.*)$""),"""")"),"-3")</f>
        <v>-3</v>
      </c>
      <c r="M270" s="18"/>
      <c r="N270" s="18">
        <f>countif(ConstantsUnits!C:C,F270)</f>
        <v>1</v>
      </c>
      <c r="O270" s="16" t="str">
        <f>ifna(VLOOKUP(A270,ConstantsUnits!A:A,1,false),"")</f>
        <v>proton mag. mom. to Bohr magneton ratio</v>
      </c>
    </row>
    <row r="271">
      <c r="A271" s="1" t="s">
        <v>944</v>
      </c>
      <c r="B271" s="1" t="s">
        <v>2153</v>
      </c>
      <c r="C271" s="1" t="s">
        <v>2154</v>
      </c>
      <c r="F271" s="16" t="str">
        <f>ifna(VLOOKUP($A271,ConstantsUnits!$A:$C,3,false),"")</f>
        <v>ProtonMagneticMomentToNuclearMagnetonRatio</v>
      </c>
      <c r="G271" s="17" t="str">
        <f t="shared" si="1"/>
        <v>2.7928473508</v>
      </c>
      <c r="H271" s="17">
        <f t="shared" si="2"/>
        <v>2.792847351</v>
      </c>
      <c r="I271" s="17" t="str">
        <f t="shared" si="3"/>
        <v>0.0000000085</v>
      </c>
      <c r="J271" s="17">
        <f t="shared" si="4"/>
        <v>0.0000000085</v>
      </c>
      <c r="K271" s="17" t="b">
        <f t="shared" si="5"/>
        <v>0</v>
      </c>
      <c r="L271" s="16" t="str">
        <f>IFERROR(__xludf.DUMMYFUNCTION("if(regexmatch(B271,""e(.*)$""),regexextract(B271,""e(.*)$""),"""")"),"")</f>
        <v/>
      </c>
      <c r="M271" s="18"/>
      <c r="N271" s="18">
        <f>countif(ConstantsUnits!C:C,F271)</f>
        <v>1</v>
      </c>
      <c r="O271" s="16" t="str">
        <f>ifna(VLOOKUP(A271,ConstantsUnits!A:A,1,false),"")</f>
        <v>proton mag. mom. to nuclear magneton ratio</v>
      </c>
    </row>
    <row r="272">
      <c r="A272" s="1" t="s">
        <v>947</v>
      </c>
      <c r="B272" s="19" t="s">
        <v>2155</v>
      </c>
      <c r="C272" s="19" t="s">
        <v>2156</v>
      </c>
      <c r="F272" s="16" t="str">
        <f>ifna(VLOOKUP($A272,ConstantsUnits!$A:$C,3,false),"")</f>
        <v>ProtonMagneticShieldingCorrection</v>
      </c>
      <c r="G272" s="17" t="str">
        <f t="shared" si="1"/>
        <v>25.691e-6</v>
      </c>
      <c r="H272" s="17">
        <f t="shared" si="2"/>
        <v>0.000025691</v>
      </c>
      <c r="I272" s="17" t="str">
        <f t="shared" si="3"/>
        <v>0.011e-6</v>
      </c>
      <c r="J272" s="17">
        <f t="shared" si="4"/>
        <v>0.000000011</v>
      </c>
      <c r="K272" s="17" t="b">
        <f t="shared" si="5"/>
        <v>0</v>
      </c>
      <c r="L272" s="16" t="str">
        <f>IFERROR(__xludf.DUMMYFUNCTION("if(regexmatch(B272,""e(.*)$""),regexextract(B272,""e(.*)$""),"""")"),"-6")</f>
        <v>-6</v>
      </c>
      <c r="M272" s="18"/>
      <c r="N272" s="18">
        <f>countif(ConstantsUnits!C:C,F272)</f>
        <v>1</v>
      </c>
      <c r="O272" s="16" t="str">
        <f>ifna(VLOOKUP(A272,ConstantsUnits!A:A,1,false),"")</f>
        <v>proton mag. shielding correction</v>
      </c>
    </row>
    <row r="273">
      <c r="A273" s="1" t="s">
        <v>949</v>
      </c>
      <c r="B273" s="1" t="s">
        <v>2157</v>
      </c>
      <c r="C273" s="1" t="s">
        <v>2079</v>
      </c>
      <c r="D273" s="1" t="s">
        <v>38</v>
      </c>
      <c r="F273" s="16" t="str">
        <f>ifna(VLOOKUP($A273,ConstantsUnits!$A:$C,3,false),"")</f>
        <v>ProtonMass</v>
      </c>
      <c r="G273" s="17" t="str">
        <f t="shared" si="1"/>
        <v>1.672621898e-27</v>
      </c>
      <c r="H273" s="17">
        <f t="shared" si="2"/>
        <v>0</v>
      </c>
      <c r="I273" s="17" t="str">
        <f t="shared" si="3"/>
        <v>0.000000021e-27</v>
      </c>
      <c r="J273" s="17">
        <f t="shared" si="4"/>
        <v>0</v>
      </c>
      <c r="K273" s="17" t="b">
        <f t="shared" si="5"/>
        <v>0</v>
      </c>
      <c r="L273" s="16" t="str">
        <f>IFERROR(__xludf.DUMMYFUNCTION("if(regexmatch(B273,""e(.*)$""),regexextract(B273,""e(.*)$""),"""")"),"-27")</f>
        <v>-27</v>
      </c>
      <c r="M273" s="18"/>
      <c r="N273" s="18">
        <f>countif(ConstantsUnits!C:C,F273)</f>
        <v>1</v>
      </c>
      <c r="O273" s="16" t="str">
        <f>ifna(VLOOKUP(A273,ConstantsUnits!A:A,1,false),"")</f>
        <v>proton mass</v>
      </c>
    </row>
    <row r="274">
      <c r="A274" s="1" t="s">
        <v>953</v>
      </c>
      <c r="B274" s="1" t="s">
        <v>2158</v>
      </c>
      <c r="C274" s="1" t="s">
        <v>1745</v>
      </c>
      <c r="D274" s="1" t="s">
        <v>41</v>
      </c>
      <c r="F274" s="16" t="str">
        <f>ifna(VLOOKUP($A274,ConstantsUnits!$A:$C,3,false),"")</f>
        <v>ProtonMassEnergyEquivalent</v>
      </c>
      <c r="G274" s="17" t="str">
        <f t="shared" si="1"/>
        <v>1.503277593e-10</v>
      </c>
      <c r="H274" s="17">
        <f t="shared" si="2"/>
        <v>0.0000000001503277593</v>
      </c>
      <c r="I274" s="17" t="str">
        <f t="shared" si="3"/>
        <v>0.000000018e-10</v>
      </c>
      <c r="J274" s="17">
        <f t="shared" si="4"/>
        <v>0</v>
      </c>
      <c r="K274" s="17" t="b">
        <f t="shared" si="5"/>
        <v>0</v>
      </c>
      <c r="L274" s="16" t="str">
        <f>IFERROR(__xludf.DUMMYFUNCTION("if(regexmatch(B274,""e(.*)$""),regexextract(B274,""e(.*)$""),"""")"),"-10")</f>
        <v>-10</v>
      </c>
      <c r="M274" s="18"/>
      <c r="N274" s="18">
        <f>countif(ConstantsUnits!C:C,F274)</f>
        <v>1</v>
      </c>
      <c r="O274" s="16" t="str">
        <f>ifna(VLOOKUP(A274,ConstantsUnits!A:A,1,false),"")</f>
        <v>proton mass energy equivalent</v>
      </c>
    </row>
    <row r="275">
      <c r="A275" s="1" t="s">
        <v>955</v>
      </c>
      <c r="B275" s="1" t="s">
        <v>2159</v>
      </c>
      <c r="C275" s="1" t="s">
        <v>2083</v>
      </c>
      <c r="D275" s="1" t="s">
        <v>45</v>
      </c>
      <c r="F275" s="16" t="str">
        <f>ifna(VLOOKUP($A275,ConstantsUnits!$A:$C,3,false),"")</f>
        <v>ProtonMassEnergyEquivalentInMeV</v>
      </c>
      <c r="G275" s="17" t="str">
        <f t="shared" si="1"/>
        <v>938.2720813</v>
      </c>
      <c r="H275" s="17">
        <f t="shared" si="2"/>
        <v>938.2720813</v>
      </c>
      <c r="I275" s="17" t="str">
        <f t="shared" si="3"/>
        <v>0.0000058</v>
      </c>
      <c r="J275" s="17">
        <f t="shared" si="4"/>
        <v>0.0000058</v>
      </c>
      <c r="K275" s="17" t="b">
        <f t="shared" si="5"/>
        <v>0</v>
      </c>
      <c r="L275" s="16" t="str">
        <f>IFERROR(__xludf.DUMMYFUNCTION("if(regexmatch(B275,""e(.*)$""),regexextract(B275,""e(.*)$""),"""")"),"")</f>
        <v/>
      </c>
      <c r="M275" s="18"/>
      <c r="N275" s="18">
        <f>countif(ConstantsUnits!C:C,F275)</f>
        <v>1</v>
      </c>
      <c r="O275" s="16" t="str">
        <f>ifna(VLOOKUP(A275,ConstantsUnits!A:A,1,false),"")</f>
        <v>proton mass energy equivalent in MeV</v>
      </c>
    </row>
    <row r="276">
      <c r="A276" s="1" t="s">
        <v>957</v>
      </c>
      <c r="B276" s="1" t="s">
        <v>2160</v>
      </c>
      <c r="C276" s="1" t="s">
        <v>2161</v>
      </c>
      <c r="D276" s="1" t="s">
        <v>48</v>
      </c>
      <c r="F276" s="16" t="str">
        <f>ifna(VLOOKUP($A276,ConstantsUnits!$A:$C,3,false),"")</f>
        <v>ProtonMassInAtomicMassUnit</v>
      </c>
      <c r="G276" s="17" t="str">
        <f t="shared" si="1"/>
        <v>1.007276466879</v>
      </c>
      <c r="H276" s="17">
        <f t="shared" si="2"/>
        <v>1.007276467</v>
      </c>
      <c r="I276" s="17" t="str">
        <f t="shared" si="3"/>
        <v>0.000000000091</v>
      </c>
      <c r="J276" s="17">
        <f t="shared" si="4"/>
        <v>0</v>
      </c>
      <c r="K276" s="17" t="b">
        <f t="shared" si="5"/>
        <v>0</v>
      </c>
      <c r="L276" s="16" t="str">
        <f>IFERROR(__xludf.DUMMYFUNCTION("if(regexmatch(B276,""e(.*)$""),regexextract(B276,""e(.*)$""),"""")"),"")</f>
        <v/>
      </c>
      <c r="M276" s="18"/>
      <c r="N276" s="18">
        <f>countif(ConstantsUnits!C:C,F276)</f>
        <v>1</v>
      </c>
      <c r="O276" s="16" t="str">
        <f>ifna(VLOOKUP(A276,ConstantsUnits!A:A,1,false),"")</f>
        <v>proton mass in u</v>
      </c>
    </row>
    <row r="277">
      <c r="A277" s="1" t="s">
        <v>959</v>
      </c>
      <c r="B277" s="1" t="s">
        <v>2162</v>
      </c>
      <c r="C277" s="1" t="s">
        <v>2163</v>
      </c>
      <c r="D277" s="1" t="s">
        <v>51</v>
      </c>
      <c r="F277" s="16" t="str">
        <f>ifna(VLOOKUP($A277,ConstantsUnits!$A:$C,3,false),"")</f>
        <v>ProtonMolarMass</v>
      </c>
      <c r="G277" s="17" t="str">
        <f t="shared" si="1"/>
        <v>1.007276466879e-3</v>
      </c>
      <c r="H277" s="17">
        <f t="shared" si="2"/>
        <v>0.001007276467</v>
      </c>
      <c r="I277" s="17" t="str">
        <f t="shared" si="3"/>
        <v>0.000000000091e-3</v>
      </c>
      <c r="J277" s="17">
        <f t="shared" si="4"/>
        <v>0</v>
      </c>
      <c r="K277" s="17" t="b">
        <f t="shared" si="5"/>
        <v>0</v>
      </c>
      <c r="L277" s="16" t="str">
        <f>IFERROR(__xludf.DUMMYFUNCTION("if(regexmatch(B277,""e(.*)$""),regexextract(B277,""e(.*)$""),"""")"),"-3")</f>
        <v>-3</v>
      </c>
      <c r="M277" s="18"/>
      <c r="N277" s="18">
        <f>countif(ConstantsUnits!C:C,F277)</f>
        <v>1</v>
      </c>
      <c r="O277" s="16" t="str">
        <f>ifna(VLOOKUP(A277,ConstantsUnits!A:A,1,false),"")</f>
        <v>proton molar mass</v>
      </c>
    </row>
    <row r="278">
      <c r="A278" s="1" t="s">
        <v>962</v>
      </c>
      <c r="B278" s="1" t="s">
        <v>2164</v>
      </c>
      <c r="C278" s="1" t="s">
        <v>1366</v>
      </c>
      <c r="F278" s="16" t="str">
        <f>ifna(VLOOKUP($A278,ConstantsUnits!$A:$C,3,false),"")</f>
        <v>ProtonMuonMassRatio</v>
      </c>
      <c r="G278" s="17" t="str">
        <f t="shared" si="1"/>
        <v>8.88024338</v>
      </c>
      <c r="H278" s="17">
        <f t="shared" si="2"/>
        <v>8.88024338</v>
      </c>
      <c r="I278" s="17" t="str">
        <f t="shared" si="3"/>
        <v>0.00000020</v>
      </c>
      <c r="J278" s="17">
        <f t="shared" si="4"/>
        <v>0.0000002</v>
      </c>
      <c r="K278" s="17" t="b">
        <f t="shared" si="5"/>
        <v>0</v>
      </c>
      <c r="L278" s="16" t="str">
        <f>IFERROR(__xludf.DUMMYFUNCTION("if(regexmatch(B278,""e(.*)$""),regexextract(B278,""e(.*)$""),"""")"),"")</f>
        <v/>
      </c>
      <c r="M278" s="18"/>
      <c r="N278" s="18">
        <f>countif(ConstantsUnits!C:C,F278)</f>
        <v>1</v>
      </c>
      <c r="O278" s="16" t="str">
        <f>ifna(VLOOKUP(A278,ConstantsUnits!A:A,1,false),"")</f>
        <v>proton-muon mass ratio</v>
      </c>
    </row>
    <row r="279">
      <c r="A279" s="1" t="s">
        <v>965</v>
      </c>
      <c r="B279" s="1" t="s">
        <v>1621</v>
      </c>
      <c r="C279" s="1" t="s">
        <v>1622</v>
      </c>
      <c r="F279" s="16" t="str">
        <f>ifna(VLOOKUP($A279,ConstantsUnits!$A:$C,3,false),"")</f>
        <v>ProtonNeutronMagneticMomentRatio</v>
      </c>
      <c r="G279" s="17" t="str">
        <f t="shared" si="1"/>
        <v>-1.45989805</v>
      </c>
      <c r="H279" s="17">
        <f t="shared" si="2"/>
        <v>-1.45989805</v>
      </c>
      <c r="I279" s="17" t="str">
        <f t="shared" si="3"/>
        <v>0.00000034</v>
      </c>
      <c r="J279" s="17">
        <f t="shared" si="4"/>
        <v>0.00000034</v>
      </c>
      <c r="K279" s="17" t="b">
        <f t="shared" si="5"/>
        <v>0</v>
      </c>
      <c r="L279" s="16" t="str">
        <f>IFERROR(__xludf.DUMMYFUNCTION("if(regexmatch(B279,""e(.*)$""),regexextract(B279,""e(.*)$""),"""")"),"")</f>
        <v/>
      </c>
      <c r="M279" s="18"/>
      <c r="N279" s="18">
        <f>countif(ConstantsUnits!C:C,F279)</f>
        <v>1</v>
      </c>
      <c r="O279" s="16" t="str">
        <f>ifna(VLOOKUP(A279,ConstantsUnits!A:A,1,false),"")</f>
        <v>proton-neutron mag. mom. ratio</v>
      </c>
    </row>
    <row r="280">
      <c r="A280" s="1" t="s">
        <v>968</v>
      </c>
      <c r="B280" s="1" t="s">
        <v>2165</v>
      </c>
      <c r="C280" s="1" t="s">
        <v>2095</v>
      </c>
      <c r="F280" s="16" t="str">
        <f>ifna(VLOOKUP($A280,ConstantsUnits!$A:$C,3,false),"")</f>
        <v>ProtonNeutronMassRatio</v>
      </c>
      <c r="G280" s="17" t="str">
        <f t="shared" si="1"/>
        <v>0.99862347844</v>
      </c>
      <c r="H280" s="17">
        <f t="shared" si="2"/>
        <v>0.9986234784</v>
      </c>
      <c r="I280" s="17" t="str">
        <f t="shared" si="3"/>
        <v>0.00000000051</v>
      </c>
      <c r="J280" s="17">
        <f t="shared" si="4"/>
        <v>0.00000000051</v>
      </c>
      <c r="K280" s="17" t="b">
        <f t="shared" si="5"/>
        <v>0</v>
      </c>
      <c r="L280" s="16" t="str">
        <f>IFERROR(__xludf.DUMMYFUNCTION("if(regexmatch(B280,""e(.*)$""),regexextract(B280,""e(.*)$""),"""")"),"")</f>
        <v/>
      </c>
      <c r="M280" s="18"/>
      <c r="N280" s="18">
        <f>countif(ConstantsUnits!C:C,F280)</f>
        <v>1</v>
      </c>
      <c r="O280" s="16" t="str">
        <f>ifna(VLOOKUP(A280,ConstantsUnits!A:A,1,false),"")</f>
        <v>proton-neutron mass ratio</v>
      </c>
    </row>
    <row r="281">
      <c r="A281" s="1" t="s">
        <v>973</v>
      </c>
      <c r="B281" s="19" t="s">
        <v>2166</v>
      </c>
      <c r="C281" s="19" t="s">
        <v>2167</v>
      </c>
      <c r="D281" s="1" t="s">
        <v>59</v>
      </c>
      <c r="F281" s="16" t="str">
        <f>ifna(VLOOKUP($A281,ConstantsUnits!$A:$C,3,false),"")</f>
        <v>ProtonRmsChargeRadius</v>
      </c>
      <c r="G281" s="17" t="str">
        <f t="shared" si="1"/>
        <v>0.8751e-15</v>
      </c>
      <c r="H281" s="17">
        <f t="shared" si="2"/>
        <v>0</v>
      </c>
      <c r="I281" s="17" t="str">
        <f t="shared" si="3"/>
        <v>0.0061e-15</v>
      </c>
      <c r="J281" s="17">
        <f t="shared" si="4"/>
        <v>0</v>
      </c>
      <c r="K281" s="17" t="b">
        <f t="shared" si="5"/>
        <v>0</v>
      </c>
      <c r="L281" s="16" t="str">
        <f>IFERROR(__xludf.DUMMYFUNCTION("if(regexmatch(B281,""e(.*)$""),regexextract(B281,""e(.*)$""),"""")"),"-15")</f>
        <v>-15</v>
      </c>
      <c r="M281" s="18"/>
      <c r="N281" s="18">
        <f>countif(ConstantsUnits!C:C,F281)</f>
        <v>1</v>
      </c>
      <c r="O281" s="16" t="str">
        <f>ifna(VLOOKUP(A281,ConstantsUnits!A:A,1,false),"")</f>
        <v>proton rms charge radius</v>
      </c>
    </row>
    <row r="282">
      <c r="A282" s="1" t="s">
        <v>976</v>
      </c>
      <c r="B282" s="1" t="s">
        <v>2168</v>
      </c>
      <c r="C282" s="1" t="s">
        <v>2098</v>
      </c>
      <c r="F282" s="16" t="str">
        <f>ifna(VLOOKUP($A282,ConstantsUnits!$A:$C,3,false),"")</f>
        <v>ProtonTauMassRatio</v>
      </c>
      <c r="G282" s="17" t="str">
        <f t="shared" si="1"/>
        <v>0.528063</v>
      </c>
      <c r="H282" s="17">
        <f t="shared" si="2"/>
        <v>0.528063</v>
      </c>
      <c r="I282" s="17" t="str">
        <f t="shared" si="3"/>
        <v>0.000048</v>
      </c>
      <c r="J282" s="17">
        <f t="shared" si="4"/>
        <v>0.000048</v>
      </c>
      <c r="K282" s="17" t="b">
        <f t="shared" si="5"/>
        <v>0</v>
      </c>
      <c r="L282" s="16" t="str">
        <f>IFERROR(__xludf.DUMMYFUNCTION("if(regexmatch(B282,""e(.*)$""),regexextract(B282,""e(.*)$""),"""")"),"")</f>
        <v/>
      </c>
      <c r="M282" s="18"/>
      <c r="N282" s="18">
        <f>countif(ConstantsUnits!C:C,F282)</f>
        <v>1</v>
      </c>
      <c r="O282" s="16" t="str">
        <f>ifna(VLOOKUP(A282,ConstantsUnits!A:A,1,false),"")</f>
        <v>proton-tau mass ratio</v>
      </c>
    </row>
    <row r="283">
      <c r="A283" s="1" t="s">
        <v>979</v>
      </c>
      <c r="B283" s="1" t="s">
        <v>2169</v>
      </c>
      <c r="C283" s="1" t="s">
        <v>2170</v>
      </c>
      <c r="D283" s="1" t="s">
        <v>980</v>
      </c>
      <c r="F283" s="16" t="str">
        <f>ifna(VLOOKUP($A283,ConstantsUnits!$A:$C,3,false),"")</f>
        <v>QuantumOfCirculation</v>
      </c>
      <c r="G283" s="17" t="str">
        <f t="shared" si="1"/>
        <v>3.6369475486e-4</v>
      </c>
      <c r="H283" s="17">
        <f t="shared" si="2"/>
        <v>0.0003636947549</v>
      </c>
      <c r="I283" s="17" t="str">
        <f t="shared" si="3"/>
        <v>0.0000000017e-4</v>
      </c>
      <c r="J283" s="17">
        <f t="shared" si="4"/>
        <v>0</v>
      </c>
      <c r="K283" s="17" t="b">
        <f t="shared" si="5"/>
        <v>0</v>
      </c>
      <c r="L283" s="16" t="str">
        <f>IFERROR(__xludf.DUMMYFUNCTION("if(regexmatch(B283,""e(.*)$""),regexextract(B283,""e(.*)$""),"""")"),"-4")</f>
        <v>-4</v>
      </c>
      <c r="M283" s="18"/>
      <c r="N283" s="18">
        <f>countif(ConstantsUnits!C:C,F283)</f>
        <v>1</v>
      </c>
      <c r="O283" s="16" t="str">
        <f>ifna(VLOOKUP(A283,ConstantsUnits!A:A,1,false),"")</f>
        <v>quantum of circulation</v>
      </c>
    </row>
    <row r="284">
      <c r="A284" s="1" t="s">
        <v>984</v>
      </c>
      <c r="B284" s="1" t="s">
        <v>2171</v>
      </c>
      <c r="C284" s="1" t="s">
        <v>2172</v>
      </c>
      <c r="D284" s="1" t="s">
        <v>980</v>
      </c>
      <c r="F284" s="16" t="str">
        <f>ifna(VLOOKUP($A284,ConstantsUnits!$A:$C,3,false),"")</f>
        <v>QuantumOfCirculationTimes2</v>
      </c>
      <c r="G284" s="17" t="str">
        <f t="shared" si="1"/>
        <v>7.2738950972e-4</v>
      </c>
      <c r="H284" s="17">
        <f t="shared" si="2"/>
        <v>0.0007273895097</v>
      </c>
      <c r="I284" s="17" t="str">
        <f t="shared" si="3"/>
        <v>0.0000000033e-4</v>
      </c>
      <c r="J284" s="17">
        <f t="shared" si="4"/>
        <v>0</v>
      </c>
      <c r="K284" s="17" t="b">
        <f t="shared" si="5"/>
        <v>0</v>
      </c>
      <c r="L284" s="16" t="str">
        <f>IFERROR(__xludf.DUMMYFUNCTION("if(regexmatch(B284,""e(.*)$""),regexextract(B284,""e(.*)$""),"""")"),"-4")</f>
        <v>-4</v>
      </c>
      <c r="M284" s="18"/>
      <c r="N284" s="18">
        <f>countif(ConstantsUnits!C:C,F284)</f>
        <v>1</v>
      </c>
      <c r="O284" s="16" t="str">
        <f>ifna(VLOOKUP(A284,ConstantsUnits!A:A,1,false),"")</f>
        <v>quantum of circulation times 2</v>
      </c>
    </row>
    <row r="285">
      <c r="A285" s="1" t="s">
        <v>1005</v>
      </c>
      <c r="B285" s="1" t="s">
        <v>2173</v>
      </c>
      <c r="C285" s="1" t="s">
        <v>2174</v>
      </c>
      <c r="D285" s="1" t="s">
        <v>83</v>
      </c>
      <c r="F285" s="16" t="str">
        <f>ifna(VLOOKUP($A285,ConstantsUnits!$A:$C,3,false),"")</f>
        <v>RydbergConstant</v>
      </c>
      <c r="G285" s="17" t="str">
        <f t="shared" si="1"/>
        <v>10973731.568508</v>
      </c>
      <c r="H285" s="17">
        <f t="shared" si="2"/>
        <v>10973731.57</v>
      </c>
      <c r="I285" s="17" t="str">
        <f t="shared" si="3"/>
        <v>0.000065</v>
      </c>
      <c r="J285" s="17">
        <f t="shared" si="4"/>
        <v>0.000065</v>
      </c>
      <c r="K285" s="17" t="b">
        <f t="shared" si="5"/>
        <v>0</v>
      </c>
      <c r="L285" s="16" t="str">
        <f>IFERROR(__xludf.DUMMYFUNCTION("if(regexmatch(B285,""e(.*)$""),regexextract(B285,""e(.*)$""),"""")"),"")</f>
        <v/>
      </c>
      <c r="M285" s="18"/>
      <c r="N285" s="18">
        <f>countif(ConstantsUnits!C:C,F285)</f>
        <v>1</v>
      </c>
      <c r="O285" s="16" t="str">
        <f>ifna(VLOOKUP(A285,ConstantsUnits!A:A,1,false),"")</f>
        <v>Rydberg constant</v>
      </c>
    </row>
    <row r="286">
      <c r="A286" s="1" t="s">
        <v>1008</v>
      </c>
      <c r="B286" s="1" t="s">
        <v>2175</v>
      </c>
      <c r="C286" s="1" t="s">
        <v>2176</v>
      </c>
      <c r="D286" s="1" t="s">
        <v>79</v>
      </c>
      <c r="F286" s="16" t="str">
        <f>ifna(VLOOKUP($A286,ConstantsUnits!$A:$C,3,false),"")</f>
        <v>RydbergConstantTimesCInHz</v>
      </c>
      <c r="G286" s="17" t="str">
        <f t="shared" si="1"/>
        <v>3.289841960355e15</v>
      </c>
      <c r="H286" s="17">
        <f t="shared" si="2"/>
        <v>3.28984E+15</v>
      </c>
      <c r="I286" s="17" t="str">
        <f t="shared" si="3"/>
        <v>0.000000000019e15</v>
      </c>
      <c r="J286" s="17">
        <f t="shared" si="4"/>
        <v>19000</v>
      </c>
      <c r="K286" s="17" t="b">
        <f t="shared" si="5"/>
        <v>0</v>
      </c>
      <c r="L286" s="16" t="str">
        <f>IFERROR(__xludf.DUMMYFUNCTION("if(regexmatch(B286,""e(.*)$""),regexextract(B286,""e(.*)$""),"""")"),"15")</f>
        <v>15</v>
      </c>
      <c r="M286" s="18"/>
      <c r="N286" s="18">
        <f>countif(ConstantsUnits!C:C,F286)</f>
        <v>1</v>
      </c>
      <c r="O286" s="16" t="str">
        <f>ifna(VLOOKUP(A286,ConstantsUnits!A:A,1,false),"")</f>
        <v>Rydberg constant times c in Hz</v>
      </c>
    </row>
    <row r="287">
      <c r="A287" s="1" t="s">
        <v>1010</v>
      </c>
      <c r="B287" s="1" t="s">
        <v>2177</v>
      </c>
      <c r="C287" s="1" t="s">
        <v>2178</v>
      </c>
      <c r="D287" s="1" t="s">
        <v>70</v>
      </c>
      <c r="F287" s="16" t="str">
        <f>ifna(VLOOKUP($A287,ConstantsUnits!$A:$C,3,false),"")</f>
        <v>RydbergConstantTimesHcInEV</v>
      </c>
      <c r="G287" s="17" t="str">
        <f t="shared" si="1"/>
        <v>13.605693009</v>
      </c>
      <c r="H287" s="17">
        <f t="shared" si="2"/>
        <v>13.60569301</v>
      </c>
      <c r="I287" s="17" t="str">
        <f t="shared" si="3"/>
        <v>0.000000084</v>
      </c>
      <c r="J287" s="17">
        <f t="shared" si="4"/>
        <v>0.000000084</v>
      </c>
      <c r="K287" s="17" t="b">
        <f t="shared" si="5"/>
        <v>0</v>
      </c>
      <c r="L287" s="16" t="str">
        <f>IFERROR(__xludf.DUMMYFUNCTION("if(regexmatch(B287,""e(.*)$""),regexextract(B287,""e(.*)$""),"""")"),"")</f>
        <v/>
      </c>
      <c r="M287" s="18"/>
      <c r="N287" s="18">
        <f>countif(ConstantsUnits!C:C,F287)</f>
        <v>1</v>
      </c>
      <c r="O287" s="16" t="str">
        <f>ifna(VLOOKUP(A287,ConstantsUnits!A:A,1,false),"")</f>
        <v>Rydberg constant times hc in eV</v>
      </c>
    </row>
    <row r="288">
      <c r="A288" s="1" t="s">
        <v>1012</v>
      </c>
      <c r="B288" s="1" t="s">
        <v>2179</v>
      </c>
      <c r="C288" s="1" t="s">
        <v>2180</v>
      </c>
      <c r="D288" s="1" t="s">
        <v>41</v>
      </c>
      <c r="F288" s="16" t="str">
        <f>ifna(VLOOKUP($A288,ConstantsUnits!$A:$C,3,false),"")</f>
        <v>RydbergConstantTimesHcInJ</v>
      </c>
      <c r="G288" s="17" t="str">
        <f t="shared" si="1"/>
        <v>2.179872325e-18</v>
      </c>
      <c r="H288" s="17">
        <f t="shared" si="2"/>
        <v>0</v>
      </c>
      <c r="I288" s="17" t="str">
        <f t="shared" si="3"/>
        <v>0.000000027e-18</v>
      </c>
      <c r="J288" s="17">
        <f t="shared" si="4"/>
        <v>0</v>
      </c>
      <c r="K288" s="17" t="b">
        <f t="shared" si="5"/>
        <v>0</v>
      </c>
      <c r="L288" s="16" t="str">
        <f>IFERROR(__xludf.DUMMYFUNCTION("if(regexmatch(B288,""e(.*)$""),regexextract(B288,""e(.*)$""),"""")"),"-18")</f>
        <v>-18</v>
      </c>
      <c r="M288" s="18"/>
      <c r="N288" s="18">
        <f>countif(ConstantsUnits!C:C,F288)</f>
        <v>1</v>
      </c>
      <c r="O288" s="16" t="str">
        <f>ifna(VLOOKUP(A288,ConstantsUnits!A:A,1,false),"")</f>
        <v>Rydberg constant times hc in J</v>
      </c>
    </row>
    <row r="289">
      <c r="A289" s="1" t="s">
        <v>1014</v>
      </c>
      <c r="B289" s="1" t="s">
        <v>2181</v>
      </c>
      <c r="C289" s="1" t="s">
        <v>2182</v>
      </c>
      <c r="F289" s="16" t="str">
        <f>ifna(VLOOKUP($A289,ConstantsUnits!$A:$C,3,false),"")</f>
        <v>SackurTetrodeConstant1K100KPa</v>
      </c>
      <c r="G289" s="17" t="str">
        <f t="shared" si="1"/>
        <v>-1.1517084</v>
      </c>
      <c r="H289" s="17">
        <f t="shared" si="2"/>
        <v>-1.1517084</v>
      </c>
      <c r="I289" s="17" t="str">
        <f t="shared" si="3"/>
        <v>0.0000014</v>
      </c>
      <c r="J289" s="17">
        <f t="shared" si="4"/>
        <v>0.0000014</v>
      </c>
      <c r="K289" s="17" t="b">
        <f t="shared" si="5"/>
        <v>0</v>
      </c>
      <c r="L289" s="16" t="str">
        <f>IFERROR(__xludf.DUMMYFUNCTION("if(regexmatch(B289,""e(.*)$""),regexextract(B289,""e(.*)$""),"""")"),"")</f>
        <v/>
      </c>
      <c r="M289" s="18"/>
      <c r="N289" s="18">
        <f>countif(ConstantsUnits!C:C,F289)</f>
        <v>1</v>
      </c>
      <c r="O289" s="16" t="str">
        <f>ifna(VLOOKUP(A289,ConstantsUnits!A:A,1,false),"")</f>
        <v>Sackur-Tetrode constant (1 K, 100 kPa)</v>
      </c>
    </row>
    <row r="290">
      <c r="A290" s="1" t="s">
        <v>1017</v>
      </c>
      <c r="B290" s="1" t="s">
        <v>2183</v>
      </c>
      <c r="C290" s="1" t="s">
        <v>2182</v>
      </c>
      <c r="F290" s="16" t="str">
        <f>ifna(VLOOKUP($A290,ConstantsUnits!$A:$C,3,false),"")</f>
        <v>SackurTetrodeConstant1K101KPa</v>
      </c>
      <c r="G290" s="17" t="str">
        <f t="shared" si="1"/>
        <v>-1.1648714</v>
      </c>
      <c r="H290" s="17">
        <f t="shared" si="2"/>
        <v>-1.1648714</v>
      </c>
      <c r="I290" s="17" t="str">
        <f t="shared" si="3"/>
        <v>0.0000014</v>
      </c>
      <c r="J290" s="17">
        <f t="shared" si="4"/>
        <v>0.0000014</v>
      </c>
      <c r="K290" s="17" t="b">
        <f t="shared" si="5"/>
        <v>0</v>
      </c>
      <c r="L290" s="16" t="str">
        <f>IFERROR(__xludf.DUMMYFUNCTION("if(regexmatch(B290,""e(.*)$""),regexextract(B290,""e(.*)$""),"""")"),"")</f>
        <v/>
      </c>
      <c r="M290" s="18"/>
      <c r="N290" s="18">
        <f>countif(ConstantsUnits!C:C,F290)</f>
        <v>1</v>
      </c>
      <c r="O290" s="16" t="str">
        <f>ifna(VLOOKUP(A290,ConstantsUnits!A:A,1,false),"")</f>
        <v>Sackur-Tetrode constant (1 K, 101.325 kPa)</v>
      </c>
    </row>
    <row r="291">
      <c r="A291" s="1" t="s">
        <v>1019</v>
      </c>
      <c r="B291" s="1" t="s">
        <v>1971</v>
      </c>
      <c r="C291" s="1" t="s">
        <v>1972</v>
      </c>
      <c r="D291" s="1" t="s">
        <v>1020</v>
      </c>
      <c r="F291" s="16" t="str">
        <f>ifna(VLOOKUP($A291,ConstantsUnits!$A:$C,3,false),"")</f>
        <v>SecondRadiationConstant</v>
      </c>
      <c r="G291" s="17" t="str">
        <f t="shared" si="1"/>
        <v>1.43877736e-2</v>
      </c>
      <c r="H291" s="17">
        <f t="shared" si="2"/>
        <v>0.0143877736</v>
      </c>
      <c r="I291" s="17" t="str">
        <f t="shared" si="3"/>
        <v>0.00000083e-2</v>
      </c>
      <c r="J291" s="17">
        <f t="shared" si="4"/>
        <v>0.0000000083</v>
      </c>
      <c r="K291" s="17" t="b">
        <f t="shared" si="5"/>
        <v>0</v>
      </c>
      <c r="L291" s="16" t="str">
        <f>IFERROR(__xludf.DUMMYFUNCTION("if(regexmatch(B291,""e(.*)$""),regexextract(B291,""e(.*)$""),"""")"),"-2")</f>
        <v>-2</v>
      </c>
      <c r="M291" s="18"/>
      <c r="N291" s="18">
        <f>countif(ConstantsUnits!C:C,F291)</f>
        <v>1</v>
      </c>
      <c r="O291" s="16" t="str">
        <f>ifna(VLOOKUP(A291,ConstantsUnits!A:A,1,false),"")</f>
        <v>second radiation constant</v>
      </c>
    </row>
    <row r="292">
      <c r="A292" s="1" t="s">
        <v>1024</v>
      </c>
      <c r="B292" s="1" t="s">
        <v>2184</v>
      </c>
      <c r="C292" s="1" t="s">
        <v>2185</v>
      </c>
      <c r="D292" s="1" t="s">
        <v>361</v>
      </c>
      <c r="F292" s="16" t="str">
        <f>ifna(VLOOKUP($A292,ConstantsUnits!$A:$C,3,false),"")</f>
        <v>ShieldedHelionGyromagneticRatio</v>
      </c>
      <c r="G292" s="17" t="str">
        <f t="shared" si="1"/>
        <v>2.037894585e8</v>
      </c>
      <c r="H292" s="17">
        <f t="shared" si="2"/>
        <v>203789458.5</v>
      </c>
      <c r="I292" s="17" t="str">
        <f t="shared" si="3"/>
        <v>0.000000027e8</v>
      </c>
      <c r="J292" s="17">
        <f t="shared" si="4"/>
        <v>2.7</v>
      </c>
      <c r="K292" s="17" t="b">
        <f t="shared" si="5"/>
        <v>0</v>
      </c>
      <c r="L292" s="16" t="str">
        <f>IFERROR(__xludf.DUMMYFUNCTION("if(regexmatch(B292,""e(.*)$""),regexextract(B292,""e(.*)$""),"""")"),"8")</f>
        <v>8</v>
      </c>
      <c r="M292" s="18"/>
      <c r="N292" s="18">
        <f>countif(ConstantsUnits!C:C,F292)</f>
        <v>1</v>
      </c>
      <c r="O292" s="16" t="str">
        <f>ifna(VLOOKUP(A292,ConstantsUnits!A:A,1,false),"")</f>
        <v>shielded helion gyromag. ratio</v>
      </c>
    </row>
    <row r="293">
      <c r="A293" s="1" t="s">
        <v>2186</v>
      </c>
      <c r="B293" s="1" t="s">
        <v>2187</v>
      </c>
      <c r="C293" s="1" t="s">
        <v>2188</v>
      </c>
      <c r="D293" s="1" t="s">
        <v>367</v>
      </c>
      <c r="F293" s="3" t="s">
        <v>2189</v>
      </c>
      <c r="G293" s="17" t="str">
        <f t="shared" si="1"/>
        <v>32.43409966</v>
      </c>
      <c r="H293" s="17">
        <f t="shared" si="2"/>
        <v>32.43409966</v>
      </c>
      <c r="I293" s="17" t="str">
        <f t="shared" si="3"/>
        <v>0.00000043</v>
      </c>
      <c r="J293" s="17">
        <f t="shared" si="4"/>
        <v>0.00000043</v>
      </c>
      <c r="K293" s="17" t="b">
        <f t="shared" si="5"/>
        <v>0</v>
      </c>
      <c r="L293" s="16" t="str">
        <f>IFERROR(__xludf.DUMMYFUNCTION("if(regexmatch(B293,""e(.*)$""),regexextract(B293,""e(.*)$""),"""")"),"")</f>
        <v/>
      </c>
      <c r="M293" s="18"/>
      <c r="N293" s="18">
        <f>countif(ConstantsUnits!C:C,F293)</f>
        <v>1</v>
      </c>
      <c r="O293" s="16" t="str">
        <f>ifna(VLOOKUP(A293,ConstantsUnits!A:A,1,false),"")</f>
        <v/>
      </c>
    </row>
    <row r="294">
      <c r="A294" s="1" t="s">
        <v>1030</v>
      </c>
      <c r="B294" s="1" t="s">
        <v>2190</v>
      </c>
      <c r="C294" s="1" t="s">
        <v>1936</v>
      </c>
      <c r="D294" s="1" t="s">
        <v>165</v>
      </c>
      <c r="F294" s="16" t="str">
        <f>ifna(VLOOKUP($A294,ConstantsUnits!$A:$C,3,false),"")</f>
        <v>ShieldedHelionMagneticMoment</v>
      </c>
      <c r="G294" s="17" t="str">
        <f t="shared" si="1"/>
        <v>-1.074553080e-26</v>
      </c>
      <c r="H294" s="17">
        <f t="shared" si="2"/>
        <v>0</v>
      </c>
      <c r="I294" s="17" t="str">
        <f t="shared" si="3"/>
        <v>0.000000014e-26</v>
      </c>
      <c r="J294" s="17">
        <f t="shared" si="4"/>
        <v>0</v>
      </c>
      <c r="K294" s="17" t="b">
        <f t="shared" si="5"/>
        <v>0</v>
      </c>
      <c r="L294" s="16" t="str">
        <f>IFERROR(__xludf.DUMMYFUNCTION("if(regexmatch(B294,""e(.*)$""),regexextract(B294,""e(.*)$""),"""")"),"-26")</f>
        <v>-26</v>
      </c>
      <c r="M294" s="18"/>
      <c r="N294" s="18">
        <f>countif(ConstantsUnits!C:C,F294)</f>
        <v>1</v>
      </c>
      <c r="O294" s="16" t="str">
        <f>ifna(VLOOKUP(A294,ConstantsUnits!A:A,1,false),"")</f>
        <v>shielded helion mag. mom.</v>
      </c>
    </row>
    <row r="295">
      <c r="A295" s="1" t="s">
        <v>1033</v>
      </c>
      <c r="B295" s="1" t="s">
        <v>1655</v>
      </c>
      <c r="C295" s="1" t="s">
        <v>1411</v>
      </c>
      <c r="F295" s="16" t="str">
        <f>ifna(VLOOKUP($A295,ConstantsUnits!$A:$C,3,false),"")</f>
        <v>ShieldedHelionMagneticMomentToBohrMagnetonRatio</v>
      </c>
      <c r="G295" s="17" t="str">
        <f t="shared" si="1"/>
        <v>-1.158671471e-3</v>
      </c>
      <c r="H295" s="17">
        <f t="shared" si="2"/>
        <v>-0.001158671471</v>
      </c>
      <c r="I295" s="17" t="str">
        <f t="shared" si="3"/>
        <v>0.000000014e-3</v>
      </c>
      <c r="J295" s="17">
        <f t="shared" si="4"/>
        <v>0</v>
      </c>
      <c r="K295" s="17" t="b">
        <f t="shared" si="5"/>
        <v>0</v>
      </c>
      <c r="L295" s="16" t="str">
        <f>IFERROR(__xludf.DUMMYFUNCTION("if(regexmatch(B295,""e(.*)$""),regexextract(B295,""e(.*)$""),"""")"),"-3")</f>
        <v>-3</v>
      </c>
      <c r="M295" s="18"/>
      <c r="N295" s="18">
        <f>countif(ConstantsUnits!C:C,F295)</f>
        <v>1</v>
      </c>
      <c r="O295" s="16" t="str">
        <f>ifna(VLOOKUP(A295,ConstantsUnits!A:A,1,false),"")</f>
        <v>shielded helion mag. mom. to Bohr magneton ratio</v>
      </c>
    </row>
    <row r="296">
      <c r="A296" s="1" t="s">
        <v>1036</v>
      </c>
      <c r="B296" s="1" t="s">
        <v>2191</v>
      </c>
      <c r="C296" s="1" t="s">
        <v>1413</v>
      </c>
      <c r="F296" s="16" t="str">
        <f>ifna(VLOOKUP($A296,ConstantsUnits!$A:$C,3,false),"")</f>
        <v>ShieldedHelionMagneticMomentToNuclearMagnetonRatio</v>
      </c>
      <c r="G296" s="17" t="str">
        <f t="shared" si="1"/>
        <v>-2.127497720</v>
      </c>
      <c r="H296" s="17">
        <f t="shared" si="2"/>
        <v>-2.12749772</v>
      </c>
      <c r="I296" s="17" t="str">
        <f t="shared" si="3"/>
        <v>0.000000025</v>
      </c>
      <c r="J296" s="17">
        <f t="shared" si="4"/>
        <v>0.000000025</v>
      </c>
      <c r="K296" s="17" t="b">
        <f t="shared" si="5"/>
        <v>0</v>
      </c>
      <c r="L296" s="16" t="str">
        <f>IFERROR(__xludf.DUMMYFUNCTION("if(regexmatch(B296,""e(.*)$""),regexextract(B296,""e(.*)$""),"""")"),"")</f>
        <v/>
      </c>
      <c r="M296" s="18"/>
      <c r="N296" s="18">
        <f>countif(ConstantsUnits!C:C,F296)</f>
        <v>1</v>
      </c>
      <c r="O296" s="16" t="str">
        <f>ifna(VLOOKUP(A296,ConstantsUnits!A:A,1,false),"")</f>
        <v>shielded helion mag. mom. to nuclear magneton ratio</v>
      </c>
    </row>
    <row r="297">
      <c r="A297" s="1" t="s">
        <v>1039</v>
      </c>
      <c r="B297" s="1" t="s">
        <v>2192</v>
      </c>
      <c r="C297" s="1" t="s">
        <v>2193</v>
      </c>
      <c r="F297" s="16" t="str">
        <f>ifna(VLOOKUP($A297,ConstantsUnits!$A:$C,3,false),"")</f>
        <v>ShieldedHelionToProtonMagneticMomentRatio</v>
      </c>
      <c r="G297" s="17" t="str">
        <f t="shared" si="1"/>
        <v>-0.7617665603</v>
      </c>
      <c r="H297" s="17">
        <f t="shared" si="2"/>
        <v>-0.7617665603</v>
      </c>
      <c r="I297" s="17" t="str">
        <f t="shared" si="3"/>
        <v>0.0000000092</v>
      </c>
      <c r="J297" s="17">
        <f t="shared" si="4"/>
        <v>0.0000000092</v>
      </c>
      <c r="K297" s="17" t="b">
        <f t="shared" si="5"/>
        <v>0</v>
      </c>
      <c r="L297" s="16" t="str">
        <f>IFERROR(__xludf.DUMMYFUNCTION("if(regexmatch(B297,""e(.*)$""),regexextract(B297,""e(.*)$""),"""")"),"")</f>
        <v/>
      </c>
      <c r="M297" s="18"/>
      <c r="N297" s="18">
        <f>countif(ConstantsUnits!C:C,F297)</f>
        <v>1</v>
      </c>
      <c r="O297" s="16" t="str">
        <f>ifna(VLOOKUP(A297,ConstantsUnits!A:A,1,false),"")</f>
        <v>shielded helion to proton mag. mom. ratio</v>
      </c>
    </row>
    <row r="298">
      <c r="A298" s="1" t="s">
        <v>1042</v>
      </c>
      <c r="B298" s="1" t="s">
        <v>1659</v>
      </c>
      <c r="C298" s="1" t="s">
        <v>1660</v>
      </c>
      <c r="F298" s="16" t="str">
        <f>ifna(VLOOKUP($A298,ConstantsUnits!$A:$C,3,false),"")</f>
        <v>ShieldedHelionToShieldedProtonMagneticMomentRatio</v>
      </c>
      <c r="G298" s="17" t="str">
        <f t="shared" si="1"/>
        <v>-0.7617861313</v>
      </c>
      <c r="H298" s="17">
        <f t="shared" si="2"/>
        <v>-0.7617861313</v>
      </c>
      <c r="I298" s="17" t="str">
        <f t="shared" si="3"/>
        <v>0.0000000033</v>
      </c>
      <c r="J298" s="17">
        <f t="shared" si="4"/>
        <v>0.0000000033</v>
      </c>
      <c r="K298" s="17" t="b">
        <f t="shared" si="5"/>
        <v>0</v>
      </c>
      <c r="L298" s="16" t="str">
        <f>IFERROR(__xludf.DUMMYFUNCTION("if(regexmatch(B298,""e(.*)$""),regexextract(B298,""e(.*)$""),"""")"),"")</f>
        <v/>
      </c>
      <c r="M298" s="18"/>
      <c r="N298" s="18">
        <f>countif(ConstantsUnits!C:C,F298)</f>
        <v>1</v>
      </c>
      <c r="O298" s="16" t="str">
        <f>ifna(VLOOKUP(A298,ConstantsUnits!A:A,1,false),"")</f>
        <v>shielded helion to shielded proton mag. mom. ratio</v>
      </c>
    </row>
    <row r="299">
      <c r="A299" s="1" t="s">
        <v>1045</v>
      </c>
      <c r="B299" s="1" t="s">
        <v>2194</v>
      </c>
      <c r="C299" s="1" t="s">
        <v>2195</v>
      </c>
      <c r="D299" s="1" t="s">
        <v>361</v>
      </c>
      <c r="F299" s="16" t="str">
        <f>ifna(VLOOKUP($A299,ConstantsUnits!$A:$C,3,false),"")</f>
        <v>ShieldedProtonGyromagneticRatio</v>
      </c>
      <c r="G299" s="17" t="str">
        <f t="shared" si="1"/>
        <v>2.675153171e8</v>
      </c>
      <c r="H299" s="17">
        <f t="shared" si="2"/>
        <v>267515317.1</v>
      </c>
      <c r="I299" s="17" t="str">
        <f t="shared" si="3"/>
        <v>0.000000033e8</v>
      </c>
      <c r="J299" s="17">
        <f t="shared" si="4"/>
        <v>3.3</v>
      </c>
      <c r="K299" s="17" t="b">
        <f t="shared" si="5"/>
        <v>0</v>
      </c>
      <c r="L299" s="16" t="str">
        <f>IFERROR(__xludf.DUMMYFUNCTION("if(regexmatch(B299,""e(.*)$""),regexextract(B299,""e(.*)$""),"""")"),"8")</f>
        <v>8</v>
      </c>
      <c r="M299" s="18"/>
      <c r="N299" s="18">
        <f>countif(ConstantsUnits!C:C,F299)</f>
        <v>1</v>
      </c>
      <c r="O299" s="16" t="str">
        <f>ifna(VLOOKUP(A299,ConstantsUnits!A:A,1,false),"")</f>
        <v>shielded proton gyromag. ratio</v>
      </c>
    </row>
    <row r="300">
      <c r="A300" s="1" t="s">
        <v>2196</v>
      </c>
      <c r="B300" s="1" t="s">
        <v>2197</v>
      </c>
      <c r="C300" s="1" t="s">
        <v>2198</v>
      </c>
      <c r="D300" s="1" t="s">
        <v>367</v>
      </c>
      <c r="F300" s="3" t="s">
        <v>2199</v>
      </c>
      <c r="G300" s="17" t="str">
        <f t="shared" si="1"/>
        <v>42.57638507</v>
      </c>
      <c r="H300" s="17">
        <f t="shared" si="2"/>
        <v>42.57638507</v>
      </c>
      <c r="I300" s="17" t="str">
        <f t="shared" si="3"/>
        <v>0.00000053</v>
      </c>
      <c r="J300" s="17">
        <f t="shared" si="4"/>
        <v>0.00000053</v>
      </c>
      <c r="K300" s="17" t="b">
        <f t="shared" si="5"/>
        <v>0</v>
      </c>
      <c r="L300" s="16" t="str">
        <f>IFERROR(__xludf.DUMMYFUNCTION("if(regexmatch(B300,""e(.*)$""),regexextract(B300,""e(.*)$""),"""")"),"")</f>
        <v/>
      </c>
      <c r="M300" s="18"/>
      <c r="N300" s="18">
        <f>countif(ConstantsUnits!C:C,F300)</f>
        <v>1</v>
      </c>
      <c r="O300" s="16" t="str">
        <f>ifna(VLOOKUP(A300,ConstantsUnits!A:A,1,false),"")</f>
        <v/>
      </c>
    </row>
    <row r="301">
      <c r="A301" s="1" t="s">
        <v>1050</v>
      </c>
      <c r="B301" s="1" t="s">
        <v>2200</v>
      </c>
      <c r="C301" s="1" t="s">
        <v>2201</v>
      </c>
      <c r="D301" s="1" t="s">
        <v>165</v>
      </c>
      <c r="F301" s="16" t="str">
        <f>ifna(VLOOKUP($A301,ConstantsUnits!$A:$C,3,false),"")</f>
        <v>ShieldedProtonMagneticMoment</v>
      </c>
      <c r="G301" s="17" t="str">
        <f t="shared" si="1"/>
        <v>1.410570547e-26</v>
      </c>
      <c r="H301" s="17">
        <f t="shared" si="2"/>
        <v>0</v>
      </c>
      <c r="I301" s="17" t="str">
        <f t="shared" si="3"/>
        <v>0.000000018e-26</v>
      </c>
      <c r="J301" s="17">
        <f t="shared" si="4"/>
        <v>0</v>
      </c>
      <c r="K301" s="17" t="b">
        <f t="shared" si="5"/>
        <v>0</v>
      </c>
      <c r="L301" s="16" t="str">
        <f>IFERROR(__xludf.DUMMYFUNCTION("if(regexmatch(B301,""e(.*)$""),regexextract(B301,""e(.*)$""),"""")"),"-26")</f>
        <v>-26</v>
      </c>
      <c r="M301" s="18"/>
      <c r="N301" s="18">
        <f>countif(ConstantsUnits!C:C,F301)</f>
        <v>1</v>
      </c>
      <c r="O301" s="16" t="str">
        <f>ifna(VLOOKUP(A301,ConstantsUnits!A:A,1,false),"")</f>
        <v>shielded proton mag. mom.</v>
      </c>
    </row>
    <row r="302">
      <c r="A302" s="1" t="s">
        <v>1053</v>
      </c>
      <c r="B302" s="1" t="s">
        <v>1666</v>
      </c>
      <c r="C302" s="1" t="s">
        <v>1667</v>
      </c>
      <c r="F302" s="16" t="str">
        <f>ifna(VLOOKUP($A302,ConstantsUnits!$A:$C,3,false),"")</f>
        <v>ShieldedProtonMagneticMomentToBohrMagnetonRatio</v>
      </c>
      <c r="G302" s="17" t="str">
        <f t="shared" si="1"/>
        <v>1.520993128e-3</v>
      </c>
      <c r="H302" s="17">
        <f t="shared" si="2"/>
        <v>0.001520993128</v>
      </c>
      <c r="I302" s="17" t="str">
        <f t="shared" si="3"/>
        <v>0.000000017e-3</v>
      </c>
      <c r="J302" s="17">
        <f t="shared" si="4"/>
        <v>0</v>
      </c>
      <c r="K302" s="17" t="b">
        <f t="shared" si="5"/>
        <v>0</v>
      </c>
      <c r="L302" s="16" t="str">
        <f>IFERROR(__xludf.DUMMYFUNCTION("if(regexmatch(B302,""e(.*)$""),regexextract(B302,""e(.*)$""),"""")"),"-3")</f>
        <v>-3</v>
      </c>
      <c r="M302" s="18"/>
      <c r="N302" s="18">
        <f>countif(ConstantsUnits!C:C,F302)</f>
        <v>1</v>
      </c>
      <c r="O302" s="16" t="str">
        <f>ifna(VLOOKUP(A302,ConstantsUnits!A:A,1,false),"")</f>
        <v>shielded proton mag. mom. to Bohr magneton ratio</v>
      </c>
    </row>
    <row r="303">
      <c r="A303" s="1" t="s">
        <v>1056</v>
      </c>
      <c r="B303" s="1" t="s">
        <v>2202</v>
      </c>
      <c r="C303" s="1" t="s">
        <v>1669</v>
      </c>
      <c r="F303" s="16" t="str">
        <f>ifna(VLOOKUP($A303,ConstantsUnits!$A:$C,3,false),"")</f>
        <v>ShieldedProtonMagneticMomentToNuclearMagnetonRatio</v>
      </c>
      <c r="G303" s="17" t="str">
        <f t="shared" si="1"/>
        <v>2.792775600</v>
      </c>
      <c r="H303" s="17">
        <f t="shared" si="2"/>
        <v>2.7927756</v>
      </c>
      <c r="I303" s="17" t="str">
        <f t="shared" si="3"/>
        <v>0.000000030</v>
      </c>
      <c r="J303" s="17">
        <f t="shared" si="4"/>
        <v>0.00000003</v>
      </c>
      <c r="K303" s="17" t="b">
        <f t="shared" si="5"/>
        <v>0</v>
      </c>
      <c r="L303" s="16" t="str">
        <f>IFERROR(__xludf.DUMMYFUNCTION("if(regexmatch(B303,""e(.*)$""),regexextract(B303,""e(.*)$""),"""")"),"")</f>
        <v/>
      </c>
      <c r="M303" s="18"/>
      <c r="N303" s="18">
        <f>countif(ConstantsUnits!C:C,F303)</f>
        <v>1</v>
      </c>
      <c r="O303" s="16" t="str">
        <f>ifna(VLOOKUP(A303,ConstantsUnits!A:A,1,false),"")</f>
        <v>shielded proton mag. mom. to nuclear magneton ratio</v>
      </c>
    </row>
    <row r="304">
      <c r="A304" s="1" t="s">
        <v>1063</v>
      </c>
      <c r="B304" s="1" t="s">
        <v>1445</v>
      </c>
      <c r="C304" s="1" t="s">
        <v>1232</v>
      </c>
      <c r="D304" s="1" t="s">
        <v>196</v>
      </c>
      <c r="F304" s="16" t="str">
        <f>ifna(VLOOKUP($A304,ConstantsUnits!$A:$C,3,false),"")</f>
        <v>SpeedOfLight_Vacuum</v>
      </c>
      <c r="G304" s="17" t="str">
        <f t="shared" si="1"/>
        <v>299792458</v>
      </c>
      <c r="H304" s="17">
        <f t="shared" si="2"/>
        <v>299792458</v>
      </c>
      <c r="I304" s="17" t="str">
        <f t="shared" si="3"/>
        <v>(exact)</v>
      </c>
      <c r="J304" s="17" t="str">
        <f t="shared" si="4"/>
        <v/>
      </c>
      <c r="K304" s="17" t="b">
        <f t="shared" si="5"/>
        <v>0</v>
      </c>
      <c r="L304" s="16" t="str">
        <f>IFERROR(__xludf.DUMMYFUNCTION("if(regexmatch(B304,""e(.*)$""),regexextract(B304,""e(.*)$""),"""")"),"")</f>
        <v/>
      </c>
      <c r="M304" s="18"/>
      <c r="N304" s="18">
        <f>countif(ConstantsUnits!C:C,F304)</f>
        <v>1</v>
      </c>
      <c r="O304" s="16" t="str">
        <f>ifna(VLOOKUP(A304,ConstantsUnits!A:A,1,false),"")</f>
        <v>speed of light in vacuum</v>
      </c>
    </row>
    <row r="305">
      <c r="A305" s="1" t="s">
        <v>1067</v>
      </c>
      <c r="B305" s="1" t="s">
        <v>1673</v>
      </c>
      <c r="C305" s="1" t="s">
        <v>1232</v>
      </c>
      <c r="D305" s="1" t="s">
        <v>1068</v>
      </c>
      <c r="F305" s="16" t="str">
        <f>ifna(VLOOKUP($A305,ConstantsUnits!$A:$C,3,false),"")</f>
        <v>StandardAccelerationOfGravity</v>
      </c>
      <c r="G305" s="17" t="str">
        <f t="shared" si="1"/>
        <v>9.80665</v>
      </c>
      <c r="H305" s="17">
        <f t="shared" si="2"/>
        <v>9.80665</v>
      </c>
      <c r="I305" s="17" t="str">
        <f t="shared" si="3"/>
        <v>(exact)</v>
      </c>
      <c r="J305" s="17" t="str">
        <f t="shared" si="4"/>
        <v/>
      </c>
      <c r="K305" s="17" t="b">
        <f t="shared" si="5"/>
        <v>0</v>
      </c>
      <c r="L305" s="16" t="str">
        <f>IFERROR(__xludf.DUMMYFUNCTION("if(regexmatch(B305,""e(.*)$""),regexextract(B305,""e(.*)$""),"""")"),"")</f>
        <v/>
      </c>
      <c r="M305" s="18"/>
      <c r="N305" s="18">
        <f>countif(ConstantsUnits!C:C,F305)</f>
        <v>1</v>
      </c>
      <c r="O305" s="16" t="str">
        <f>ifna(VLOOKUP(A305,ConstantsUnits!A:A,1,false),"")</f>
        <v>standard acceleration of gravity</v>
      </c>
    </row>
    <row r="306">
      <c r="A306" s="1" t="s">
        <v>1072</v>
      </c>
      <c r="B306" s="1" t="s">
        <v>1674</v>
      </c>
      <c r="C306" s="1" t="s">
        <v>1232</v>
      </c>
      <c r="D306" s="1" t="s">
        <v>1073</v>
      </c>
      <c r="F306" s="16" t="str">
        <f>ifna(VLOOKUP($A306,ConstantsUnits!$A:$C,3,false),"")</f>
        <v>StandardAtmosphere</v>
      </c>
      <c r="G306" s="17" t="str">
        <f t="shared" si="1"/>
        <v>101325</v>
      </c>
      <c r="H306" s="17">
        <f t="shared" si="2"/>
        <v>101325</v>
      </c>
      <c r="I306" s="17" t="str">
        <f t="shared" si="3"/>
        <v>(exact)</v>
      </c>
      <c r="J306" s="17" t="str">
        <f t="shared" si="4"/>
        <v/>
      </c>
      <c r="K306" s="17" t="b">
        <f t="shared" si="5"/>
        <v>0</v>
      </c>
      <c r="L306" s="16" t="str">
        <f>IFERROR(__xludf.DUMMYFUNCTION("if(regexmatch(B306,""e(.*)$""),regexextract(B306,""e(.*)$""),"""")"),"")</f>
        <v/>
      </c>
      <c r="M306" s="18"/>
      <c r="N306" s="18">
        <f>countif(ConstantsUnits!C:C,F306)</f>
        <v>1</v>
      </c>
      <c r="O306" s="16" t="str">
        <f>ifna(VLOOKUP(A306,ConstantsUnits!A:A,1,false),"")</f>
        <v>standard atmosphere</v>
      </c>
    </row>
    <row r="307">
      <c r="A307" s="1" t="s">
        <v>1077</v>
      </c>
      <c r="B307" s="1" t="s">
        <v>1675</v>
      </c>
      <c r="C307" s="1" t="s">
        <v>1232</v>
      </c>
      <c r="D307" s="1" t="s">
        <v>1073</v>
      </c>
      <c r="F307" s="16" t="str">
        <f>ifna(VLOOKUP($A307,ConstantsUnits!$A:$C,3,false),"")</f>
        <v>Standard-StatePressure</v>
      </c>
      <c r="G307" s="17" t="str">
        <f t="shared" si="1"/>
        <v>100000</v>
      </c>
      <c r="H307" s="17">
        <f t="shared" si="2"/>
        <v>100000</v>
      </c>
      <c r="I307" s="17" t="str">
        <f t="shared" si="3"/>
        <v>(exact)</v>
      </c>
      <c r="J307" s="17" t="str">
        <f t="shared" si="4"/>
        <v/>
      </c>
      <c r="K307" s="17" t="b">
        <f t="shared" si="5"/>
        <v>0</v>
      </c>
      <c r="L307" s="16" t="str">
        <f>IFERROR(__xludf.DUMMYFUNCTION("if(regexmatch(B307,""e(.*)$""),regexextract(B307,""e(.*)$""),"""")"),"")</f>
        <v/>
      </c>
      <c r="M307" s="18"/>
      <c r="N307" s="18">
        <f>countif(ConstantsUnits!C:C,F307)</f>
        <v>1</v>
      </c>
      <c r="O307" s="16" t="str">
        <f>ifna(VLOOKUP(A307,ConstantsUnits!A:A,1,false),"")</f>
        <v>standard-state pressure</v>
      </c>
    </row>
    <row r="308">
      <c r="A308" s="1" t="s">
        <v>1079</v>
      </c>
      <c r="B308" s="1" t="s">
        <v>2203</v>
      </c>
      <c r="C308" s="1" t="s">
        <v>2204</v>
      </c>
      <c r="D308" s="1" t="s">
        <v>1080</v>
      </c>
      <c r="F308" s="16" t="str">
        <f>ifna(VLOOKUP($A308,ConstantsUnits!$A:$C,3,false),"")</f>
        <v>StefanBoltzmannConstant</v>
      </c>
      <c r="G308" s="17" t="str">
        <f t="shared" si="1"/>
        <v>5.670367e-8</v>
      </c>
      <c r="H308" s="17">
        <f t="shared" si="2"/>
        <v>0.00000005670367</v>
      </c>
      <c r="I308" s="17" t="str">
        <f t="shared" si="3"/>
        <v>0.000013e-8</v>
      </c>
      <c r="J308" s="17">
        <f t="shared" si="4"/>
        <v>0</v>
      </c>
      <c r="K308" s="17" t="b">
        <f t="shared" si="5"/>
        <v>0</v>
      </c>
      <c r="L308" s="16" t="str">
        <f>IFERROR(__xludf.DUMMYFUNCTION("if(regexmatch(B308,""e(.*)$""),regexextract(B308,""e(.*)$""),"""")"),"-8")</f>
        <v>-8</v>
      </c>
      <c r="M308" s="18"/>
      <c r="N308" s="18">
        <f>countif(ConstantsUnits!C:C,F308)</f>
        <v>1</v>
      </c>
      <c r="O308" s="16" t="str">
        <f>ifna(VLOOKUP(A308,ConstantsUnits!A:A,1,false),"")</f>
        <v>Stefan-Boltzmann constant</v>
      </c>
    </row>
    <row r="309">
      <c r="A309" s="1" t="s">
        <v>1084</v>
      </c>
      <c r="B309" s="1" t="s">
        <v>2205</v>
      </c>
      <c r="C309" s="1" t="s">
        <v>2206</v>
      </c>
      <c r="D309" s="1" t="s">
        <v>59</v>
      </c>
      <c r="F309" s="16" t="str">
        <f>ifna(VLOOKUP($A309,ConstantsUnits!$A:$C,3,false),"")</f>
        <v>TauComptonWavelength</v>
      </c>
      <c r="G309" s="17" t="str">
        <f t="shared" si="1"/>
        <v>0.697787e-15</v>
      </c>
      <c r="H309" s="17">
        <f t="shared" si="2"/>
        <v>0</v>
      </c>
      <c r="I309" s="17" t="str">
        <f t="shared" si="3"/>
        <v>0.000063e-15</v>
      </c>
      <c r="J309" s="17">
        <f t="shared" si="4"/>
        <v>0</v>
      </c>
      <c r="K309" s="17" t="b">
        <f t="shared" si="5"/>
        <v>0</v>
      </c>
      <c r="L309" s="16" t="str">
        <f>IFERROR(__xludf.DUMMYFUNCTION("if(regexmatch(B309,""e(.*)$""),regexextract(B309,""e(.*)$""),"""")"),"-15")</f>
        <v>-15</v>
      </c>
      <c r="M309" s="18"/>
      <c r="N309" s="18">
        <f>countif(ConstantsUnits!C:C,F309)</f>
        <v>1</v>
      </c>
      <c r="O309" s="16" t="str">
        <f>ifna(VLOOKUP(A309,ConstantsUnits!A:A,1,false),"")</f>
        <v>tau Compton wavelength</v>
      </c>
    </row>
    <row r="310">
      <c r="A310" s="1" t="s">
        <v>2207</v>
      </c>
      <c r="B310" s="1" t="s">
        <v>2208</v>
      </c>
      <c r="C310" s="1" t="s">
        <v>2209</v>
      </c>
      <c r="D310" s="1" t="s">
        <v>59</v>
      </c>
      <c r="F310" s="1" t="s">
        <v>1087</v>
      </c>
      <c r="G310" s="17" t="str">
        <f t="shared" si="1"/>
        <v>0.111056e-15</v>
      </c>
      <c r="H310" s="17">
        <f t="shared" si="2"/>
        <v>0</v>
      </c>
      <c r="I310" s="17" t="str">
        <f t="shared" si="3"/>
        <v>0.000010e-15</v>
      </c>
      <c r="J310" s="17">
        <f t="shared" si="4"/>
        <v>0</v>
      </c>
      <c r="K310" s="17" t="b">
        <f t="shared" si="5"/>
        <v>0</v>
      </c>
      <c r="L310" s="16" t="str">
        <f>IFERROR(__xludf.DUMMYFUNCTION("if(regexmatch(B310,""e(.*)$""),regexextract(B310,""e(.*)$""),"""")"),"-15")</f>
        <v>-15</v>
      </c>
      <c r="M310" s="18"/>
      <c r="N310" s="18">
        <f>countif(ConstantsUnits!C:C,F310)</f>
        <v>1</v>
      </c>
      <c r="O310" s="16" t="str">
        <f>ifna(VLOOKUP(A310,ConstantsUnits!A:A,1,false),"")</f>
        <v/>
      </c>
    </row>
    <row r="311">
      <c r="A311" s="1" t="s">
        <v>1089</v>
      </c>
      <c r="B311" s="19" t="s">
        <v>2210</v>
      </c>
      <c r="C311" s="19" t="s">
        <v>2211</v>
      </c>
      <c r="F311" s="16" t="str">
        <f>ifna(VLOOKUP($A311,ConstantsUnits!$A:$C,3,false),"")</f>
        <v>TauElectronMassRatio</v>
      </c>
      <c r="G311" s="17" t="str">
        <f t="shared" si="1"/>
        <v>3477.15</v>
      </c>
      <c r="H311" s="17">
        <f t="shared" si="2"/>
        <v>3477.15</v>
      </c>
      <c r="I311" s="17" t="str">
        <f t="shared" si="3"/>
        <v>0.31</v>
      </c>
      <c r="J311" s="17">
        <f t="shared" si="4"/>
        <v>0.31</v>
      </c>
      <c r="K311" s="17" t="b">
        <f t="shared" si="5"/>
        <v>0</v>
      </c>
      <c r="L311" s="16" t="str">
        <f>IFERROR(__xludf.DUMMYFUNCTION("if(regexmatch(B311,""e(.*)$""),regexextract(B311,""e(.*)$""),"""")"),"")</f>
        <v/>
      </c>
      <c r="M311" s="18"/>
      <c r="N311" s="18">
        <f>countif(ConstantsUnits!C:C,F311)</f>
        <v>1</v>
      </c>
      <c r="O311" s="16" t="str">
        <f>ifna(VLOOKUP(A311,ConstantsUnits!A:A,1,false),"")</f>
        <v>tau-electron mass ratio</v>
      </c>
    </row>
    <row r="312">
      <c r="A312" s="1" t="s">
        <v>1094</v>
      </c>
      <c r="B312" s="1" t="s">
        <v>2212</v>
      </c>
      <c r="C312" s="1" t="s">
        <v>2213</v>
      </c>
      <c r="D312" s="1" t="s">
        <v>38</v>
      </c>
      <c r="F312" s="16" t="str">
        <f>ifna(VLOOKUP($A312,ConstantsUnits!$A:$C,3,false),"")</f>
        <v>TauMass</v>
      </c>
      <c r="G312" s="17" t="str">
        <f t="shared" si="1"/>
        <v>3.16747e-27</v>
      </c>
      <c r="H312" s="17">
        <f t="shared" si="2"/>
        <v>0</v>
      </c>
      <c r="I312" s="17" t="str">
        <f t="shared" si="3"/>
        <v>0.00029e-27</v>
      </c>
      <c r="J312" s="17">
        <f t="shared" si="4"/>
        <v>0</v>
      </c>
      <c r="K312" s="17" t="b">
        <f t="shared" si="5"/>
        <v>0</v>
      </c>
      <c r="L312" s="16" t="str">
        <f>IFERROR(__xludf.DUMMYFUNCTION("if(regexmatch(B312,""e(.*)$""),regexextract(B312,""e(.*)$""),"""")"),"-27")</f>
        <v>-27</v>
      </c>
      <c r="M312" s="18"/>
      <c r="N312" s="18">
        <f>countif(ConstantsUnits!C:C,F312)</f>
        <v>1</v>
      </c>
      <c r="O312" s="16" t="str">
        <f>ifna(VLOOKUP(A312,ConstantsUnits!A:A,1,false),"")</f>
        <v>tau mass</v>
      </c>
    </row>
    <row r="313">
      <c r="A313" s="1" t="s">
        <v>1097</v>
      </c>
      <c r="B313" s="1" t="s">
        <v>2214</v>
      </c>
      <c r="C313" s="1" t="s">
        <v>2215</v>
      </c>
      <c r="D313" s="1" t="s">
        <v>41</v>
      </c>
      <c r="F313" s="16" t="str">
        <f>ifna(VLOOKUP($A313,ConstantsUnits!$A:$C,3,false),"")</f>
        <v>TauMassEnergyEquivalent</v>
      </c>
      <c r="G313" s="17" t="str">
        <f t="shared" si="1"/>
        <v>2.84678e-10</v>
      </c>
      <c r="H313" s="17">
        <f t="shared" si="2"/>
        <v>0.000000000284678</v>
      </c>
      <c r="I313" s="17" t="str">
        <f t="shared" si="3"/>
        <v>0.00026e-10</v>
      </c>
      <c r="J313" s="17">
        <f t="shared" si="4"/>
        <v>0</v>
      </c>
      <c r="K313" s="17" t="b">
        <f t="shared" si="5"/>
        <v>0</v>
      </c>
      <c r="L313" s="16" t="str">
        <f>IFERROR(__xludf.DUMMYFUNCTION("if(regexmatch(B313,""e(.*)$""),regexextract(B313,""e(.*)$""),"""")"),"-10")</f>
        <v>-10</v>
      </c>
      <c r="M313" s="18"/>
      <c r="N313" s="18">
        <f>countif(ConstantsUnits!C:C,F313)</f>
        <v>1</v>
      </c>
      <c r="O313" s="16" t="str">
        <f>ifna(VLOOKUP(A313,ConstantsUnits!A:A,1,false),"")</f>
        <v>tau mass energy equivalent</v>
      </c>
    </row>
    <row r="314">
      <c r="A314" s="1" t="s">
        <v>2216</v>
      </c>
      <c r="B314" s="19" t="s">
        <v>2217</v>
      </c>
      <c r="C314" s="19" t="s">
        <v>2218</v>
      </c>
      <c r="D314" s="1" t="s">
        <v>45</v>
      </c>
      <c r="F314" s="1" t="s">
        <v>2219</v>
      </c>
      <c r="G314" s="17" t="str">
        <f t="shared" si="1"/>
        <v>1776.82</v>
      </c>
      <c r="H314" s="17">
        <f t="shared" si="2"/>
        <v>1776.82</v>
      </c>
      <c r="I314" s="17" t="str">
        <f t="shared" si="3"/>
        <v>0.16</v>
      </c>
      <c r="J314" s="17">
        <f t="shared" si="4"/>
        <v>0.16</v>
      </c>
      <c r="K314" s="17" t="b">
        <f t="shared" si="5"/>
        <v>0</v>
      </c>
      <c r="L314" s="16" t="str">
        <f>IFERROR(__xludf.DUMMYFUNCTION("if(regexmatch(B314,""e(.*)$""),regexextract(B314,""e(.*)$""),"""")"),"")</f>
        <v/>
      </c>
      <c r="M314" s="18"/>
      <c r="N314" s="18">
        <f>countif(ConstantsUnits!C:C,F314)</f>
        <v>1</v>
      </c>
      <c r="O314" s="16" t="str">
        <f>ifna(VLOOKUP(A314,ConstantsUnits!A:A,1,false),"")</f>
        <v/>
      </c>
    </row>
    <row r="315">
      <c r="A315" s="1" t="s">
        <v>1100</v>
      </c>
      <c r="B315" s="1" t="s">
        <v>2220</v>
      </c>
      <c r="C315" s="1" t="s">
        <v>1727</v>
      </c>
      <c r="D315" s="1" t="s">
        <v>48</v>
      </c>
      <c r="F315" s="16" t="str">
        <f>ifna(VLOOKUP($A315,ConstantsUnits!$A:$C,3,false),"")</f>
        <v>TauMassInAtomicMassUnit</v>
      </c>
      <c r="G315" s="17" t="str">
        <f t="shared" si="1"/>
        <v>1.90749</v>
      </c>
      <c r="H315" s="17">
        <f t="shared" si="2"/>
        <v>1.90749</v>
      </c>
      <c r="I315" s="17" t="str">
        <f t="shared" si="3"/>
        <v>0.00017</v>
      </c>
      <c r="J315" s="17">
        <f t="shared" si="4"/>
        <v>0.00017</v>
      </c>
      <c r="K315" s="17" t="b">
        <f t="shared" si="5"/>
        <v>0</v>
      </c>
      <c r="L315" s="16" t="str">
        <f>IFERROR(__xludf.DUMMYFUNCTION("if(regexmatch(B315,""e(.*)$""),regexextract(B315,""e(.*)$""),"""")"),"")</f>
        <v/>
      </c>
      <c r="M315" s="18"/>
      <c r="N315" s="18">
        <f>countif(ConstantsUnits!C:C,F315)</f>
        <v>1</v>
      </c>
      <c r="O315" s="16" t="str">
        <f>ifna(VLOOKUP(A315,ConstantsUnits!A:A,1,false),"")</f>
        <v>tau mass in u</v>
      </c>
    </row>
    <row r="316">
      <c r="A316" s="1" t="s">
        <v>1102</v>
      </c>
      <c r="B316" s="1" t="s">
        <v>2221</v>
      </c>
      <c r="C316" s="1" t="s">
        <v>2222</v>
      </c>
      <c r="D316" s="1" t="s">
        <v>51</v>
      </c>
      <c r="F316" s="16" t="str">
        <f>ifna(VLOOKUP($A316,ConstantsUnits!$A:$C,3,false),"")</f>
        <v>TauMolarMass</v>
      </c>
      <c r="G316" s="17" t="str">
        <f t="shared" si="1"/>
        <v>1.90749e-3</v>
      </c>
      <c r="H316" s="17">
        <f t="shared" si="2"/>
        <v>0.00190749</v>
      </c>
      <c r="I316" s="17" t="str">
        <f t="shared" si="3"/>
        <v>0.00017e-3</v>
      </c>
      <c r="J316" s="17">
        <f t="shared" si="4"/>
        <v>0.00000017</v>
      </c>
      <c r="K316" s="17" t="b">
        <f t="shared" si="5"/>
        <v>0</v>
      </c>
      <c r="L316" s="16" t="str">
        <f>IFERROR(__xludf.DUMMYFUNCTION("if(regexmatch(B316,""e(.*)$""),regexextract(B316,""e(.*)$""),"""")"),"-3")</f>
        <v>-3</v>
      </c>
      <c r="M316" s="18"/>
      <c r="N316" s="18">
        <f>countif(ConstantsUnits!C:C,F316)</f>
        <v>1</v>
      </c>
      <c r="O316" s="16" t="str">
        <f>ifna(VLOOKUP(A316,ConstantsUnits!A:A,1,false),"")</f>
        <v>tau molar mass</v>
      </c>
    </row>
    <row r="317">
      <c r="A317" s="1" t="s">
        <v>1105</v>
      </c>
      <c r="B317" s="19" t="s">
        <v>2223</v>
      </c>
      <c r="C317" s="19" t="s">
        <v>2224</v>
      </c>
      <c r="F317" s="16" t="str">
        <f>ifna(VLOOKUP($A317,ConstantsUnits!$A:$C,3,false),"")</f>
        <v>TauMuonMassRatio</v>
      </c>
      <c r="G317" s="17" t="str">
        <f t="shared" si="1"/>
        <v>16.8167</v>
      </c>
      <c r="H317" s="17">
        <f t="shared" si="2"/>
        <v>16.8167</v>
      </c>
      <c r="I317" s="17" t="str">
        <f t="shared" si="3"/>
        <v>0.0015</v>
      </c>
      <c r="J317" s="17">
        <f t="shared" si="4"/>
        <v>0.0015</v>
      </c>
      <c r="K317" s="17" t="b">
        <f t="shared" si="5"/>
        <v>0</v>
      </c>
      <c r="L317" s="16" t="str">
        <f>IFERROR(__xludf.DUMMYFUNCTION("if(regexmatch(B317,""e(.*)$""),regexextract(B317,""e(.*)$""),"""")"),"")</f>
        <v/>
      </c>
      <c r="M317" s="18"/>
      <c r="N317" s="18">
        <f>countif(ConstantsUnits!C:C,F317)</f>
        <v>1</v>
      </c>
      <c r="O317" s="16" t="str">
        <f>ifna(VLOOKUP(A317,ConstantsUnits!A:A,1,false),"")</f>
        <v>tau-muon mass ratio</v>
      </c>
    </row>
    <row r="318">
      <c r="A318" s="1" t="s">
        <v>1108</v>
      </c>
      <c r="B318" s="1" t="s">
        <v>2225</v>
      </c>
      <c r="C318" s="1" t="s">
        <v>1727</v>
      </c>
      <c r="F318" s="16" t="str">
        <f>ifna(VLOOKUP($A318,ConstantsUnits!$A:$C,3,false),"")</f>
        <v>TauNeutronMassRatio</v>
      </c>
      <c r="G318" s="17" t="str">
        <f t="shared" si="1"/>
        <v>1.89111</v>
      </c>
      <c r="H318" s="17">
        <f t="shared" si="2"/>
        <v>1.89111</v>
      </c>
      <c r="I318" s="17" t="str">
        <f t="shared" si="3"/>
        <v>0.00017</v>
      </c>
      <c r="J318" s="17">
        <f t="shared" si="4"/>
        <v>0.00017</v>
      </c>
      <c r="K318" s="17" t="b">
        <f t="shared" si="5"/>
        <v>0</v>
      </c>
      <c r="L318" s="16" t="str">
        <f>IFERROR(__xludf.DUMMYFUNCTION("if(regexmatch(B318,""e(.*)$""),regexextract(B318,""e(.*)$""),"""")"),"")</f>
        <v/>
      </c>
      <c r="M318" s="18"/>
      <c r="N318" s="18">
        <f>countif(ConstantsUnits!C:C,F318)</f>
        <v>1</v>
      </c>
      <c r="O318" s="16" t="str">
        <f>ifna(VLOOKUP(A318,ConstantsUnits!A:A,1,false),"")</f>
        <v>tau-neutron mass ratio</v>
      </c>
    </row>
    <row r="319">
      <c r="A319" s="1" t="s">
        <v>1111</v>
      </c>
      <c r="B319" s="1" t="s">
        <v>2226</v>
      </c>
      <c r="C319" s="1" t="s">
        <v>1727</v>
      </c>
      <c r="F319" s="16" t="str">
        <f>ifna(VLOOKUP($A319,ConstantsUnits!$A:$C,3,false),"")</f>
        <v>TauProtonMassRatio</v>
      </c>
      <c r="G319" s="17" t="str">
        <f t="shared" si="1"/>
        <v>1.89372</v>
      </c>
      <c r="H319" s="17">
        <f t="shared" si="2"/>
        <v>1.89372</v>
      </c>
      <c r="I319" s="17" t="str">
        <f t="shared" si="3"/>
        <v>0.00017</v>
      </c>
      <c r="J319" s="17">
        <f t="shared" si="4"/>
        <v>0.00017</v>
      </c>
      <c r="K319" s="17" t="b">
        <f t="shared" si="5"/>
        <v>0</v>
      </c>
      <c r="L319" s="16" t="str">
        <f>IFERROR(__xludf.DUMMYFUNCTION("if(regexmatch(B319,""e(.*)$""),regexextract(B319,""e(.*)$""),"""")"),"")</f>
        <v/>
      </c>
      <c r="M319" s="18"/>
      <c r="N319" s="18">
        <f>countif(ConstantsUnits!C:C,F319)</f>
        <v>1</v>
      </c>
      <c r="O319" s="16" t="str">
        <f>ifna(VLOOKUP(A319,ConstantsUnits!A:A,1,false),"")</f>
        <v>tau-proton mass ratio</v>
      </c>
    </row>
    <row r="320">
      <c r="A320" s="1" t="s">
        <v>1114</v>
      </c>
      <c r="B320" s="1" t="s">
        <v>2227</v>
      </c>
      <c r="C320" s="1" t="s">
        <v>2228</v>
      </c>
      <c r="D320" s="1" t="s">
        <v>1115</v>
      </c>
      <c r="F320" s="16" t="str">
        <f>ifna(VLOOKUP($A320,ConstantsUnits!$A:$C,3,false),"")</f>
        <v>ThomsonCrossSection</v>
      </c>
      <c r="G320" s="17" t="str">
        <f t="shared" si="1"/>
        <v>0.66524587158e-28</v>
      </c>
      <c r="H320" s="17">
        <f t="shared" si="2"/>
        <v>0</v>
      </c>
      <c r="I320" s="17" t="str">
        <f t="shared" si="3"/>
        <v>0.00000000091e-28</v>
      </c>
      <c r="J320" s="17">
        <f t="shared" si="4"/>
        <v>0</v>
      </c>
      <c r="K320" s="17" t="b">
        <f t="shared" si="5"/>
        <v>0</v>
      </c>
      <c r="L320" s="16" t="str">
        <f>IFERROR(__xludf.DUMMYFUNCTION("if(regexmatch(B320,""e(.*)$""),regexextract(B320,""e(.*)$""),"""")"),"-28")</f>
        <v>-28</v>
      </c>
      <c r="M320" s="18"/>
      <c r="N320" s="18">
        <f>countif(ConstantsUnits!C:C,F320)</f>
        <v>1</v>
      </c>
      <c r="O320" s="16" t="str">
        <f>ifna(VLOOKUP(A320,ConstantsUnits!A:A,1,false),"")</f>
        <v>Thomson cross section</v>
      </c>
    </row>
    <row r="321">
      <c r="A321" s="1" t="s">
        <v>1120</v>
      </c>
      <c r="B321" s="1" t="s">
        <v>2229</v>
      </c>
      <c r="C321" s="1" t="s">
        <v>2230</v>
      </c>
      <c r="F321" s="16" t="str">
        <f>ifna(VLOOKUP($A321,ConstantsUnits!$A:$C,3,false),"")</f>
        <v>TritonElectronMassRatio</v>
      </c>
      <c r="G321" s="17" t="str">
        <f t="shared" si="1"/>
        <v>5496.92153588</v>
      </c>
      <c r="H321" s="17">
        <f t="shared" si="2"/>
        <v>5496.921536</v>
      </c>
      <c r="I321" s="17" t="str">
        <f t="shared" si="3"/>
        <v>0.00000026</v>
      </c>
      <c r="J321" s="17">
        <f t="shared" si="4"/>
        <v>0.00000026</v>
      </c>
      <c r="K321" s="17" t="b">
        <f t="shared" si="5"/>
        <v>0</v>
      </c>
      <c r="L321" s="16" t="str">
        <f>IFERROR(__xludf.DUMMYFUNCTION("if(regexmatch(B321,""e(.*)$""),regexextract(B321,""e(.*)$""),"""")"),"")</f>
        <v/>
      </c>
      <c r="M321" s="18"/>
      <c r="N321" s="18">
        <f>countif(ConstantsUnits!C:C,F321)</f>
        <v>1</v>
      </c>
      <c r="O321" s="16" t="str">
        <f>ifna(VLOOKUP(A321,ConstantsUnits!A:A,1,false),"")</f>
        <v>triton-electron mass ratio</v>
      </c>
    </row>
    <row r="322">
      <c r="A322" s="1" t="s">
        <v>1123</v>
      </c>
      <c r="B322" s="1" t="s">
        <v>2231</v>
      </c>
      <c r="C322" s="1" t="s">
        <v>2232</v>
      </c>
      <c r="F322" s="16" t="str">
        <f>ifna(VLOOKUP($A322,ConstantsUnits!$A:$C,3,false),"")</f>
        <v>TritonGFactor</v>
      </c>
      <c r="G322" s="17" t="str">
        <f t="shared" si="1"/>
        <v>5.957924920</v>
      </c>
      <c r="H322" s="17">
        <f t="shared" si="2"/>
        <v>5.95792492</v>
      </c>
      <c r="I322" s="17" t="str">
        <f t="shared" si="3"/>
        <v>0.000000028</v>
      </c>
      <c r="J322" s="17">
        <f t="shared" si="4"/>
        <v>0.000000028</v>
      </c>
      <c r="K322" s="17" t="b">
        <f t="shared" si="5"/>
        <v>0</v>
      </c>
      <c r="L322" s="16" t="str">
        <f>IFERROR(__xludf.DUMMYFUNCTION("if(regexmatch(B322,""e(.*)$""),regexextract(B322,""e(.*)$""),"""")"),"")</f>
        <v/>
      </c>
      <c r="M322" s="18"/>
      <c r="N322" s="18">
        <f>countif(ConstantsUnits!C:C,F322)</f>
        <v>1</v>
      </c>
      <c r="O322" s="16" t="str">
        <f>ifna(VLOOKUP(A322,ConstantsUnits!A:A,1,false),"")</f>
        <v>triton g factor</v>
      </c>
    </row>
    <row r="323">
      <c r="A323" s="1" t="s">
        <v>1126</v>
      </c>
      <c r="B323" s="1" t="s">
        <v>2233</v>
      </c>
      <c r="C323" s="1" t="s">
        <v>2234</v>
      </c>
      <c r="D323" s="1" t="s">
        <v>165</v>
      </c>
      <c r="F323" s="16" t="str">
        <f>ifna(VLOOKUP($A323,ConstantsUnits!$A:$C,3,false),"")</f>
        <v>TritonMagneticMoment</v>
      </c>
      <c r="G323" s="17" t="str">
        <f t="shared" si="1"/>
        <v>1.504609503e-26</v>
      </c>
      <c r="H323" s="17">
        <f t="shared" si="2"/>
        <v>0</v>
      </c>
      <c r="I323" s="17" t="str">
        <f t="shared" si="3"/>
        <v>0.000000012e-26</v>
      </c>
      <c r="J323" s="17">
        <f t="shared" si="4"/>
        <v>0</v>
      </c>
      <c r="K323" s="17" t="b">
        <f t="shared" si="5"/>
        <v>0</v>
      </c>
      <c r="L323" s="16" t="str">
        <f>IFERROR(__xludf.DUMMYFUNCTION("if(regexmatch(B323,""e(.*)$""),regexextract(B323,""e(.*)$""),"""")"),"-26")</f>
        <v>-26</v>
      </c>
      <c r="M323" s="18"/>
      <c r="N323" s="18">
        <f>countif(ConstantsUnits!C:C,F323)</f>
        <v>1</v>
      </c>
      <c r="O323" s="16" t="str">
        <f>ifna(VLOOKUP(A323,ConstantsUnits!A:A,1,false),"")</f>
        <v>triton mag. mom.</v>
      </c>
    </row>
    <row r="324">
      <c r="A324" s="1" t="s">
        <v>1129</v>
      </c>
      <c r="B324" s="1" t="s">
        <v>2235</v>
      </c>
      <c r="C324" s="1" t="s">
        <v>2236</v>
      </c>
      <c r="F324" s="16" t="str">
        <f>ifna(VLOOKUP($A324,ConstantsUnits!$A:$C,3,false),"")</f>
        <v>TritonMagneticMomentToBohrMagnetonRatio</v>
      </c>
      <c r="G324" s="17" t="str">
        <f t="shared" si="1"/>
        <v>1.6223936616e-3</v>
      </c>
      <c r="H324" s="17">
        <f t="shared" si="2"/>
        <v>0.001622393662</v>
      </c>
      <c r="I324" s="17" t="str">
        <f t="shared" si="3"/>
        <v>0.0000000076e-3</v>
      </c>
      <c r="J324" s="17">
        <f t="shared" si="4"/>
        <v>0</v>
      </c>
      <c r="K324" s="17" t="b">
        <f t="shared" si="5"/>
        <v>0</v>
      </c>
      <c r="L324" s="16" t="str">
        <f>IFERROR(__xludf.DUMMYFUNCTION("if(regexmatch(B324,""e(.*)$""),regexextract(B324,""e(.*)$""),"""")"),"-3")</f>
        <v>-3</v>
      </c>
      <c r="M324" s="18"/>
      <c r="N324" s="18">
        <f>countif(ConstantsUnits!C:C,F324)</f>
        <v>1</v>
      </c>
      <c r="O324" s="16" t="str">
        <f>ifna(VLOOKUP(A324,ConstantsUnits!A:A,1,false),"")</f>
        <v>triton mag. mom. to Bohr magneton ratio</v>
      </c>
    </row>
    <row r="325">
      <c r="A325" s="1" t="s">
        <v>1132</v>
      </c>
      <c r="B325" s="1" t="s">
        <v>2237</v>
      </c>
      <c r="C325" s="1" t="s">
        <v>1280</v>
      </c>
      <c r="F325" s="16" t="str">
        <f>ifna(VLOOKUP($A325,ConstantsUnits!$A:$C,3,false),"")</f>
        <v>TritonMagneticMomentToNuclearMagnetonRatio</v>
      </c>
      <c r="G325" s="17" t="str">
        <f t="shared" si="1"/>
        <v>2.978962460</v>
      </c>
      <c r="H325" s="17">
        <f t="shared" si="2"/>
        <v>2.97896246</v>
      </c>
      <c r="I325" s="17" t="str">
        <f t="shared" si="3"/>
        <v>0.000000014</v>
      </c>
      <c r="J325" s="17">
        <f t="shared" si="4"/>
        <v>0.000000014</v>
      </c>
      <c r="K325" s="17" t="b">
        <f t="shared" si="5"/>
        <v>0</v>
      </c>
      <c r="L325" s="16" t="str">
        <f>IFERROR(__xludf.DUMMYFUNCTION("if(regexmatch(B325,""e(.*)$""),regexextract(B325,""e(.*)$""),"""")"),"")</f>
        <v/>
      </c>
      <c r="M325" s="18"/>
      <c r="N325" s="18">
        <f>countif(ConstantsUnits!C:C,F325)</f>
        <v>1</v>
      </c>
      <c r="O325" s="16" t="str">
        <f>ifna(VLOOKUP(A325,ConstantsUnits!A:A,1,false),"")</f>
        <v>triton mag. mom. to nuclear magneton ratio</v>
      </c>
    </row>
    <row r="326">
      <c r="A326" s="1" t="s">
        <v>1135</v>
      </c>
      <c r="B326" s="1" t="s">
        <v>2238</v>
      </c>
      <c r="C326" s="1" t="s">
        <v>1939</v>
      </c>
      <c r="D326" s="1" t="s">
        <v>38</v>
      </c>
      <c r="F326" s="16" t="str">
        <f>ifna(VLOOKUP($A326,ConstantsUnits!$A:$C,3,false),"")</f>
        <v>TritonMass</v>
      </c>
      <c r="G326" s="17" t="str">
        <f t="shared" si="1"/>
        <v>5.007356665e-27</v>
      </c>
      <c r="H326" s="17">
        <f t="shared" si="2"/>
        <v>0</v>
      </c>
      <c r="I326" s="17" t="str">
        <f t="shared" si="3"/>
        <v>0.000000062e-27</v>
      </c>
      <c r="J326" s="17">
        <f t="shared" si="4"/>
        <v>0</v>
      </c>
      <c r="K326" s="17" t="b">
        <f t="shared" si="5"/>
        <v>0</v>
      </c>
      <c r="L326" s="16" t="str">
        <f>IFERROR(__xludf.DUMMYFUNCTION("if(regexmatch(B326,""e(.*)$""),regexextract(B326,""e(.*)$""),"""")"),"-27")</f>
        <v>-27</v>
      </c>
      <c r="M326" s="18"/>
      <c r="N326" s="18">
        <f>countif(ConstantsUnits!C:C,F326)</f>
        <v>1</v>
      </c>
      <c r="O326" s="16" t="str">
        <f>ifna(VLOOKUP(A326,ConstantsUnits!A:A,1,false),"")</f>
        <v>triton mass</v>
      </c>
    </row>
    <row r="327">
      <c r="A327" s="1" t="s">
        <v>1138</v>
      </c>
      <c r="B327" s="1" t="s">
        <v>2239</v>
      </c>
      <c r="C327" s="1" t="s">
        <v>1941</v>
      </c>
      <c r="D327" s="1" t="s">
        <v>41</v>
      </c>
      <c r="F327" s="16" t="str">
        <f>ifna(VLOOKUP($A327,ConstantsUnits!$A:$C,3,false),"")</f>
        <v>TritonMassEnergyEquivalent</v>
      </c>
      <c r="G327" s="17" t="str">
        <f t="shared" si="1"/>
        <v>4.500387735e-10</v>
      </c>
      <c r="H327" s="17">
        <f t="shared" si="2"/>
        <v>0.0000000004500387735</v>
      </c>
      <c r="I327" s="17" t="str">
        <f t="shared" si="3"/>
        <v>0.000000055e-10</v>
      </c>
      <c r="J327" s="17">
        <f t="shared" si="4"/>
        <v>0</v>
      </c>
      <c r="K327" s="17" t="b">
        <f t="shared" si="5"/>
        <v>0</v>
      </c>
      <c r="L327" s="16" t="str">
        <f>IFERROR(__xludf.DUMMYFUNCTION("if(regexmatch(B327,""e(.*)$""),regexextract(B327,""e(.*)$""),"""")"),"-10")</f>
        <v>-10</v>
      </c>
      <c r="M327" s="18"/>
      <c r="N327" s="18">
        <f>countif(ConstantsUnits!C:C,F327)</f>
        <v>1</v>
      </c>
      <c r="O327" s="16" t="str">
        <f>ifna(VLOOKUP(A327,ConstantsUnits!A:A,1,false),"")</f>
        <v>triton mass energy equivalent</v>
      </c>
    </row>
    <row r="328">
      <c r="A328" s="1" t="s">
        <v>1141</v>
      </c>
      <c r="B328" s="1" t="s">
        <v>2240</v>
      </c>
      <c r="C328" s="1" t="s">
        <v>1943</v>
      </c>
      <c r="D328" s="1" t="s">
        <v>45</v>
      </c>
      <c r="F328" s="16" t="str">
        <f>ifna(VLOOKUP($A328,ConstantsUnits!$A:$C,3,false),"")</f>
        <v>TritonMassEnergyEquivalentInMeV</v>
      </c>
      <c r="G328" s="17" t="str">
        <f t="shared" si="1"/>
        <v>2808.921112</v>
      </c>
      <c r="H328" s="17">
        <f t="shared" si="2"/>
        <v>2808.921112</v>
      </c>
      <c r="I328" s="17" t="str">
        <f t="shared" si="3"/>
        <v>0.000017</v>
      </c>
      <c r="J328" s="17">
        <f t="shared" si="4"/>
        <v>0.000017</v>
      </c>
      <c r="K328" s="17" t="b">
        <f t="shared" si="5"/>
        <v>0</v>
      </c>
      <c r="L328" s="16" t="str">
        <f>IFERROR(__xludf.DUMMYFUNCTION("if(regexmatch(B328,""e(.*)$""),regexextract(B328,""e(.*)$""),"""")"),"")</f>
        <v/>
      </c>
      <c r="M328" s="18"/>
      <c r="N328" s="18">
        <f>countif(ConstantsUnits!C:C,F328)</f>
        <v>1</v>
      </c>
      <c r="O328" s="16" t="str">
        <f>ifna(VLOOKUP(A328,ConstantsUnits!A:A,1,false),"")</f>
        <v>triton mass energy equivalent in MeV</v>
      </c>
    </row>
    <row r="329">
      <c r="A329" s="1" t="s">
        <v>1143</v>
      </c>
      <c r="B329" s="1" t="s">
        <v>2241</v>
      </c>
      <c r="C329" s="1" t="s">
        <v>1327</v>
      </c>
      <c r="D329" s="1" t="s">
        <v>48</v>
      </c>
      <c r="F329" s="16" t="str">
        <f>ifna(VLOOKUP($A329,ConstantsUnits!$A:$C,3,false),"")</f>
        <v>TritonMassInAtomicMassUnit</v>
      </c>
      <c r="G329" s="17" t="str">
        <f t="shared" si="1"/>
        <v>3.01550071632</v>
      </c>
      <c r="H329" s="17">
        <f t="shared" si="2"/>
        <v>3.015500716</v>
      </c>
      <c r="I329" s="17" t="str">
        <f t="shared" si="3"/>
        <v>0.00000000011</v>
      </c>
      <c r="J329" s="17">
        <f t="shared" si="4"/>
        <v>0.00000000011</v>
      </c>
      <c r="K329" s="17" t="b">
        <f t="shared" si="5"/>
        <v>0</v>
      </c>
      <c r="L329" s="16" t="str">
        <f>IFERROR(__xludf.DUMMYFUNCTION("if(regexmatch(B329,""e(.*)$""),regexextract(B329,""e(.*)$""),"""")"),"")</f>
        <v/>
      </c>
      <c r="M329" s="18"/>
      <c r="N329" s="18">
        <f>countif(ConstantsUnits!C:C,F329)</f>
        <v>1</v>
      </c>
      <c r="O329" s="16" t="str">
        <f>ifna(VLOOKUP(A329,ConstantsUnits!A:A,1,false),"")</f>
        <v>triton mass in u</v>
      </c>
    </row>
    <row r="330">
      <c r="A330" s="1" t="s">
        <v>1146</v>
      </c>
      <c r="B330" s="1" t="s">
        <v>2242</v>
      </c>
      <c r="C330" s="1" t="s">
        <v>2243</v>
      </c>
      <c r="D330" s="1" t="s">
        <v>51</v>
      </c>
      <c r="F330" s="16" t="str">
        <f>ifna(VLOOKUP($A330,ConstantsUnits!$A:$C,3,false),"")</f>
        <v>TritonMolarMass</v>
      </c>
      <c r="G330" s="17" t="str">
        <f t="shared" si="1"/>
        <v>3.01550071632e-3</v>
      </c>
      <c r="H330" s="17">
        <f t="shared" si="2"/>
        <v>0.003015500716</v>
      </c>
      <c r="I330" s="17" t="str">
        <f t="shared" si="3"/>
        <v>0.00000000011e-3</v>
      </c>
      <c r="J330" s="17">
        <f t="shared" si="4"/>
        <v>0</v>
      </c>
      <c r="K330" s="17" t="b">
        <f t="shared" si="5"/>
        <v>0</v>
      </c>
      <c r="L330" s="16" t="str">
        <f>IFERROR(__xludf.DUMMYFUNCTION("if(regexmatch(B330,""e(.*)$""),regexextract(B330,""e(.*)$""),"""")"),"-3")</f>
        <v>-3</v>
      </c>
      <c r="M330" s="18"/>
      <c r="N330" s="18">
        <f>countif(ConstantsUnits!C:C,F330)</f>
        <v>1</v>
      </c>
      <c r="O330" s="16" t="str">
        <f>ifna(VLOOKUP(A330,ConstantsUnits!A:A,1,false),"")</f>
        <v>triton molar mass</v>
      </c>
    </row>
    <row r="331">
      <c r="A331" s="1" t="s">
        <v>1149</v>
      </c>
      <c r="B331" s="1" t="s">
        <v>2244</v>
      </c>
      <c r="C331" s="1" t="s">
        <v>1208</v>
      </c>
      <c r="F331" s="16" t="str">
        <f>ifna(VLOOKUP($A331,ConstantsUnits!$A:$C,3,false),"")</f>
        <v>TritonNeutronMagneticMomentRatio</v>
      </c>
      <c r="G331" s="17" t="str">
        <f t="shared" si="1"/>
        <v>2.99371703348</v>
      </c>
      <c r="H331" s="17">
        <f t="shared" si="2"/>
        <v>2.993717033</v>
      </c>
      <c r="I331" s="17" t="str">
        <f t="shared" si="3"/>
        <v>0.00000000022</v>
      </c>
      <c r="J331" s="17">
        <f t="shared" si="4"/>
        <v>0.00000000022</v>
      </c>
      <c r="K331" s="17" t="b">
        <f t="shared" si="5"/>
        <v>0</v>
      </c>
      <c r="L331" s="16" t="str">
        <f>IFERROR(__xludf.DUMMYFUNCTION("if(regexmatch(B331,""e(.*)$""),regexextract(B331,""e(.*)$""),"""")"),"")</f>
        <v/>
      </c>
      <c r="M331" s="18"/>
      <c r="N331" s="18">
        <f>countif(ConstantsUnits!C:C,F331)</f>
        <v>1</v>
      </c>
      <c r="O331" s="16" t="str">
        <f>ifna(VLOOKUP(A331,ConstantsUnits!A:A,1,false),"")</f>
        <v>triton-proton mass ratio</v>
      </c>
    </row>
    <row r="332">
      <c r="A332" s="1" t="s">
        <v>1158</v>
      </c>
      <c r="B332" s="1" t="s">
        <v>1742</v>
      </c>
      <c r="C332" s="1" t="s">
        <v>1743</v>
      </c>
      <c r="D332" s="1" t="s">
        <v>38</v>
      </c>
      <c r="F332" s="16" t="str">
        <f>ifna(VLOOKUP($A332,ConstantsUnits!$A:$C,3,false),"")</f>
        <v>UnifiedAtomicMassUnit</v>
      </c>
      <c r="G332" s="17" t="str">
        <f t="shared" si="1"/>
        <v>1.660539040e-27</v>
      </c>
      <c r="H332" s="17">
        <f t="shared" si="2"/>
        <v>0</v>
      </c>
      <c r="I332" s="17" t="str">
        <f t="shared" si="3"/>
        <v>0.000000020e-27</v>
      </c>
      <c r="J332" s="17">
        <f t="shared" si="4"/>
        <v>0</v>
      </c>
      <c r="K332" s="17" t="b">
        <f t="shared" si="5"/>
        <v>0</v>
      </c>
      <c r="L332" s="16" t="str">
        <f>IFERROR(__xludf.DUMMYFUNCTION("if(regexmatch(B332,""e(.*)$""),regexextract(B332,""e(.*)$""),"""")"),"-27")</f>
        <v>-27</v>
      </c>
      <c r="M332" s="18"/>
      <c r="N332" s="18">
        <f>countif(ConstantsUnits!C:C,F332)</f>
        <v>1</v>
      </c>
      <c r="O332" s="16" t="str">
        <f>ifna(VLOOKUP(A332,ConstantsUnits!A:A,1,false),"")</f>
        <v>unified atomic mass unit</v>
      </c>
    </row>
    <row r="333">
      <c r="A333" s="1" t="s">
        <v>1170</v>
      </c>
      <c r="B333" s="1" t="s">
        <v>2245</v>
      </c>
      <c r="C333" s="1" t="s">
        <v>2246</v>
      </c>
      <c r="D333" s="1" t="s">
        <v>252</v>
      </c>
      <c r="F333" s="16" t="str">
        <f>ifna(VLOOKUP($A333,ConstantsUnits!$A:$C,3,false),"")</f>
        <v>VonKlitzingConstant</v>
      </c>
      <c r="G333" s="17" t="str">
        <f t="shared" si="1"/>
        <v>25812.8074555</v>
      </c>
      <c r="H333" s="17">
        <f t="shared" si="2"/>
        <v>25812.80746</v>
      </c>
      <c r="I333" s="17" t="str">
        <f t="shared" si="3"/>
        <v>0.0000059</v>
      </c>
      <c r="J333" s="17">
        <f t="shared" si="4"/>
        <v>0.0000059</v>
      </c>
      <c r="K333" s="17" t="b">
        <f t="shared" si="5"/>
        <v>0</v>
      </c>
      <c r="L333" s="16" t="str">
        <f>IFERROR(__xludf.DUMMYFUNCTION("if(regexmatch(B333,""e(.*)$""),regexextract(B333,""e(.*)$""),"""")"),"")</f>
        <v/>
      </c>
      <c r="M333" s="18"/>
      <c r="N333" s="18">
        <f>countif(ConstantsUnits!C:C,F333)</f>
        <v>1</v>
      </c>
      <c r="O333" s="16" t="str">
        <f>ifna(VLOOKUP(A333,ConstantsUnits!A:A,1,false),"")</f>
        <v>von Klitzing constant</v>
      </c>
    </row>
    <row r="334">
      <c r="A334" s="1" t="s">
        <v>1173</v>
      </c>
      <c r="B334" s="19" t="s">
        <v>2247</v>
      </c>
      <c r="C334" s="19" t="s">
        <v>2248</v>
      </c>
      <c r="F334" s="16" t="str">
        <f>ifna(VLOOKUP($A334,ConstantsUnits!$A:$C,3,false),"")</f>
        <v>WeakMixingAngle</v>
      </c>
      <c r="G334" s="17" t="str">
        <f t="shared" si="1"/>
        <v>0.2223</v>
      </c>
      <c r="H334" s="17">
        <f t="shared" si="2"/>
        <v>0.2223</v>
      </c>
      <c r="I334" s="17" t="str">
        <f t="shared" si="3"/>
        <v>0.0021</v>
      </c>
      <c r="J334" s="17">
        <f t="shared" si="4"/>
        <v>0.0021</v>
      </c>
      <c r="K334" s="17" t="b">
        <f t="shared" si="5"/>
        <v>0</v>
      </c>
      <c r="L334" s="16" t="str">
        <f>IFERROR(__xludf.DUMMYFUNCTION("if(regexmatch(B334,""e(.*)$""),regexextract(B334,""e(.*)$""),"""")"),"")</f>
        <v/>
      </c>
      <c r="M334" s="18"/>
      <c r="N334" s="18">
        <f>countif(ConstantsUnits!C:C,F334)</f>
        <v>1</v>
      </c>
      <c r="O334" s="16" t="str">
        <f>ifna(VLOOKUP(A334,ConstantsUnits!A:A,1,false),"")</f>
        <v>weak mixing angle</v>
      </c>
    </row>
    <row r="335">
      <c r="A335" s="1" t="s">
        <v>1176</v>
      </c>
      <c r="B335" s="1" t="s">
        <v>2249</v>
      </c>
      <c r="C335" s="1" t="s">
        <v>2250</v>
      </c>
      <c r="D335" s="1" t="s">
        <v>242</v>
      </c>
      <c r="F335" s="16" t="str">
        <f>ifna(VLOOKUP($A335,ConstantsUnits!$A:$C,3,false),"")</f>
        <v>WienFrequencyDisplacementLawConstant</v>
      </c>
      <c r="G335" s="17" t="str">
        <f t="shared" si="1"/>
        <v>5.8789238e10</v>
      </c>
      <c r="H335" s="17">
        <f t="shared" si="2"/>
        <v>58789238000</v>
      </c>
      <c r="I335" s="17" t="str">
        <f t="shared" si="3"/>
        <v>0.0000034e10</v>
      </c>
      <c r="J335" s="17">
        <f t="shared" si="4"/>
        <v>34000</v>
      </c>
      <c r="K335" s="17" t="b">
        <f t="shared" si="5"/>
        <v>0</v>
      </c>
      <c r="L335" s="16" t="str">
        <f>IFERROR(__xludf.DUMMYFUNCTION("if(regexmatch(B335,""e(.*)$""),regexextract(B335,""e(.*)$""),"""")"),"10")</f>
        <v>10</v>
      </c>
      <c r="M335" s="18"/>
      <c r="N335" s="18">
        <f>countif(ConstantsUnits!C:C,F335)</f>
        <v>1</v>
      </c>
      <c r="O335" s="16" t="str">
        <f>ifna(VLOOKUP(A335,ConstantsUnits!A:A,1,false),"")</f>
        <v>Wien frequency displacement law constant</v>
      </c>
    </row>
    <row r="336">
      <c r="A336" s="1" t="s">
        <v>1179</v>
      </c>
      <c r="B336" s="1" t="s">
        <v>2251</v>
      </c>
      <c r="C336" s="1" t="s">
        <v>2252</v>
      </c>
      <c r="D336" s="1" t="s">
        <v>1020</v>
      </c>
      <c r="F336" s="16" t="str">
        <f>ifna(VLOOKUP($A336,ConstantsUnits!$A:$C,3,false),"")</f>
        <v>WienWavelengthDisplacementLawConstant</v>
      </c>
      <c r="G336" s="17" t="str">
        <f t="shared" si="1"/>
        <v>2.8977729e-3</v>
      </c>
      <c r="H336" s="17">
        <f t="shared" si="2"/>
        <v>0.0028977729</v>
      </c>
      <c r="I336" s="17" t="str">
        <f t="shared" si="3"/>
        <v>0.0000017e-3</v>
      </c>
      <c r="J336" s="17">
        <f t="shared" si="4"/>
        <v>0.0000000017</v>
      </c>
      <c r="K336" s="17" t="b">
        <f t="shared" si="5"/>
        <v>0</v>
      </c>
      <c r="L336" s="16" t="str">
        <f>IFERROR(__xludf.DUMMYFUNCTION("if(regexmatch(B336,""e(.*)$""),regexextract(B336,""e(.*)$""),"""")"),"-3")</f>
        <v>-3</v>
      </c>
      <c r="M336" s="18"/>
      <c r="N336" s="18">
        <f>countif(ConstantsUnits!C:C,F336)</f>
        <v>1</v>
      </c>
      <c r="O336" s="16" t="str">
        <f>ifna(VLOOKUP(A336,ConstantsUnits!A:A,1,false),"")</f>
        <v>Wien wavelength displacement law constant</v>
      </c>
    </row>
  </sheetData>
  <conditionalFormatting sqref="M1:N336">
    <cfRule type="cellIs" dxfId="1" priority="1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5" max="5" width="10.29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16.43"/>
    <col customWidth="1" min="14" max="14" width="10.14"/>
    <col customWidth="1" min="15" max="15" width="49.57"/>
  </cols>
  <sheetData>
    <row r="1">
      <c r="A1" s="4" t="s">
        <v>1</v>
      </c>
      <c r="B1" s="4" t="s">
        <v>1184</v>
      </c>
      <c r="C1" s="4" t="s">
        <v>1185</v>
      </c>
      <c r="D1" s="4" t="s">
        <v>1186</v>
      </c>
      <c r="E1" s="21"/>
      <c r="F1" s="10" t="s">
        <v>0</v>
      </c>
      <c r="G1" s="13" t="s">
        <v>1187</v>
      </c>
      <c r="H1" s="13" t="s">
        <v>1188</v>
      </c>
      <c r="I1" s="13" t="s">
        <v>1189</v>
      </c>
      <c r="J1" s="13" t="s">
        <v>1190</v>
      </c>
      <c r="K1" s="13" t="s">
        <v>1191</v>
      </c>
      <c r="L1" s="13" t="s">
        <v>1192</v>
      </c>
      <c r="M1" s="13"/>
      <c r="N1" s="14" t="s">
        <v>1193</v>
      </c>
      <c r="O1" s="13" t="s">
        <v>1194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1728</v>
      </c>
      <c r="B2" s="1" t="s">
        <v>1729</v>
      </c>
      <c r="C2" s="1" t="s">
        <v>1730</v>
      </c>
      <c r="D2" s="1" t="s">
        <v>59</v>
      </c>
      <c r="E2" s="15"/>
      <c r="F2" s="1" t="s">
        <v>671</v>
      </c>
      <c r="G2" s="17" t="str">
        <f t="shared" ref="G2:G336" si="1">SUBSTITUTE(SUBSTITUTE(B2," ",""),"...","")</f>
        <v>192.0155714e-12</v>
      </c>
      <c r="H2" s="17">
        <f t="shared" ref="H2:H336" si="2">value(G2)</f>
        <v>0.0000000001920155714</v>
      </c>
      <c r="I2" s="17" t="str">
        <f t="shared" ref="I2:I336" si="3">SUBSTITUTE(C2," ","")</f>
        <v>0.0000032e-12</v>
      </c>
      <c r="J2" s="17">
        <f t="shared" ref="J2:J336" si="4">if(I2="(exact)","",value(I2))</f>
        <v>0</v>
      </c>
      <c r="K2" s="17" t="b">
        <f t="shared" ref="K2:K336" si="5">ISNUMBER(search("...",B2))</f>
        <v>0</v>
      </c>
      <c r="L2" s="16" t="str">
        <f>IFERROR(__xludf.DUMMYFUNCTION("if(regexmatch(B2,""e(.*)$""),regexextract(B2,""e(.*)$""),"""")"),"-12")</f>
        <v>-12</v>
      </c>
      <c r="M2" s="16"/>
      <c r="N2" s="18">
        <f>countif(ConstantsUnits!C:C,F2)</f>
        <v>1</v>
      </c>
      <c r="O2" s="16" t="str">
        <f>VLOOKUP(A2,ConstantsUnits!A:A,1,false)</f>
        <v>#N/A</v>
      </c>
    </row>
    <row r="3">
      <c r="A3" s="1" t="s">
        <v>34</v>
      </c>
      <c r="B3" s="1" t="s">
        <v>2253</v>
      </c>
      <c r="C3" s="1" t="s">
        <v>1976</v>
      </c>
      <c r="E3" s="15"/>
      <c r="F3" s="16" t="str">
        <f>ifna(VLOOKUP($A3,ConstantsUnits!$A:$C,3,false),"")</f>
        <v>AlphaParticleElectronMassRatio</v>
      </c>
      <c r="G3" s="17" t="str">
        <f t="shared" si="1"/>
        <v>7294.2995361</v>
      </c>
      <c r="H3" s="17">
        <f t="shared" si="2"/>
        <v>7294.299536</v>
      </c>
      <c r="I3" s="17" t="str">
        <f t="shared" si="3"/>
        <v>0.0000029</v>
      </c>
      <c r="J3" s="17">
        <f t="shared" si="4"/>
        <v>0.0000029</v>
      </c>
      <c r="K3" s="17" t="b">
        <f t="shared" si="5"/>
        <v>0</v>
      </c>
      <c r="L3" s="16" t="str">
        <f>IFERROR(__xludf.DUMMYFUNCTION("if(regexmatch(B3,""e(.*)$""),regexextract(B3,""e(.*)$""),"""")"),"")</f>
        <v/>
      </c>
      <c r="M3" s="16"/>
      <c r="N3" s="18">
        <f>countif(ConstantsUnits!C:C,F3)</f>
        <v>1</v>
      </c>
      <c r="O3" s="16" t="str">
        <f>VLOOKUP(A3,ConstantsUnits!A:A,1,false)</f>
        <v>alpha particle-electron mass ratio</v>
      </c>
    </row>
    <row r="4">
      <c r="A4" s="1" t="s">
        <v>37</v>
      </c>
      <c r="B4" s="1" t="s">
        <v>2254</v>
      </c>
      <c r="C4" s="1" t="s">
        <v>2255</v>
      </c>
      <c r="D4" s="1" t="s">
        <v>38</v>
      </c>
      <c r="E4" s="15"/>
      <c r="F4" s="16" t="str">
        <f>ifna(VLOOKUP($A4,ConstantsUnits!$A:$C,3,false),"")</f>
        <v>AlphaParticleMass</v>
      </c>
      <c r="G4" s="17" t="str">
        <f t="shared" si="1"/>
        <v>6.64465675e-27</v>
      </c>
      <c r="H4" s="17">
        <f t="shared" si="2"/>
        <v>0</v>
      </c>
      <c r="I4" s="17" t="str">
        <f t="shared" si="3"/>
        <v>0.00000029e-27</v>
      </c>
      <c r="J4" s="17">
        <f t="shared" si="4"/>
        <v>0</v>
      </c>
      <c r="K4" s="17" t="b">
        <f t="shared" si="5"/>
        <v>0</v>
      </c>
      <c r="L4" s="16" t="str">
        <f>IFERROR(__xludf.DUMMYFUNCTION("if(regexmatch(B4,""e(.*)$""),regexextract(B4,""e(.*)$""),"""")"),"-27")</f>
        <v>-27</v>
      </c>
      <c r="M4" s="16"/>
      <c r="N4" s="18">
        <f>countif(ConstantsUnits!C:C,F4)</f>
        <v>1</v>
      </c>
      <c r="O4" s="16" t="str">
        <f>VLOOKUP(A4,ConstantsUnits!A:A,1,false)</f>
        <v>alpha particle mass</v>
      </c>
    </row>
    <row r="5">
      <c r="A5" s="1" t="s">
        <v>40</v>
      </c>
      <c r="B5" s="1" t="s">
        <v>2256</v>
      </c>
      <c r="C5" s="1" t="s">
        <v>2257</v>
      </c>
      <c r="D5" s="1" t="s">
        <v>41</v>
      </c>
      <c r="E5" s="15"/>
      <c r="F5" s="16" t="str">
        <f>ifna(VLOOKUP($A5,ConstantsUnits!$A:$C,3,false),"")</f>
        <v>AlphaParticleMassEnergyEquivalent</v>
      </c>
      <c r="G5" s="17" t="str">
        <f t="shared" si="1"/>
        <v>5.97191967e-10</v>
      </c>
      <c r="H5" s="17">
        <f t="shared" si="2"/>
        <v>0.000000000597191967</v>
      </c>
      <c r="I5" s="17" t="str">
        <f t="shared" si="3"/>
        <v>0.00000026e-10</v>
      </c>
      <c r="J5" s="17">
        <f t="shared" si="4"/>
        <v>0</v>
      </c>
      <c r="K5" s="17" t="b">
        <f t="shared" si="5"/>
        <v>0</v>
      </c>
      <c r="L5" s="16" t="str">
        <f>IFERROR(__xludf.DUMMYFUNCTION("if(regexmatch(B5,""e(.*)$""),regexextract(B5,""e(.*)$""),"""")"),"-10")</f>
        <v>-10</v>
      </c>
      <c r="M5" s="16"/>
      <c r="N5" s="18">
        <f>countif(ConstantsUnits!C:C,F5)</f>
        <v>1</v>
      </c>
      <c r="O5" s="16" t="str">
        <f>VLOOKUP(A5,ConstantsUnits!A:A,1,false)</f>
        <v>alpha particle mass energy equivalent</v>
      </c>
    </row>
    <row r="6">
      <c r="A6" s="1" t="s">
        <v>44</v>
      </c>
      <c r="B6" s="1" t="s">
        <v>2258</v>
      </c>
      <c r="C6" s="1" t="s">
        <v>2259</v>
      </c>
      <c r="D6" s="1" t="s">
        <v>45</v>
      </c>
      <c r="E6" s="15"/>
      <c r="F6" s="16" t="str">
        <f>ifna(VLOOKUP($A6,ConstantsUnits!$A:$C,3,false),"")</f>
        <v>AlphaParticleMassEnergyEquivalentInMeV</v>
      </c>
      <c r="G6" s="17" t="str">
        <f t="shared" si="1"/>
        <v>3727.379240</v>
      </c>
      <c r="H6" s="17">
        <f t="shared" si="2"/>
        <v>3727.37924</v>
      </c>
      <c r="I6" s="17" t="str">
        <f t="shared" si="3"/>
        <v>0.000082</v>
      </c>
      <c r="J6" s="17">
        <f t="shared" si="4"/>
        <v>0.000082</v>
      </c>
      <c r="K6" s="17" t="b">
        <f t="shared" si="5"/>
        <v>0</v>
      </c>
      <c r="L6" s="16" t="str">
        <f>IFERROR(__xludf.DUMMYFUNCTION("if(regexmatch(B6,""e(.*)$""),regexextract(B6,""e(.*)$""),"""")"),"")</f>
        <v/>
      </c>
      <c r="M6" s="16"/>
      <c r="N6" s="18">
        <f>countif(ConstantsUnits!C:C,F6)</f>
        <v>1</v>
      </c>
      <c r="O6" s="16" t="str">
        <f>VLOOKUP(A6,ConstantsUnits!A:A,1,false)</f>
        <v>alpha particle mass energy equivalent in MeV</v>
      </c>
    </row>
    <row r="7">
      <c r="A7" s="1" t="s">
        <v>47</v>
      </c>
      <c r="B7" s="1" t="s">
        <v>2260</v>
      </c>
      <c r="C7" s="1" t="s">
        <v>2261</v>
      </c>
      <c r="D7" s="1" t="s">
        <v>48</v>
      </c>
      <c r="E7" s="15"/>
      <c r="F7" s="16" t="str">
        <f>ifna(VLOOKUP($A7,ConstantsUnits!$A:$C,3,false),"")</f>
        <v>AlphaParticleMassInAtomicMassUnit</v>
      </c>
      <c r="G7" s="17" t="str">
        <f t="shared" si="1"/>
        <v>4.001506179125</v>
      </c>
      <c r="H7" s="17">
        <f t="shared" si="2"/>
        <v>4.001506179</v>
      </c>
      <c r="I7" s="17" t="str">
        <f t="shared" si="3"/>
        <v>0.000000000062</v>
      </c>
      <c r="J7" s="17">
        <f t="shared" si="4"/>
        <v>0</v>
      </c>
      <c r="K7" s="17" t="b">
        <f t="shared" si="5"/>
        <v>0</v>
      </c>
      <c r="L7" s="16" t="str">
        <f>IFERROR(__xludf.DUMMYFUNCTION("if(regexmatch(B7,""e(.*)$""),regexextract(B7,""e(.*)$""),"""")"),"")</f>
        <v/>
      </c>
      <c r="M7" s="16"/>
      <c r="N7" s="18">
        <f>countif(ConstantsUnits!C:C,F7)</f>
        <v>1</v>
      </c>
      <c r="O7" s="16" t="str">
        <f>VLOOKUP(A7,ConstantsUnits!A:A,1,false)</f>
        <v>alpha particle mass in u</v>
      </c>
    </row>
    <row r="8">
      <c r="A8" s="1" t="s">
        <v>50</v>
      </c>
      <c r="B8" s="1" t="s">
        <v>2262</v>
      </c>
      <c r="C8" s="1" t="s">
        <v>2263</v>
      </c>
      <c r="D8" s="1" t="s">
        <v>51</v>
      </c>
      <c r="E8" s="15"/>
      <c r="F8" s="16" t="str">
        <f>ifna(VLOOKUP($A8,ConstantsUnits!$A:$C,3,false),"")</f>
        <v>AlphaParticleMolarMass</v>
      </c>
      <c r="G8" s="17" t="str">
        <f t="shared" si="1"/>
        <v>4.001506179125e-3</v>
      </c>
      <c r="H8" s="17">
        <f t="shared" si="2"/>
        <v>0.004001506179</v>
      </c>
      <c r="I8" s="17" t="str">
        <f t="shared" si="3"/>
        <v>0.000000000062e-3</v>
      </c>
      <c r="J8" s="17">
        <f t="shared" si="4"/>
        <v>0</v>
      </c>
      <c r="K8" s="17" t="b">
        <f t="shared" si="5"/>
        <v>0</v>
      </c>
      <c r="L8" s="16" t="str">
        <f>IFERROR(__xludf.DUMMYFUNCTION("if(regexmatch(B8,""e(.*)$""),regexextract(B8,""e(.*)$""),"""")"),"-3")</f>
        <v>-3</v>
      </c>
      <c r="M8" s="16"/>
      <c r="N8" s="18">
        <f>countif(ConstantsUnits!C:C,F8)</f>
        <v>1</v>
      </c>
      <c r="O8" s="16" t="str">
        <f>VLOOKUP(A8,ConstantsUnits!A:A,1,false)</f>
        <v>alpha particle molar mass</v>
      </c>
    </row>
    <row r="9">
      <c r="A9" s="1" t="s">
        <v>54</v>
      </c>
      <c r="B9" s="1" t="s">
        <v>2264</v>
      </c>
      <c r="C9" s="1" t="s">
        <v>1741</v>
      </c>
      <c r="E9" s="15"/>
      <c r="F9" s="16" t="str">
        <f>ifna(VLOOKUP($A9,ConstantsUnits!$A:$C,3,false),"")</f>
        <v>AlphaParticleProtonMassRatio</v>
      </c>
      <c r="G9" s="17" t="str">
        <f t="shared" si="1"/>
        <v>3.97259968933</v>
      </c>
      <c r="H9" s="17">
        <f t="shared" si="2"/>
        <v>3.972599689</v>
      </c>
      <c r="I9" s="17" t="str">
        <f t="shared" si="3"/>
        <v>0.00000000036</v>
      </c>
      <c r="J9" s="17">
        <f t="shared" si="4"/>
        <v>0.00000000036</v>
      </c>
      <c r="K9" s="17" t="b">
        <f t="shared" si="5"/>
        <v>0</v>
      </c>
      <c r="L9" s="16" t="str">
        <f>IFERROR(__xludf.DUMMYFUNCTION("if(regexmatch(B9,""e(.*)$""),regexextract(B9,""e(.*)$""),"""")"),"")</f>
        <v/>
      </c>
      <c r="M9" s="16"/>
      <c r="N9" s="18">
        <f>countif(ConstantsUnits!C:C,F9)</f>
        <v>1</v>
      </c>
      <c r="O9" s="16" t="str">
        <f>VLOOKUP(A9,ConstantsUnits!A:A,1,false)</f>
        <v>alpha particle-proton mass ratio</v>
      </c>
    </row>
    <row r="10">
      <c r="A10" s="1" t="s">
        <v>58</v>
      </c>
      <c r="B10" s="1" t="s">
        <v>1209</v>
      </c>
      <c r="C10" s="1" t="s">
        <v>1210</v>
      </c>
      <c r="D10" s="1" t="s">
        <v>59</v>
      </c>
      <c r="E10" s="15"/>
      <c r="F10" s="16" t="str">
        <f>ifna(VLOOKUP($A10,ConstantsUnits!$A:$C,3,false),"")</f>
        <v>AngstromStar</v>
      </c>
      <c r="G10" s="17" t="str">
        <f t="shared" si="1"/>
        <v>1.00001495e-10</v>
      </c>
      <c r="H10" s="17">
        <f t="shared" si="2"/>
        <v>0.000000000100001495</v>
      </c>
      <c r="I10" s="17" t="str">
        <f t="shared" si="3"/>
        <v>0.00000090e-10</v>
      </c>
      <c r="J10" s="17">
        <f t="shared" si="4"/>
        <v>0</v>
      </c>
      <c r="K10" s="17" t="b">
        <f t="shared" si="5"/>
        <v>0</v>
      </c>
      <c r="L10" s="16" t="str">
        <f>IFERROR(__xludf.DUMMYFUNCTION("if(regexmatch(B10,""e(.*)$""),regexextract(B10,""e(.*)$""),"""")"),"-10")</f>
        <v>-10</v>
      </c>
      <c r="M10" s="16"/>
      <c r="N10" s="18">
        <f>countif(ConstantsUnits!C:C,F10)</f>
        <v>1</v>
      </c>
      <c r="O10" s="16" t="str">
        <f>VLOOKUP(A10,ConstantsUnits!A:A,1,false)</f>
        <v>Angstrom star</v>
      </c>
    </row>
    <row r="11">
      <c r="A11" s="1" t="s">
        <v>62</v>
      </c>
      <c r="B11" s="1" t="s">
        <v>2265</v>
      </c>
      <c r="C11" s="1" t="s">
        <v>2266</v>
      </c>
      <c r="D11" s="1" t="s">
        <v>38</v>
      </c>
      <c r="E11" s="15"/>
      <c r="F11" s="16" t="str">
        <f>ifna(VLOOKUP($A11,ConstantsUnits!$A:$C,3,false),"")</f>
        <v>AtomicMassConstant</v>
      </c>
      <c r="G11" s="17" t="str">
        <f t="shared" si="1"/>
        <v>1.660538921e-27</v>
      </c>
      <c r="H11" s="17">
        <f t="shared" si="2"/>
        <v>0</v>
      </c>
      <c r="I11" s="17" t="str">
        <f t="shared" si="3"/>
        <v>0.000000073e-27</v>
      </c>
      <c r="J11" s="17">
        <f t="shared" si="4"/>
        <v>0</v>
      </c>
      <c r="K11" s="17" t="b">
        <f t="shared" si="5"/>
        <v>0</v>
      </c>
      <c r="L11" s="16" t="str">
        <f>IFERROR(__xludf.DUMMYFUNCTION("if(regexmatch(B11,""e(.*)$""),regexextract(B11,""e(.*)$""),"""")"),"-27")</f>
        <v>-27</v>
      </c>
      <c r="M11" s="16"/>
      <c r="N11" s="18">
        <f>countif(ConstantsUnits!C:C,F11)</f>
        <v>1</v>
      </c>
      <c r="O11" s="16" t="str">
        <f>VLOOKUP(A11,ConstantsUnits!A:A,1,false)</f>
        <v>atomic mass constant</v>
      </c>
    </row>
    <row r="12">
      <c r="A12" s="1" t="s">
        <v>65</v>
      </c>
      <c r="B12" s="1" t="s">
        <v>2267</v>
      </c>
      <c r="C12" s="1" t="s">
        <v>2268</v>
      </c>
      <c r="D12" s="1" t="s">
        <v>41</v>
      </c>
      <c r="E12" s="15"/>
      <c r="F12" s="16" t="str">
        <f>ifna(VLOOKUP($A12,ConstantsUnits!$A:$C,3,false),"")</f>
        <v>AtomicMassConstantEnergyEquivalent</v>
      </c>
      <c r="G12" s="17" t="str">
        <f t="shared" si="1"/>
        <v>1.492417954e-10</v>
      </c>
      <c r="H12" s="17">
        <f t="shared" si="2"/>
        <v>0.0000000001492417954</v>
      </c>
      <c r="I12" s="17" t="str">
        <f t="shared" si="3"/>
        <v>0.000000066e-10</v>
      </c>
      <c r="J12" s="17">
        <f t="shared" si="4"/>
        <v>0</v>
      </c>
      <c r="K12" s="17" t="b">
        <f t="shared" si="5"/>
        <v>0</v>
      </c>
      <c r="L12" s="16" t="str">
        <f>IFERROR(__xludf.DUMMYFUNCTION("if(regexmatch(B12,""e(.*)$""),regexextract(B12,""e(.*)$""),"""")"),"-10")</f>
        <v>-10</v>
      </c>
      <c r="M12" s="16"/>
      <c r="N12" s="18">
        <f>countif(ConstantsUnits!C:C,F12)</f>
        <v>1</v>
      </c>
      <c r="O12" s="16" t="str">
        <f>VLOOKUP(A12,ConstantsUnits!A:A,1,false)</f>
        <v>atomic mass constant energy equivalent</v>
      </c>
    </row>
    <row r="13">
      <c r="A13" s="1" t="s">
        <v>67</v>
      </c>
      <c r="B13" s="1" t="s">
        <v>2269</v>
      </c>
      <c r="C13" s="1" t="s">
        <v>1640</v>
      </c>
      <c r="D13" s="1" t="s">
        <v>45</v>
      </c>
      <c r="E13" s="15"/>
      <c r="F13" s="16" t="str">
        <f>ifna(VLOOKUP($A13,ConstantsUnits!$A:$C,3,false),"")</f>
        <v>AtomicMassConstantEnergyEquivalentInMeV</v>
      </c>
      <c r="G13" s="17" t="str">
        <f t="shared" si="1"/>
        <v>931.494061</v>
      </c>
      <c r="H13" s="17">
        <f t="shared" si="2"/>
        <v>931.494061</v>
      </c>
      <c r="I13" s="17" t="str">
        <f t="shared" si="3"/>
        <v>0.000021</v>
      </c>
      <c r="J13" s="17">
        <f t="shared" si="4"/>
        <v>0.000021</v>
      </c>
      <c r="K13" s="17" t="b">
        <f t="shared" si="5"/>
        <v>0</v>
      </c>
      <c r="L13" s="16" t="str">
        <f>IFERROR(__xludf.DUMMYFUNCTION("if(regexmatch(B13,""e(.*)$""),regexextract(B13,""e(.*)$""),"""")"),"")</f>
        <v/>
      </c>
      <c r="M13" s="16"/>
      <c r="N13" s="18">
        <f>countif(ConstantsUnits!C:C,F13)</f>
        <v>1</v>
      </c>
      <c r="O13" s="16" t="str">
        <f>VLOOKUP(A13,ConstantsUnits!A:A,1,false)</f>
        <v>atomic mass constant energy equivalent in MeV</v>
      </c>
    </row>
    <row r="14">
      <c r="A14" s="1" t="s">
        <v>69</v>
      </c>
      <c r="B14" s="1" t="s">
        <v>2270</v>
      </c>
      <c r="C14" s="1" t="s">
        <v>2271</v>
      </c>
      <c r="D14" s="1" t="s">
        <v>70</v>
      </c>
      <c r="E14" s="15"/>
      <c r="F14" s="16" t="str">
        <f>ifna(VLOOKUP($A14,ConstantsUnits!$A:$C,3,false),"")</f>
        <v>AtomicMassUnitElectronVoltRelationship</v>
      </c>
      <c r="G14" s="17" t="str">
        <f t="shared" si="1"/>
        <v>931.494061e6</v>
      </c>
      <c r="H14" s="17">
        <f t="shared" si="2"/>
        <v>931494061</v>
      </c>
      <c r="I14" s="17" t="str">
        <f t="shared" si="3"/>
        <v>0.000021e6</v>
      </c>
      <c r="J14" s="17">
        <f t="shared" si="4"/>
        <v>21</v>
      </c>
      <c r="K14" s="17" t="b">
        <f t="shared" si="5"/>
        <v>0</v>
      </c>
      <c r="L14" s="16" t="str">
        <f>IFERROR(__xludf.DUMMYFUNCTION("if(regexmatch(B14,""e(.*)$""),regexextract(B14,""e(.*)$""),"""")"),"6")</f>
        <v>6</v>
      </c>
      <c r="M14" s="16"/>
      <c r="N14" s="18">
        <f>countif(ConstantsUnits!C:C,F14)</f>
        <v>1</v>
      </c>
      <c r="O14" s="16" t="str">
        <f>VLOOKUP(A14,ConstantsUnits!A:A,1,false)</f>
        <v>atomic mass unit-electron volt relationship</v>
      </c>
    </row>
    <row r="15">
      <c r="A15" s="1" t="s">
        <v>73</v>
      </c>
      <c r="B15" s="1" t="s">
        <v>2272</v>
      </c>
      <c r="C15" s="1" t="s">
        <v>2273</v>
      </c>
      <c r="D15" s="1" t="s">
        <v>74</v>
      </c>
      <c r="E15" s="15"/>
      <c r="F15" s="16" t="str">
        <f>ifna(VLOOKUP($A15,ConstantsUnits!$A:$C,3,false),"")</f>
        <v>AtomicMassUnitHartreeRelationship</v>
      </c>
      <c r="G15" s="17" t="str">
        <f t="shared" si="1"/>
        <v>3.4231776845e7</v>
      </c>
      <c r="H15" s="17">
        <f t="shared" si="2"/>
        <v>34231776.85</v>
      </c>
      <c r="I15" s="17" t="str">
        <f t="shared" si="3"/>
        <v>0.0000000024e7</v>
      </c>
      <c r="J15" s="17">
        <f t="shared" si="4"/>
        <v>0.024</v>
      </c>
      <c r="K15" s="17" t="b">
        <f t="shared" si="5"/>
        <v>0</v>
      </c>
      <c r="L15" s="16" t="str">
        <f>IFERROR(__xludf.DUMMYFUNCTION("if(regexmatch(B15,""e(.*)$""),regexextract(B15,""e(.*)$""),"""")"),"7")</f>
        <v>7</v>
      </c>
      <c r="M15" s="16"/>
      <c r="N15" s="18">
        <f>countif(ConstantsUnits!C:C,F15)</f>
        <v>1</v>
      </c>
      <c r="O15" s="16" t="str">
        <f>VLOOKUP(A15,ConstantsUnits!A:A,1,false)</f>
        <v>atomic mass unit-hartree relationship</v>
      </c>
    </row>
    <row r="16">
      <c r="A16" s="1" t="s">
        <v>78</v>
      </c>
      <c r="B16" s="1" t="s">
        <v>2274</v>
      </c>
      <c r="C16" s="1" t="s">
        <v>2275</v>
      </c>
      <c r="D16" s="1" t="s">
        <v>79</v>
      </c>
      <c r="E16" s="15"/>
      <c r="F16" s="16" t="str">
        <f>ifna(VLOOKUP($A16,ConstantsUnits!$A:$C,3,false),"")</f>
        <v>AtomicMassUnitHertzRelationship</v>
      </c>
      <c r="G16" s="17" t="str">
        <f t="shared" si="1"/>
        <v>2.2523427168e23</v>
      </c>
      <c r="H16" s="17">
        <f t="shared" si="2"/>
        <v>2.25234E+23</v>
      </c>
      <c r="I16" s="17" t="str">
        <f t="shared" si="3"/>
        <v>0.0000000016e23</v>
      </c>
      <c r="J16" s="17">
        <f t="shared" si="4"/>
        <v>160000000000000</v>
      </c>
      <c r="K16" s="17" t="b">
        <f t="shared" si="5"/>
        <v>0</v>
      </c>
      <c r="L16" s="16" t="str">
        <f>IFERROR(__xludf.DUMMYFUNCTION("if(regexmatch(B16,""e(.*)$""),regexextract(B16,""e(.*)$""),"""")"),"23")</f>
        <v>23</v>
      </c>
      <c r="M16" s="16"/>
      <c r="N16" s="18">
        <f>countif(ConstantsUnits!C:C,F16)</f>
        <v>1</v>
      </c>
      <c r="O16" s="16" t="str">
        <f>VLOOKUP(A16,ConstantsUnits!A:A,1,false)</f>
        <v>atomic mass unit-hertz relationship</v>
      </c>
    </row>
    <row r="17">
      <c r="A17" s="1" t="s">
        <v>82</v>
      </c>
      <c r="B17" s="1" t="s">
        <v>2276</v>
      </c>
      <c r="C17" s="1" t="s">
        <v>2277</v>
      </c>
      <c r="D17" s="1" t="s">
        <v>83</v>
      </c>
      <c r="E17" s="15"/>
      <c r="F17" s="16" t="str">
        <f>ifna(VLOOKUP($A17,ConstantsUnits!$A:$C,3,false),"")</f>
        <v>AtomicMassUnitInverseMeterRelationship</v>
      </c>
      <c r="G17" s="17" t="str">
        <f t="shared" si="1"/>
        <v>7.5130066042e14</v>
      </c>
      <c r="H17" s="17">
        <f t="shared" si="2"/>
        <v>751300660420000</v>
      </c>
      <c r="I17" s="17" t="str">
        <f t="shared" si="3"/>
        <v>0.0000000053e14</v>
      </c>
      <c r="J17" s="17">
        <f t="shared" si="4"/>
        <v>530000</v>
      </c>
      <c r="K17" s="17" t="b">
        <f t="shared" si="5"/>
        <v>0</v>
      </c>
      <c r="L17" s="16" t="str">
        <f>IFERROR(__xludf.DUMMYFUNCTION("if(regexmatch(B17,""e(.*)$""),regexextract(B17,""e(.*)$""),"""")"),"14")</f>
        <v>14</v>
      </c>
      <c r="M17" s="16"/>
      <c r="N17" s="18">
        <f>countif(ConstantsUnits!C:C,F17)</f>
        <v>1</v>
      </c>
      <c r="O17" s="16" t="str">
        <f>VLOOKUP(A17,ConstantsUnits!A:A,1,false)</f>
        <v>atomic mass unit-inverse meter relationship</v>
      </c>
    </row>
    <row r="18">
      <c r="A18" s="1" t="s">
        <v>87</v>
      </c>
      <c r="B18" s="1" t="s">
        <v>2267</v>
      </c>
      <c r="C18" s="1" t="s">
        <v>2268</v>
      </c>
      <c r="D18" s="1" t="s">
        <v>41</v>
      </c>
      <c r="E18" s="15"/>
      <c r="F18" s="16" t="str">
        <f>ifna(VLOOKUP($A18,ConstantsUnits!$A:$C,3,false),"")</f>
        <v>AtomicMassUnitJouleRelationship</v>
      </c>
      <c r="G18" s="17" t="str">
        <f t="shared" si="1"/>
        <v>1.492417954e-10</v>
      </c>
      <c r="H18" s="17">
        <f t="shared" si="2"/>
        <v>0.0000000001492417954</v>
      </c>
      <c r="I18" s="17" t="str">
        <f t="shared" si="3"/>
        <v>0.000000066e-10</v>
      </c>
      <c r="J18" s="17">
        <f t="shared" si="4"/>
        <v>0</v>
      </c>
      <c r="K18" s="17" t="b">
        <f t="shared" si="5"/>
        <v>0</v>
      </c>
      <c r="L18" s="16" t="str">
        <f>IFERROR(__xludf.DUMMYFUNCTION("if(regexmatch(B18,""e(.*)$""),regexextract(B18,""e(.*)$""),"""")"),"-10")</f>
        <v>-10</v>
      </c>
      <c r="M18" s="16"/>
      <c r="N18" s="18">
        <f>countif(ConstantsUnits!C:C,F18)</f>
        <v>1</v>
      </c>
      <c r="O18" s="16" t="str">
        <f>VLOOKUP(A18,ConstantsUnits!A:A,1,false)</f>
        <v>atomic mass unit-joule relationship</v>
      </c>
    </row>
    <row r="19">
      <c r="A19" s="1" t="s">
        <v>90</v>
      </c>
      <c r="B19" s="1" t="s">
        <v>2278</v>
      </c>
      <c r="C19" s="1" t="s">
        <v>2279</v>
      </c>
      <c r="D19" s="1" t="s">
        <v>91</v>
      </c>
      <c r="E19" s="15"/>
      <c r="F19" s="16" t="str">
        <f>ifna(VLOOKUP($A19,ConstantsUnits!$A:$C,3,false),"")</f>
        <v>AtomicMassUnitKelvinRelationship</v>
      </c>
      <c r="G19" s="17" t="str">
        <f t="shared" si="1"/>
        <v>1.08095408e13</v>
      </c>
      <c r="H19" s="17">
        <f t="shared" si="2"/>
        <v>10809540800000</v>
      </c>
      <c r="I19" s="17" t="str">
        <f t="shared" si="3"/>
        <v>0.00000098e13</v>
      </c>
      <c r="J19" s="17">
        <f t="shared" si="4"/>
        <v>9800000</v>
      </c>
      <c r="K19" s="17" t="b">
        <f t="shared" si="5"/>
        <v>0</v>
      </c>
      <c r="L19" s="16" t="str">
        <f>IFERROR(__xludf.DUMMYFUNCTION("if(regexmatch(B19,""e(.*)$""),regexextract(B19,""e(.*)$""),"""")"),"13")</f>
        <v>13</v>
      </c>
      <c r="M19" s="16"/>
      <c r="N19" s="18">
        <f>countif(ConstantsUnits!C:C,F19)</f>
        <v>1</v>
      </c>
      <c r="O19" s="16" t="str">
        <f>VLOOKUP(A19,ConstantsUnits!A:A,1,false)</f>
        <v>atomic mass unit-kelvin relationship</v>
      </c>
    </row>
    <row r="20">
      <c r="A20" s="1" t="s">
        <v>94</v>
      </c>
      <c r="B20" s="1" t="s">
        <v>2265</v>
      </c>
      <c r="C20" s="1" t="s">
        <v>2266</v>
      </c>
      <c r="D20" s="1" t="s">
        <v>38</v>
      </c>
      <c r="E20" s="15"/>
      <c r="F20" s="16" t="str">
        <f>ifna(VLOOKUP($A20,ConstantsUnits!$A:$C,3,false),"")</f>
        <v>AtomicMassUnitKilogramRelationship</v>
      </c>
      <c r="G20" s="17" t="str">
        <f t="shared" si="1"/>
        <v>1.660538921e-27</v>
      </c>
      <c r="H20" s="17">
        <f t="shared" si="2"/>
        <v>0</v>
      </c>
      <c r="I20" s="17" t="str">
        <f t="shared" si="3"/>
        <v>0.000000073e-27</v>
      </c>
      <c r="J20" s="17">
        <f t="shared" si="4"/>
        <v>0</v>
      </c>
      <c r="K20" s="17" t="b">
        <f t="shared" si="5"/>
        <v>0</v>
      </c>
      <c r="L20" s="16" t="str">
        <f>IFERROR(__xludf.DUMMYFUNCTION("if(regexmatch(B20,""e(.*)$""),regexextract(B20,""e(.*)$""),"""")"),"-27")</f>
        <v>-27</v>
      </c>
      <c r="M20" s="16"/>
      <c r="N20" s="18">
        <f>countif(ConstantsUnits!C:C,F20)</f>
        <v>1</v>
      </c>
      <c r="O20" s="16" t="str">
        <f>VLOOKUP(A20,ConstantsUnits!A:A,1,false)</f>
        <v>atomic mass unit-kilogram relationship</v>
      </c>
    </row>
    <row r="21">
      <c r="A21" s="1" t="s">
        <v>97</v>
      </c>
      <c r="B21" s="1" t="s">
        <v>2280</v>
      </c>
      <c r="C21" s="1" t="s">
        <v>2281</v>
      </c>
      <c r="D21" s="1" t="s">
        <v>98</v>
      </c>
      <c r="E21" s="15"/>
      <c r="F21" s="16" t="str">
        <f>ifna(VLOOKUP($A21,ConstantsUnits!$A:$C,3,false),"")</f>
        <v>AtomicUnitOf1stHyperpolarizablity</v>
      </c>
      <c r="G21" s="17" t="str">
        <f t="shared" si="1"/>
        <v>3.206361449e-53</v>
      </c>
      <c r="H21" s="17">
        <f t="shared" si="2"/>
        <v>0</v>
      </c>
      <c r="I21" s="17" t="str">
        <f t="shared" si="3"/>
        <v>0.000000071e-53</v>
      </c>
      <c r="J21" s="17">
        <f t="shared" si="4"/>
        <v>0</v>
      </c>
      <c r="K21" s="17" t="b">
        <f t="shared" si="5"/>
        <v>0</v>
      </c>
      <c r="L21" s="16" t="str">
        <f>IFERROR(__xludf.DUMMYFUNCTION("if(regexmatch(B21,""e(.*)$""),regexextract(B21,""e(.*)$""),"""")"),"-53")</f>
        <v>-53</v>
      </c>
      <c r="M21" s="16"/>
      <c r="N21" s="18">
        <f>countif(ConstantsUnits!C:C,F21)</f>
        <v>1</v>
      </c>
      <c r="O21" s="16" t="str">
        <f>VLOOKUP(A21,ConstantsUnits!A:A,1,false)</f>
        <v>atomic unit of 1st hyperpolarizability</v>
      </c>
    </row>
    <row r="22">
      <c r="A22" s="1" t="s">
        <v>102</v>
      </c>
      <c r="B22" s="1" t="s">
        <v>2282</v>
      </c>
      <c r="C22" s="1" t="s">
        <v>2283</v>
      </c>
      <c r="D22" s="1" t="s">
        <v>103</v>
      </c>
      <c r="E22" s="15"/>
      <c r="F22" s="16" t="str">
        <f>ifna(VLOOKUP($A22,ConstantsUnits!$A:$C,3,false),"")</f>
        <v>AtomicUnitOf2ndHyperpolarizablity</v>
      </c>
      <c r="G22" s="17" t="str">
        <f t="shared" si="1"/>
        <v>6.23538054e-65</v>
      </c>
      <c r="H22" s="17">
        <f t="shared" si="2"/>
        <v>0</v>
      </c>
      <c r="I22" s="17" t="str">
        <f t="shared" si="3"/>
        <v>0.00000028e-65</v>
      </c>
      <c r="J22" s="17">
        <f t="shared" si="4"/>
        <v>0</v>
      </c>
      <c r="K22" s="17" t="b">
        <f t="shared" si="5"/>
        <v>0</v>
      </c>
      <c r="L22" s="16" t="str">
        <f>IFERROR(__xludf.DUMMYFUNCTION("if(regexmatch(B22,""e(.*)$""),regexextract(B22,""e(.*)$""),"""")"),"-65")</f>
        <v>-65</v>
      </c>
      <c r="M22" s="16"/>
      <c r="N22" s="18">
        <f>countif(ConstantsUnits!C:C,F22)</f>
        <v>1</v>
      </c>
      <c r="O22" s="16" t="str">
        <f>VLOOKUP(A22,ConstantsUnits!A:A,1,false)</f>
        <v>atomic unit of 2nd hyperpolarizability</v>
      </c>
    </row>
    <row r="23">
      <c r="A23" s="1" t="s">
        <v>107</v>
      </c>
      <c r="B23" s="1" t="s">
        <v>2284</v>
      </c>
      <c r="C23" s="1" t="s">
        <v>2285</v>
      </c>
      <c r="D23" s="1" t="s">
        <v>108</v>
      </c>
      <c r="E23" s="15"/>
      <c r="F23" s="16" t="str">
        <f>ifna(VLOOKUP($A23,ConstantsUnits!$A:$C,3,false),"")</f>
        <v>AtomicUnitOfAction</v>
      </c>
      <c r="G23" s="17" t="str">
        <f t="shared" si="1"/>
        <v>1.054571726e-34</v>
      </c>
      <c r="H23" s="17">
        <f t="shared" si="2"/>
        <v>0</v>
      </c>
      <c r="I23" s="17" t="str">
        <f t="shared" si="3"/>
        <v>0.000000047e-34</v>
      </c>
      <c r="J23" s="17">
        <f t="shared" si="4"/>
        <v>0</v>
      </c>
      <c r="K23" s="17" t="b">
        <f t="shared" si="5"/>
        <v>0</v>
      </c>
      <c r="L23" s="16" t="str">
        <f>IFERROR(__xludf.DUMMYFUNCTION("if(regexmatch(B23,""e(.*)$""),regexextract(B23,""e(.*)$""),"""")"),"-34")</f>
        <v>-34</v>
      </c>
      <c r="M23" s="16"/>
      <c r="N23" s="18">
        <f>countif(ConstantsUnits!C:C,F23)</f>
        <v>1</v>
      </c>
      <c r="O23" s="16" t="str">
        <f>VLOOKUP(A23,ConstantsUnits!A:A,1,false)</f>
        <v>atomic unit of action</v>
      </c>
    </row>
    <row r="24">
      <c r="A24" s="1" t="s">
        <v>112</v>
      </c>
      <c r="B24" s="1" t="s">
        <v>2286</v>
      </c>
      <c r="C24" s="1" t="s">
        <v>2287</v>
      </c>
      <c r="D24" s="1" t="s">
        <v>113</v>
      </c>
      <c r="E24" s="15"/>
      <c r="F24" s="16" t="str">
        <f>ifna(VLOOKUP($A24,ConstantsUnits!$A:$C,3,false),"")</f>
        <v>AtomicUnitOfCharge</v>
      </c>
      <c r="G24" s="17" t="str">
        <f t="shared" si="1"/>
        <v>1.602176565e-19</v>
      </c>
      <c r="H24" s="17">
        <f t="shared" si="2"/>
        <v>0</v>
      </c>
      <c r="I24" s="17" t="str">
        <f t="shared" si="3"/>
        <v>0.000000035e-19</v>
      </c>
      <c r="J24" s="17">
        <f t="shared" si="4"/>
        <v>0</v>
      </c>
      <c r="K24" s="17" t="b">
        <f t="shared" si="5"/>
        <v>0</v>
      </c>
      <c r="L24" s="16" t="str">
        <f>IFERROR(__xludf.DUMMYFUNCTION("if(regexmatch(B24,""e(.*)$""),regexextract(B24,""e(.*)$""),"""")"),"-19")</f>
        <v>-19</v>
      </c>
      <c r="M24" s="16"/>
      <c r="N24" s="18">
        <f>countif(ConstantsUnits!C:C,F24)</f>
        <v>1</v>
      </c>
      <c r="O24" s="16" t="str">
        <f>VLOOKUP(A24,ConstantsUnits!A:A,1,false)</f>
        <v>atomic unit of charge</v>
      </c>
    </row>
    <row r="25">
      <c r="A25" s="1" t="s">
        <v>117</v>
      </c>
      <c r="B25" s="1" t="s">
        <v>2288</v>
      </c>
      <c r="C25" s="1" t="s">
        <v>2289</v>
      </c>
      <c r="D25" s="1" t="s">
        <v>118</v>
      </c>
      <c r="E25" s="15"/>
      <c r="F25" s="16" t="str">
        <f>ifna(VLOOKUP($A25,ConstantsUnits!$A:$C,3,false),"")</f>
        <v>AtomicUnitOfChargeDensity</v>
      </c>
      <c r="G25" s="17" t="str">
        <f t="shared" si="1"/>
        <v>1.081202338e12</v>
      </c>
      <c r="H25" s="17">
        <f t="shared" si="2"/>
        <v>1081202338000</v>
      </c>
      <c r="I25" s="17" t="str">
        <f t="shared" si="3"/>
        <v>0.000000024e12</v>
      </c>
      <c r="J25" s="17">
        <f t="shared" si="4"/>
        <v>24000</v>
      </c>
      <c r="K25" s="17" t="b">
        <f t="shared" si="5"/>
        <v>0</v>
      </c>
      <c r="L25" s="16" t="str">
        <f>IFERROR(__xludf.DUMMYFUNCTION("if(regexmatch(B25,""e(.*)$""),regexextract(B25,""e(.*)$""),"""")"),"12")</f>
        <v>12</v>
      </c>
      <c r="M25" s="16"/>
      <c r="N25" s="18">
        <f>countif(ConstantsUnits!C:C,F25)</f>
        <v>1</v>
      </c>
      <c r="O25" s="16" t="str">
        <f>VLOOKUP(A25,ConstantsUnits!A:A,1,false)</f>
        <v>atomic unit of charge density</v>
      </c>
    </row>
    <row r="26">
      <c r="A26" s="1" t="s">
        <v>122</v>
      </c>
      <c r="B26" s="1" t="s">
        <v>2290</v>
      </c>
      <c r="C26" s="1" t="s">
        <v>2291</v>
      </c>
      <c r="D26" s="1" t="s">
        <v>123</v>
      </c>
      <c r="E26" s="15"/>
      <c r="F26" s="16" t="str">
        <f>ifna(VLOOKUP($A26,ConstantsUnits!$A:$C,3,false),"")</f>
        <v>AtomicUnitOfCurrent</v>
      </c>
      <c r="G26" s="17" t="str">
        <f t="shared" si="1"/>
        <v>6.62361795e-3</v>
      </c>
      <c r="H26" s="17">
        <f t="shared" si="2"/>
        <v>0.00662361795</v>
      </c>
      <c r="I26" s="17" t="str">
        <f t="shared" si="3"/>
        <v>0.00000015e-3</v>
      </c>
      <c r="J26" s="17">
        <f t="shared" si="4"/>
        <v>0.00000000015</v>
      </c>
      <c r="K26" s="17" t="b">
        <f t="shared" si="5"/>
        <v>0</v>
      </c>
      <c r="L26" s="16" t="str">
        <f>IFERROR(__xludf.DUMMYFUNCTION("if(regexmatch(B26,""e(.*)$""),regexextract(B26,""e(.*)$""),"""")"),"-3")</f>
        <v>-3</v>
      </c>
      <c r="M26" s="16"/>
      <c r="N26" s="18">
        <f>countif(ConstantsUnits!C:C,F26)</f>
        <v>1</v>
      </c>
      <c r="O26" s="16" t="str">
        <f>VLOOKUP(A26,ConstantsUnits!A:A,1,false)</f>
        <v>atomic unit of current</v>
      </c>
    </row>
    <row r="27">
      <c r="A27" s="1" t="s">
        <v>126</v>
      </c>
      <c r="B27" s="1" t="s">
        <v>2292</v>
      </c>
      <c r="C27" s="1" t="s">
        <v>2293</v>
      </c>
      <c r="D27" s="1" t="s">
        <v>127</v>
      </c>
      <c r="E27" s="15"/>
      <c r="F27" s="16" t="str">
        <f>ifna(VLOOKUP($A27,ConstantsUnits!$A:$C,3,false),"")</f>
        <v>AtomicUnitOfElectricDipoleMom.</v>
      </c>
      <c r="G27" s="17" t="str">
        <f t="shared" si="1"/>
        <v>8.47835326e-30</v>
      </c>
      <c r="H27" s="17">
        <f t="shared" si="2"/>
        <v>0</v>
      </c>
      <c r="I27" s="17" t="str">
        <f t="shared" si="3"/>
        <v>0.00000019e-30</v>
      </c>
      <c r="J27" s="17">
        <f t="shared" si="4"/>
        <v>0</v>
      </c>
      <c r="K27" s="17" t="b">
        <f t="shared" si="5"/>
        <v>0</v>
      </c>
      <c r="L27" s="16" t="str">
        <f>IFERROR(__xludf.DUMMYFUNCTION("if(regexmatch(B27,""e(.*)$""),regexextract(B27,""e(.*)$""),"""")"),"-30")</f>
        <v>-30</v>
      </c>
      <c r="M27" s="16"/>
      <c r="N27" s="18">
        <f>countif(ConstantsUnits!C:C,F27)</f>
        <v>1</v>
      </c>
      <c r="O27" s="16" t="str">
        <f>VLOOKUP(A27,ConstantsUnits!A:A,1,false)</f>
        <v>atomic unit of electric dipole mom.</v>
      </c>
    </row>
    <row r="28">
      <c r="A28" s="1" t="s">
        <v>130</v>
      </c>
      <c r="B28" s="1" t="s">
        <v>2294</v>
      </c>
      <c r="C28" s="1" t="s">
        <v>2295</v>
      </c>
      <c r="D28" s="1" t="s">
        <v>131</v>
      </c>
      <c r="E28" s="15"/>
      <c r="F28" s="16" t="str">
        <f>ifna(VLOOKUP($A28,ConstantsUnits!$A:$C,3,false),"")</f>
        <v>AtomicUnitOfElectricField</v>
      </c>
      <c r="G28" s="17" t="str">
        <f t="shared" si="1"/>
        <v>5.14220652e11</v>
      </c>
      <c r="H28" s="17">
        <f t="shared" si="2"/>
        <v>514220652000</v>
      </c>
      <c r="I28" s="17" t="str">
        <f t="shared" si="3"/>
        <v>0.00000011e11</v>
      </c>
      <c r="J28" s="17">
        <f t="shared" si="4"/>
        <v>11000</v>
      </c>
      <c r="K28" s="17" t="b">
        <f t="shared" si="5"/>
        <v>0</v>
      </c>
      <c r="L28" s="16" t="str">
        <f>IFERROR(__xludf.DUMMYFUNCTION("if(regexmatch(B28,""e(.*)$""),regexextract(B28,""e(.*)$""),"""")"),"11")</f>
        <v>11</v>
      </c>
      <c r="M28" s="16"/>
      <c r="N28" s="18">
        <f>countif(ConstantsUnits!C:C,F28)</f>
        <v>1</v>
      </c>
      <c r="O28" s="16" t="str">
        <f>VLOOKUP(A28,ConstantsUnits!A:A,1,false)</f>
        <v>atomic unit of electric field</v>
      </c>
    </row>
    <row r="29">
      <c r="A29" s="1" t="s">
        <v>135</v>
      </c>
      <c r="B29" s="1" t="s">
        <v>2296</v>
      </c>
      <c r="C29" s="1" t="s">
        <v>2297</v>
      </c>
      <c r="D29" s="1" t="s">
        <v>136</v>
      </c>
      <c r="E29" s="15"/>
      <c r="F29" s="16" t="str">
        <f>ifna(VLOOKUP($A29,ConstantsUnits!$A:$C,3,false),"")</f>
        <v>AtomicUnitOfElectricFieldGradient</v>
      </c>
      <c r="G29" s="17" t="str">
        <f t="shared" si="1"/>
        <v>9.71736200e21</v>
      </c>
      <c r="H29" s="17">
        <f t="shared" si="2"/>
        <v>9.71736E+21</v>
      </c>
      <c r="I29" s="17" t="str">
        <f t="shared" si="3"/>
        <v>0.00000021e21</v>
      </c>
      <c r="J29" s="17">
        <f t="shared" si="4"/>
        <v>210000000000000</v>
      </c>
      <c r="K29" s="17" t="b">
        <f t="shared" si="5"/>
        <v>0</v>
      </c>
      <c r="L29" s="16" t="str">
        <f>IFERROR(__xludf.DUMMYFUNCTION("if(regexmatch(B29,""e(.*)$""),regexextract(B29,""e(.*)$""),"""")"),"21")</f>
        <v>21</v>
      </c>
      <c r="M29" s="16"/>
      <c r="N29" s="18">
        <f>countif(ConstantsUnits!C:C,F29)</f>
        <v>1</v>
      </c>
      <c r="O29" s="16" t="str">
        <f>VLOOKUP(A29,ConstantsUnits!A:A,1,false)</f>
        <v>atomic unit of electric field gradient</v>
      </c>
    </row>
    <row r="30">
      <c r="A30" s="1" t="s">
        <v>140</v>
      </c>
      <c r="B30" s="1" t="s">
        <v>2298</v>
      </c>
      <c r="C30" s="1" t="s">
        <v>2299</v>
      </c>
      <c r="D30" s="1" t="s">
        <v>141</v>
      </c>
      <c r="E30" s="15"/>
      <c r="F30" s="16" t="str">
        <f>ifna(VLOOKUP($A30,ConstantsUnits!$A:$C,3,false),"")</f>
        <v>AtomicUnitOfElectricPolarizablity</v>
      </c>
      <c r="G30" s="17" t="str">
        <f t="shared" si="1"/>
        <v>1.6487772754e-41</v>
      </c>
      <c r="H30" s="17">
        <f t="shared" si="2"/>
        <v>0</v>
      </c>
      <c r="I30" s="17" t="str">
        <f t="shared" si="3"/>
        <v>0.0000000016e-41</v>
      </c>
      <c r="J30" s="17">
        <f t="shared" si="4"/>
        <v>0</v>
      </c>
      <c r="K30" s="17" t="b">
        <f t="shared" si="5"/>
        <v>0</v>
      </c>
      <c r="L30" s="16" t="str">
        <f>IFERROR(__xludf.DUMMYFUNCTION("if(regexmatch(B30,""e(.*)$""),regexextract(B30,""e(.*)$""),"""")"),"-41")</f>
        <v>-41</v>
      </c>
      <c r="M30" s="16"/>
      <c r="N30" s="18">
        <f>countif(ConstantsUnits!C:C,F30)</f>
        <v>1</v>
      </c>
      <c r="O30" s="16" t="str">
        <f>VLOOKUP(A30,ConstantsUnits!A:A,1,false)</f>
        <v>atomic unit of electric polarizability</v>
      </c>
    </row>
    <row r="31">
      <c r="A31" s="1" t="s">
        <v>145</v>
      </c>
      <c r="B31" s="1" t="s">
        <v>2300</v>
      </c>
      <c r="C31" s="1" t="s">
        <v>2301</v>
      </c>
      <c r="D31" s="1" t="s">
        <v>146</v>
      </c>
      <c r="E31" s="15"/>
      <c r="F31" s="16" t="str">
        <f>ifna(VLOOKUP($A31,ConstantsUnits!$A:$C,3,false),"")</f>
        <v>AtomicUnitOfElectricPotential</v>
      </c>
      <c r="G31" s="17" t="str">
        <f t="shared" si="1"/>
        <v>27.21138505</v>
      </c>
      <c r="H31" s="17">
        <f t="shared" si="2"/>
        <v>27.21138505</v>
      </c>
      <c r="I31" s="17" t="str">
        <f t="shared" si="3"/>
        <v>0.00000060</v>
      </c>
      <c r="J31" s="17">
        <f t="shared" si="4"/>
        <v>0.0000006</v>
      </c>
      <c r="K31" s="17" t="b">
        <f t="shared" si="5"/>
        <v>0</v>
      </c>
      <c r="L31" s="16" t="str">
        <f>IFERROR(__xludf.DUMMYFUNCTION("if(regexmatch(B31,""e(.*)$""),regexextract(B31,""e(.*)$""),"""")"),"")</f>
        <v/>
      </c>
      <c r="M31" s="16"/>
      <c r="N31" s="18">
        <f>countif(ConstantsUnits!C:C,F31)</f>
        <v>1</v>
      </c>
      <c r="O31" s="16" t="str">
        <f>VLOOKUP(A31,ConstantsUnits!A:A,1,false)</f>
        <v>atomic unit of electric potential</v>
      </c>
    </row>
    <row r="32">
      <c r="A32" s="1" t="s">
        <v>149</v>
      </c>
      <c r="B32" s="1" t="s">
        <v>2302</v>
      </c>
      <c r="C32" s="1" t="s">
        <v>2303</v>
      </c>
      <c r="D32" s="1" t="s">
        <v>150</v>
      </c>
      <c r="E32" s="15"/>
      <c r="F32" s="16" t="str">
        <f>ifna(VLOOKUP($A32,ConstantsUnits!$A:$C,3,false),"")</f>
        <v>AtomicUnitOfElectricQuadrupoleMoment</v>
      </c>
      <c r="G32" s="17" t="str">
        <f t="shared" si="1"/>
        <v>4.486551331e-40</v>
      </c>
      <c r="H32" s="17">
        <f t="shared" si="2"/>
        <v>0</v>
      </c>
      <c r="I32" s="17" t="str">
        <f t="shared" si="3"/>
        <v>0.000000099e-40</v>
      </c>
      <c r="J32" s="17">
        <f t="shared" si="4"/>
        <v>0</v>
      </c>
      <c r="K32" s="17" t="b">
        <f t="shared" si="5"/>
        <v>0</v>
      </c>
      <c r="L32" s="16" t="str">
        <f>IFERROR(__xludf.DUMMYFUNCTION("if(regexmatch(B32,""e(.*)$""),regexextract(B32,""e(.*)$""),"""")"),"-40")</f>
        <v>-40</v>
      </c>
      <c r="M32" s="16"/>
      <c r="N32" s="18">
        <f>countif(ConstantsUnits!C:C,F32)</f>
        <v>1</v>
      </c>
      <c r="O32" s="16" t="str">
        <f>VLOOKUP(A32,ConstantsUnits!A:A,1,false)</f>
        <v>atomic unit of electric quadrupole mom.</v>
      </c>
    </row>
    <row r="33">
      <c r="A33" s="1" t="s">
        <v>154</v>
      </c>
      <c r="B33" s="1" t="s">
        <v>2304</v>
      </c>
      <c r="C33" s="1" t="s">
        <v>2305</v>
      </c>
      <c r="D33" s="1" t="s">
        <v>41</v>
      </c>
      <c r="E33" s="15"/>
      <c r="F33" s="16" t="str">
        <f>ifna(VLOOKUP($A33,ConstantsUnits!$A:$C,3,false),"")</f>
        <v>AtomicUnitOfEnergy</v>
      </c>
      <c r="G33" s="17" t="str">
        <f t="shared" si="1"/>
        <v>4.35974434e-18</v>
      </c>
      <c r="H33" s="17">
        <f t="shared" si="2"/>
        <v>0</v>
      </c>
      <c r="I33" s="17" t="str">
        <f t="shared" si="3"/>
        <v>0.00000019e-18</v>
      </c>
      <c r="J33" s="17">
        <f t="shared" si="4"/>
        <v>0</v>
      </c>
      <c r="K33" s="17" t="b">
        <f t="shared" si="5"/>
        <v>0</v>
      </c>
      <c r="L33" s="16" t="str">
        <f>IFERROR(__xludf.DUMMYFUNCTION("if(regexmatch(B33,""e(.*)$""),regexextract(B33,""e(.*)$""),"""")"),"-18")</f>
        <v>-18</v>
      </c>
      <c r="M33" s="16"/>
      <c r="N33" s="18">
        <f>countif(ConstantsUnits!C:C,F33)</f>
        <v>1</v>
      </c>
      <c r="O33" s="16" t="str">
        <f>VLOOKUP(A33,ConstantsUnits!A:A,1,false)</f>
        <v>atomic unit of energy</v>
      </c>
    </row>
    <row r="34">
      <c r="A34" s="1" t="s">
        <v>157</v>
      </c>
      <c r="B34" s="1" t="s">
        <v>2306</v>
      </c>
      <c r="C34" s="1" t="s">
        <v>2307</v>
      </c>
      <c r="D34" s="1" t="s">
        <v>158</v>
      </c>
      <c r="E34" s="15"/>
      <c r="F34" s="16" t="str">
        <f>ifna(VLOOKUP($A34,ConstantsUnits!$A:$C,3,false),"")</f>
        <v>AtomicUnitOfForce</v>
      </c>
      <c r="G34" s="17" t="str">
        <f t="shared" si="1"/>
        <v>8.23872278e-8</v>
      </c>
      <c r="H34" s="17">
        <f t="shared" si="2"/>
        <v>0.0000000823872278</v>
      </c>
      <c r="I34" s="17" t="str">
        <f t="shared" si="3"/>
        <v>0.00000036e-8</v>
      </c>
      <c r="J34" s="17">
        <f t="shared" si="4"/>
        <v>0</v>
      </c>
      <c r="K34" s="17" t="b">
        <f t="shared" si="5"/>
        <v>0</v>
      </c>
      <c r="L34" s="16" t="str">
        <f>IFERROR(__xludf.DUMMYFUNCTION("if(regexmatch(B34,""e(.*)$""),regexextract(B34,""e(.*)$""),"""")"),"-8")</f>
        <v>-8</v>
      </c>
      <c r="M34" s="16"/>
      <c r="N34" s="18">
        <f>countif(ConstantsUnits!C:C,F34)</f>
        <v>1</v>
      </c>
      <c r="O34" s="16" t="str">
        <f>VLOOKUP(A34,ConstantsUnits!A:A,1,false)</f>
        <v>atomic unit of force</v>
      </c>
    </row>
    <row r="35">
      <c r="A35" s="1" t="s">
        <v>161</v>
      </c>
      <c r="B35" s="1" t="s">
        <v>2308</v>
      </c>
      <c r="C35" s="1" t="s">
        <v>1267</v>
      </c>
      <c r="D35" s="1" t="s">
        <v>59</v>
      </c>
      <c r="E35" s="15"/>
      <c r="F35" s="16" t="str">
        <f>ifna(VLOOKUP($A35,ConstantsUnits!$A:$C,3,false),"")</f>
        <v>AtomicUnitOfLength</v>
      </c>
      <c r="G35" s="17" t="str">
        <f t="shared" si="1"/>
        <v>0.52917721092e-10</v>
      </c>
      <c r="H35" s="17">
        <f t="shared" si="2"/>
        <v>0</v>
      </c>
      <c r="I35" s="17" t="str">
        <f t="shared" si="3"/>
        <v>0.00000000017e-10</v>
      </c>
      <c r="J35" s="17">
        <f t="shared" si="4"/>
        <v>0</v>
      </c>
      <c r="K35" s="17" t="b">
        <f t="shared" si="5"/>
        <v>0</v>
      </c>
      <c r="L35" s="16" t="str">
        <f>IFERROR(__xludf.DUMMYFUNCTION("if(regexmatch(B35,""e(.*)$""),regexextract(B35,""e(.*)$""),"""")"),"-10")</f>
        <v>-10</v>
      </c>
      <c r="M35" s="16"/>
      <c r="N35" s="18">
        <f>countif(ConstantsUnits!C:C,F35)</f>
        <v>1</v>
      </c>
      <c r="O35" s="16" t="str">
        <f>VLOOKUP(A35,ConstantsUnits!A:A,1,false)</f>
        <v>atomic unit of length</v>
      </c>
    </row>
    <row r="36">
      <c r="A36" s="1" t="s">
        <v>164</v>
      </c>
      <c r="B36" s="1" t="s">
        <v>2309</v>
      </c>
      <c r="C36" s="1" t="s">
        <v>2310</v>
      </c>
      <c r="D36" s="1" t="s">
        <v>165</v>
      </c>
      <c r="E36" s="15"/>
      <c r="F36" s="16" t="str">
        <f>ifna(VLOOKUP($A36,ConstantsUnits!$A:$C,3,false),"")</f>
        <v>AtomicUnitOfMagneticDipoleMoment</v>
      </c>
      <c r="G36" s="17" t="str">
        <f t="shared" si="1"/>
        <v>1.854801936e-23</v>
      </c>
      <c r="H36" s="17">
        <f t="shared" si="2"/>
        <v>0</v>
      </c>
      <c r="I36" s="17" t="str">
        <f t="shared" si="3"/>
        <v>0.000000041e-23</v>
      </c>
      <c r="J36" s="17">
        <f t="shared" si="4"/>
        <v>0</v>
      </c>
      <c r="K36" s="17" t="b">
        <f t="shared" si="5"/>
        <v>0</v>
      </c>
      <c r="L36" s="16" t="str">
        <f>IFERROR(__xludf.DUMMYFUNCTION("if(regexmatch(B36,""e(.*)$""),regexextract(B36,""e(.*)$""),"""")"),"-23")</f>
        <v>-23</v>
      </c>
      <c r="M36" s="16"/>
      <c r="N36" s="18">
        <f>countif(ConstantsUnits!C:C,F36)</f>
        <v>1</v>
      </c>
      <c r="O36" s="16" t="str">
        <f>VLOOKUP(A36,ConstantsUnits!A:A,1,false)</f>
        <v>atomic unit of mag. dipole mom.</v>
      </c>
    </row>
    <row r="37">
      <c r="A37" s="1" t="s">
        <v>169</v>
      </c>
      <c r="B37" s="1" t="s">
        <v>2311</v>
      </c>
      <c r="C37" s="1" t="s">
        <v>2312</v>
      </c>
      <c r="D37" s="1" t="s">
        <v>170</v>
      </c>
      <c r="E37" s="15"/>
      <c r="F37" s="16" t="str">
        <f>ifna(VLOOKUP($A37,ConstantsUnits!$A:$C,3,false),"")</f>
        <v>AtomicUnitOfMagneticFluxDensity</v>
      </c>
      <c r="G37" s="17" t="str">
        <f t="shared" si="1"/>
        <v>2.350517464e5</v>
      </c>
      <c r="H37" s="17">
        <f t="shared" si="2"/>
        <v>235051.7464</v>
      </c>
      <c r="I37" s="17" t="str">
        <f t="shared" si="3"/>
        <v>0.000000052e5</v>
      </c>
      <c r="J37" s="17">
        <f t="shared" si="4"/>
        <v>0.0052</v>
      </c>
      <c r="K37" s="17" t="b">
        <f t="shared" si="5"/>
        <v>0</v>
      </c>
      <c r="L37" s="16" t="str">
        <f>IFERROR(__xludf.DUMMYFUNCTION("if(regexmatch(B37,""e(.*)$""),regexextract(B37,""e(.*)$""),"""")"),"5")</f>
        <v>5</v>
      </c>
      <c r="M37" s="16"/>
      <c r="N37" s="18">
        <f>countif(ConstantsUnits!C:C,F37)</f>
        <v>1</v>
      </c>
      <c r="O37" s="16" t="str">
        <f>VLOOKUP(A37,ConstantsUnits!A:A,1,false)</f>
        <v>atomic unit of mag. flux density</v>
      </c>
    </row>
    <row r="38">
      <c r="A38" s="1" t="s">
        <v>173</v>
      </c>
      <c r="B38" s="1" t="s">
        <v>2313</v>
      </c>
      <c r="C38" s="1" t="s">
        <v>2314</v>
      </c>
      <c r="D38" s="1" t="s">
        <v>174</v>
      </c>
      <c r="E38" s="15"/>
      <c r="F38" s="16" t="str">
        <f>ifna(VLOOKUP($A38,ConstantsUnits!$A:$C,3,false),"")</f>
        <v>AtomicUnitOfMagnetizability</v>
      </c>
      <c r="G38" s="17" t="str">
        <f t="shared" si="1"/>
        <v>7.891036607e-29</v>
      </c>
      <c r="H38" s="17">
        <f t="shared" si="2"/>
        <v>0</v>
      </c>
      <c r="I38" s="17" t="str">
        <f t="shared" si="3"/>
        <v>0.000000013e-29</v>
      </c>
      <c r="J38" s="17">
        <f t="shared" si="4"/>
        <v>0</v>
      </c>
      <c r="K38" s="17" t="b">
        <f t="shared" si="5"/>
        <v>0</v>
      </c>
      <c r="L38" s="16" t="str">
        <f>IFERROR(__xludf.DUMMYFUNCTION("if(regexmatch(B38,""e(.*)$""),regexextract(B38,""e(.*)$""),"""")"),"-29")</f>
        <v>-29</v>
      </c>
      <c r="M38" s="16"/>
      <c r="N38" s="18">
        <f>countif(ConstantsUnits!C:C,F38)</f>
        <v>1</v>
      </c>
      <c r="O38" s="16" t="str">
        <f>VLOOKUP(A38,ConstantsUnits!A:A,1,false)</f>
        <v>atomic unit of magnetizability</v>
      </c>
    </row>
    <row r="39">
      <c r="A39" s="1" t="s">
        <v>178</v>
      </c>
      <c r="B39" s="1" t="s">
        <v>2315</v>
      </c>
      <c r="C39" s="1" t="s">
        <v>2316</v>
      </c>
      <c r="D39" s="1" t="s">
        <v>38</v>
      </c>
      <c r="E39" s="15"/>
      <c r="F39" s="16" t="str">
        <f>ifna(VLOOKUP($A39,ConstantsUnits!$A:$C,3,false),"")</f>
        <v>AtomicUnitOfMass</v>
      </c>
      <c r="G39" s="17" t="str">
        <f t="shared" si="1"/>
        <v>9.10938291e-31</v>
      </c>
      <c r="H39" s="17">
        <f t="shared" si="2"/>
        <v>0</v>
      </c>
      <c r="I39" s="17" t="str">
        <f t="shared" si="3"/>
        <v>0.00000040e-31</v>
      </c>
      <c r="J39" s="17">
        <f t="shared" si="4"/>
        <v>0</v>
      </c>
      <c r="K39" s="17" t="b">
        <f t="shared" si="5"/>
        <v>0</v>
      </c>
      <c r="L39" s="16" t="str">
        <f>IFERROR(__xludf.DUMMYFUNCTION("if(regexmatch(B39,""e(.*)$""),regexextract(B39,""e(.*)$""),"""")"),"-31")</f>
        <v>-31</v>
      </c>
      <c r="M39" s="16"/>
      <c r="N39" s="18">
        <f>countif(ConstantsUnits!C:C,F39)</f>
        <v>1</v>
      </c>
      <c r="O39" s="16" t="str">
        <f>VLOOKUP(A39,ConstantsUnits!A:A,1,false)</f>
        <v>atomic unit of mass</v>
      </c>
    </row>
    <row r="40">
      <c r="A40" s="1" t="s">
        <v>1796</v>
      </c>
      <c r="B40" s="1" t="s">
        <v>2317</v>
      </c>
      <c r="C40" s="1" t="s">
        <v>2318</v>
      </c>
      <c r="D40" s="1" t="s">
        <v>182</v>
      </c>
      <c r="E40" s="15"/>
      <c r="F40" s="1" t="s">
        <v>184</v>
      </c>
      <c r="G40" s="17" t="str">
        <f t="shared" si="1"/>
        <v>1.992851740e-24</v>
      </c>
      <c r="H40" s="17">
        <f t="shared" si="2"/>
        <v>0</v>
      </c>
      <c r="I40" s="17" t="str">
        <f t="shared" si="3"/>
        <v>0.000000088e-24</v>
      </c>
      <c r="J40" s="17">
        <f t="shared" si="4"/>
        <v>0</v>
      </c>
      <c r="K40" s="17" t="b">
        <f t="shared" si="5"/>
        <v>0</v>
      </c>
      <c r="L40" s="16" t="str">
        <f>IFERROR(__xludf.DUMMYFUNCTION("if(regexmatch(B40,""e(.*)$""),regexextract(B40,""e(.*)$""),"""")"),"-24")</f>
        <v>-24</v>
      </c>
      <c r="M40" s="16"/>
      <c r="N40" s="18">
        <f>countif(ConstantsUnits!C:C,F40)</f>
        <v>1</v>
      </c>
      <c r="O40" s="16" t="str">
        <f>VLOOKUP(A40,ConstantsUnits!A:A,1,false)</f>
        <v>#N/A</v>
      </c>
    </row>
    <row r="41">
      <c r="A41" s="1" t="s">
        <v>186</v>
      </c>
      <c r="B41" s="1" t="s">
        <v>1799</v>
      </c>
      <c r="C41" s="1" t="s">
        <v>1232</v>
      </c>
      <c r="D41" s="1" t="s">
        <v>187</v>
      </c>
      <c r="E41" s="15"/>
      <c r="F41" s="16" t="str">
        <f>ifna(VLOOKUP($A41,ConstantsUnits!$A:$C,3,false),"")</f>
        <v>AtomicUnitOfPermittivity</v>
      </c>
      <c r="G41" s="17" t="str">
        <f t="shared" si="1"/>
        <v>1.112650056e-10</v>
      </c>
      <c r="H41" s="17">
        <f t="shared" si="2"/>
        <v>0.0000000001112650056</v>
      </c>
      <c r="I41" s="17" t="str">
        <f t="shared" si="3"/>
        <v>(exact)</v>
      </c>
      <c r="J41" s="17" t="str">
        <f t="shared" si="4"/>
        <v/>
      </c>
      <c r="K41" s="17" t="b">
        <f t="shared" si="5"/>
        <v>1</v>
      </c>
      <c r="L41" s="16" t="str">
        <f>IFERROR(__xludf.DUMMYFUNCTION("if(regexmatch(B41,""e(.*)$""),regexextract(B41,""e(.*)$""),"""")"),"-10")</f>
        <v>-10</v>
      </c>
      <c r="M41" s="16"/>
      <c r="N41" s="18">
        <f>countif(ConstantsUnits!C:C,F41)</f>
        <v>1</v>
      </c>
      <c r="O41" s="16" t="str">
        <f>VLOOKUP(A41,ConstantsUnits!A:A,1,false)</f>
        <v>atomic unit of permittivity</v>
      </c>
    </row>
    <row r="42">
      <c r="A42" s="1" t="s">
        <v>191</v>
      </c>
      <c r="B42" s="1" t="s">
        <v>2319</v>
      </c>
      <c r="C42" s="1" t="s">
        <v>2320</v>
      </c>
      <c r="D42" s="1" t="s">
        <v>192</v>
      </c>
      <c r="E42" s="15"/>
      <c r="F42" s="16" t="str">
        <f>ifna(VLOOKUP($A42,ConstantsUnits!$A:$C,3,false),"")</f>
        <v>AtomicUnitOfTime</v>
      </c>
      <c r="G42" s="17" t="str">
        <f t="shared" si="1"/>
        <v>2.418884326502e-17</v>
      </c>
      <c r="H42" s="17">
        <f t="shared" si="2"/>
        <v>0</v>
      </c>
      <c r="I42" s="17" t="str">
        <f t="shared" si="3"/>
        <v>0.000000000012e-17</v>
      </c>
      <c r="J42" s="17">
        <f t="shared" si="4"/>
        <v>0</v>
      </c>
      <c r="K42" s="17" t="b">
        <f t="shared" si="5"/>
        <v>0</v>
      </c>
      <c r="L42" s="16" t="str">
        <f>IFERROR(__xludf.DUMMYFUNCTION("if(regexmatch(B42,""e(.*)$""),regexextract(B42,""e(.*)$""),"""")"),"-17")</f>
        <v>-17</v>
      </c>
      <c r="M42" s="16"/>
      <c r="N42" s="18">
        <f>countif(ConstantsUnits!C:C,F42)</f>
        <v>1</v>
      </c>
      <c r="O42" s="16" t="str">
        <f>VLOOKUP(A42,ConstantsUnits!A:A,1,false)</f>
        <v>atomic unit of time</v>
      </c>
    </row>
    <row r="43">
      <c r="A43" s="1" t="s">
        <v>195</v>
      </c>
      <c r="B43" s="1" t="s">
        <v>2321</v>
      </c>
      <c r="C43" s="1" t="s">
        <v>2322</v>
      </c>
      <c r="D43" s="1" t="s">
        <v>196</v>
      </c>
      <c r="E43" s="15"/>
      <c r="F43" s="16" t="str">
        <f>ifna(VLOOKUP($A43,ConstantsUnits!$A:$C,3,false),"")</f>
        <v>AtomicUnitOfVelocity</v>
      </c>
      <c r="G43" s="17" t="str">
        <f t="shared" si="1"/>
        <v>2.18769126379e6</v>
      </c>
      <c r="H43" s="17">
        <f t="shared" si="2"/>
        <v>2187691.264</v>
      </c>
      <c r="I43" s="17" t="str">
        <f t="shared" si="3"/>
        <v>0.00000000071e6</v>
      </c>
      <c r="J43" s="17">
        <f t="shared" si="4"/>
        <v>0.00071</v>
      </c>
      <c r="K43" s="17" t="b">
        <f t="shared" si="5"/>
        <v>0</v>
      </c>
      <c r="L43" s="16" t="str">
        <f>IFERROR(__xludf.DUMMYFUNCTION("if(regexmatch(B43,""e(.*)$""),regexextract(B43,""e(.*)$""),"""")"),"6")</f>
        <v>6</v>
      </c>
      <c r="M43" s="16"/>
      <c r="N43" s="18">
        <f>countif(ConstantsUnits!C:C,F43)</f>
        <v>1</v>
      </c>
      <c r="O43" s="16" t="str">
        <f>VLOOKUP(A43,ConstantsUnits!A:A,1,false)</f>
        <v>atomic unit of velocity</v>
      </c>
    </row>
    <row r="44">
      <c r="A44" s="1" t="s">
        <v>200</v>
      </c>
      <c r="B44" s="1" t="s">
        <v>2323</v>
      </c>
      <c r="C44" s="1" t="s">
        <v>2324</v>
      </c>
      <c r="D44" s="1" t="s">
        <v>201</v>
      </c>
      <c r="E44" s="15"/>
      <c r="F44" s="16" t="str">
        <f>ifna(VLOOKUP($A44,ConstantsUnits!$A:$C,3,false),"")</f>
        <v>AvogadroConstant</v>
      </c>
      <c r="G44" s="17" t="str">
        <f t="shared" si="1"/>
        <v>6.02214129e23</v>
      </c>
      <c r="H44" s="17">
        <f t="shared" si="2"/>
        <v>6.02214E+23</v>
      </c>
      <c r="I44" s="17" t="str">
        <f t="shared" si="3"/>
        <v>0.00000027e23</v>
      </c>
      <c r="J44" s="17">
        <f t="shared" si="4"/>
        <v>2.7E+16</v>
      </c>
      <c r="K44" s="17" t="b">
        <f t="shared" si="5"/>
        <v>0</v>
      </c>
      <c r="L44" s="16" t="str">
        <f>IFERROR(__xludf.DUMMYFUNCTION("if(regexmatch(B44,""e(.*)$""),regexextract(B44,""e(.*)$""),"""")"),"23")</f>
        <v>23</v>
      </c>
      <c r="M44" s="16"/>
      <c r="N44" s="18">
        <f>countif(ConstantsUnits!C:C,F44)</f>
        <v>1</v>
      </c>
      <c r="O44" s="16" t="str">
        <f>VLOOKUP(A44,ConstantsUnits!A:A,1,false)</f>
        <v>Avogadro constant</v>
      </c>
    </row>
    <row r="45">
      <c r="A45" s="1" t="s">
        <v>205</v>
      </c>
      <c r="B45" s="1" t="s">
        <v>2325</v>
      </c>
      <c r="C45" s="1" t="s">
        <v>2326</v>
      </c>
      <c r="D45" s="1" t="s">
        <v>165</v>
      </c>
      <c r="E45" s="15"/>
      <c r="F45" s="16" t="str">
        <f>ifna(VLOOKUP($A45,ConstantsUnits!$A:$C,3,false),"")</f>
        <v>BohrMagneton</v>
      </c>
      <c r="G45" s="17" t="str">
        <f t="shared" si="1"/>
        <v>927.400968e-26</v>
      </c>
      <c r="H45" s="17">
        <f t="shared" si="2"/>
        <v>0</v>
      </c>
      <c r="I45" s="17" t="str">
        <f t="shared" si="3"/>
        <v>0.000020e-26</v>
      </c>
      <c r="J45" s="17">
        <f t="shared" si="4"/>
        <v>0</v>
      </c>
      <c r="K45" s="17" t="b">
        <f t="shared" si="5"/>
        <v>0</v>
      </c>
      <c r="L45" s="16" t="str">
        <f>IFERROR(__xludf.DUMMYFUNCTION("if(regexmatch(B45,""e(.*)$""),regexextract(B45,""e(.*)$""),"""")"),"-26")</f>
        <v>-26</v>
      </c>
      <c r="M45" s="16"/>
      <c r="N45" s="18">
        <f>countif(ConstantsUnits!C:C,F45)</f>
        <v>1</v>
      </c>
      <c r="O45" s="16" t="str">
        <f>VLOOKUP(A45,ConstantsUnits!A:A,1,false)</f>
        <v>Bohr magneton</v>
      </c>
    </row>
    <row r="46">
      <c r="A46" s="1" t="s">
        <v>208</v>
      </c>
      <c r="B46" s="1" t="s">
        <v>2327</v>
      </c>
      <c r="C46" s="1" t="s">
        <v>2328</v>
      </c>
      <c r="D46" s="1" t="s">
        <v>209</v>
      </c>
      <c r="E46" s="15"/>
      <c r="F46" s="16" t="str">
        <f>ifna(VLOOKUP($A46,ConstantsUnits!$A:$C,3,false),"")</f>
        <v>BohrMagnetonInEVPerT</v>
      </c>
      <c r="G46" s="17" t="str">
        <f t="shared" si="1"/>
        <v>5.7883818066e-5</v>
      </c>
      <c r="H46" s="17">
        <f t="shared" si="2"/>
        <v>0.00005788381807</v>
      </c>
      <c r="I46" s="17" t="str">
        <f t="shared" si="3"/>
        <v>0.0000000038e-5</v>
      </c>
      <c r="J46" s="17">
        <f t="shared" si="4"/>
        <v>0</v>
      </c>
      <c r="K46" s="17" t="b">
        <f t="shared" si="5"/>
        <v>0</v>
      </c>
      <c r="L46" s="16" t="str">
        <f>IFERROR(__xludf.DUMMYFUNCTION("if(regexmatch(B46,""e(.*)$""),regexextract(B46,""e(.*)$""),"""")"),"-5")</f>
        <v>-5</v>
      </c>
      <c r="M46" s="16"/>
      <c r="N46" s="18">
        <f>countif(ConstantsUnits!C:C,F46)</f>
        <v>1</v>
      </c>
      <c r="O46" s="16" t="str">
        <f>VLOOKUP(A46,ConstantsUnits!A:A,1,false)</f>
        <v>Bohr magneton in eV/T</v>
      </c>
    </row>
    <row r="47">
      <c r="A47" s="1" t="s">
        <v>213</v>
      </c>
      <c r="B47" s="1" t="s">
        <v>2329</v>
      </c>
      <c r="C47" s="1" t="s">
        <v>2330</v>
      </c>
      <c r="D47" s="1" t="s">
        <v>214</v>
      </c>
      <c r="E47" s="15"/>
      <c r="F47" s="16" t="str">
        <f>ifna(VLOOKUP($A47,ConstantsUnits!$A:$C,3,false),"")</f>
        <v>BohrMagnetonInHzPerT</v>
      </c>
      <c r="G47" s="17" t="str">
        <f t="shared" si="1"/>
        <v>13.99624555e9</v>
      </c>
      <c r="H47" s="17">
        <f t="shared" si="2"/>
        <v>13996245550</v>
      </c>
      <c r="I47" s="17" t="str">
        <f t="shared" si="3"/>
        <v>0.00000031e9</v>
      </c>
      <c r="J47" s="17">
        <f t="shared" si="4"/>
        <v>310</v>
      </c>
      <c r="K47" s="17" t="b">
        <f t="shared" si="5"/>
        <v>0</v>
      </c>
      <c r="L47" s="16" t="str">
        <f>IFERROR(__xludf.DUMMYFUNCTION("if(regexmatch(B47,""e(.*)$""),regexextract(B47,""e(.*)$""),"""")"),"9")</f>
        <v>9</v>
      </c>
      <c r="M47" s="16"/>
      <c r="N47" s="18">
        <f>countif(ConstantsUnits!C:C,F47)</f>
        <v>1</v>
      </c>
      <c r="O47" s="16" t="str">
        <f>VLOOKUP(A47,ConstantsUnits!A:A,1,false)</f>
        <v>Bohr magneton in Hz/T</v>
      </c>
    </row>
    <row r="48">
      <c r="A48" s="1" t="s">
        <v>1812</v>
      </c>
      <c r="B48" s="1" t="s">
        <v>2331</v>
      </c>
      <c r="C48" s="1" t="s">
        <v>2332</v>
      </c>
      <c r="D48" s="1" t="s">
        <v>219</v>
      </c>
      <c r="E48" s="15"/>
      <c r="F48" s="1" t="s">
        <v>221</v>
      </c>
      <c r="G48" s="17" t="str">
        <f t="shared" si="1"/>
        <v>46.6864498</v>
      </c>
      <c r="H48" s="17">
        <f t="shared" si="2"/>
        <v>46.6864498</v>
      </c>
      <c r="I48" s="17" t="str">
        <f t="shared" si="3"/>
        <v>0.0000010</v>
      </c>
      <c r="J48" s="17">
        <f t="shared" si="4"/>
        <v>0.000001</v>
      </c>
      <c r="K48" s="17" t="b">
        <f t="shared" si="5"/>
        <v>0</v>
      </c>
      <c r="L48" s="16" t="str">
        <f>IFERROR(__xludf.DUMMYFUNCTION("if(regexmatch(B48,""e(.*)$""),regexextract(B48,""e(.*)$""),"""")"),"")</f>
        <v/>
      </c>
      <c r="M48" s="16"/>
      <c r="N48" s="18">
        <f>countif(ConstantsUnits!C:C,F48)</f>
        <v>1</v>
      </c>
      <c r="O48" s="16" t="str">
        <f>VLOOKUP(A48,ConstantsUnits!A:A,1,false)</f>
        <v>#N/A</v>
      </c>
    </row>
    <row r="49">
      <c r="A49" s="1" t="s">
        <v>223</v>
      </c>
      <c r="B49" s="1" t="s">
        <v>2333</v>
      </c>
      <c r="C49" s="1" t="s">
        <v>2334</v>
      </c>
      <c r="D49" s="1" t="s">
        <v>224</v>
      </c>
      <c r="E49" s="15"/>
      <c r="F49" s="16" t="str">
        <f>ifna(VLOOKUP($A49,ConstantsUnits!$A:$C,3,false),"")</f>
        <v>BohrMagnetonInKPerT</v>
      </c>
      <c r="G49" s="17" t="str">
        <f t="shared" si="1"/>
        <v>0.67171388</v>
      </c>
      <c r="H49" s="17">
        <f t="shared" si="2"/>
        <v>0.67171388</v>
      </c>
      <c r="I49" s="17" t="str">
        <f t="shared" si="3"/>
        <v>0.00000061</v>
      </c>
      <c r="J49" s="17">
        <f t="shared" si="4"/>
        <v>0.00000061</v>
      </c>
      <c r="K49" s="17" t="b">
        <f t="shared" si="5"/>
        <v>0</v>
      </c>
      <c r="L49" s="16" t="str">
        <f>IFERROR(__xludf.DUMMYFUNCTION("if(regexmatch(B49,""e(.*)$""),regexextract(B49,""e(.*)$""),"""")"),"")</f>
        <v/>
      </c>
      <c r="M49" s="16"/>
      <c r="N49" s="18">
        <f>countif(ConstantsUnits!C:C,F49)</f>
        <v>1</v>
      </c>
      <c r="O49" s="16" t="str">
        <f>VLOOKUP(A49,ConstantsUnits!A:A,1,false)</f>
        <v>Bohr magneton in K/T</v>
      </c>
    </row>
    <row r="50">
      <c r="A50" s="1" t="s">
        <v>228</v>
      </c>
      <c r="B50" s="1" t="s">
        <v>2308</v>
      </c>
      <c r="C50" s="1" t="s">
        <v>1267</v>
      </c>
      <c r="D50" s="1" t="s">
        <v>59</v>
      </c>
      <c r="E50" s="15"/>
      <c r="F50" s="16" t="str">
        <f>ifna(VLOOKUP($A50,ConstantsUnits!$A:$C,3,false),"")</f>
        <v>BohrRadius</v>
      </c>
      <c r="G50" s="17" t="str">
        <f t="shared" si="1"/>
        <v>0.52917721092e-10</v>
      </c>
      <c r="H50" s="17">
        <f t="shared" si="2"/>
        <v>0</v>
      </c>
      <c r="I50" s="17" t="str">
        <f t="shared" si="3"/>
        <v>0.00000000017e-10</v>
      </c>
      <c r="J50" s="17">
        <f t="shared" si="4"/>
        <v>0</v>
      </c>
      <c r="K50" s="17" t="b">
        <f t="shared" si="5"/>
        <v>0</v>
      </c>
      <c r="L50" s="16" t="str">
        <f>IFERROR(__xludf.DUMMYFUNCTION("if(regexmatch(B50,""e(.*)$""),regexextract(B50,""e(.*)$""),"""")"),"-10")</f>
        <v>-10</v>
      </c>
      <c r="M50" s="16"/>
      <c r="N50" s="18">
        <f>countif(ConstantsUnits!C:C,F50)</f>
        <v>1</v>
      </c>
      <c r="O50" s="16" t="str">
        <f>VLOOKUP(A50,ConstantsUnits!A:A,1,false)</f>
        <v>Bohr radius</v>
      </c>
    </row>
    <row r="51">
      <c r="A51" s="1" t="s">
        <v>231</v>
      </c>
      <c r="B51" s="1" t="s">
        <v>2335</v>
      </c>
      <c r="C51" s="1" t="s">
        <v>2336</v>
      </c>
      <c r="D51" s="1" t="s">
        <v>232</v>
      </c>
      <c r="E51" s="15"/>
      <c r="F51" s="16" t="str">
        <f>ifna(VLOOKUP($A51,ConstantsUnits!$A:$C,3,false),"")</f>
        <v>BoltzmannConstant</v>
      </c>
      <c r="G51" s="17" t="str">
        <f t="shared" si="1"/>
        <v>1.3806488e-23</v>
      </c>
      <c r="H51" s="17">
        <f t="shared" si="2"/>
        <v>0</v>
      </c>
      <c r="I51" s="17" t="str">
        <f t="shared" si="3"/>
        <v>0.0000013e-23</v>
      </c>
      <c r="J51" s="17">
        <f t="shared" si="4"/>
        <v>0</v>
      </c>
      <c r="K51" s="17" t="b">
        <f t="shared" si="5"/>
        <v>0</v>
      </c>
      <c r="L51" s="16" t="str">
        <f>IFERROR(__xludf.DUMMYFUNCTION("if(regexmatch(B51,""e(.*)$""),regexextract(B51,""e(.*)$""),"""")"),"-23")</f>
        <v>-23</v>
      </c>
      <c r="M51" s="16"/>
      <c r="N51" s="18">
        <f>countif(ConstantsUnits!C:C,F51)</f>
        <v>1</v>
      </c>
      <c r="O51" s="16" t="str">
        <f>VLOOKUP(A51,ConstantsUnits!A:A,1,false)</f>
        <v>Boltzmann constant</v>
      </c>
    </row>
    <row r="52">
      <c r="A52" s="1" t="s">
        <v>236</v>
      </c>
      <c r="B52" s="1" t="s">
        <v>2337</v>
      </c>
      <c r="C52" s="1" t="s">
        <v>2338</v>
      </c>
      <c r="D52" s="1" t="s">
        <v>237</v>
      </c>
      <c r="E52" s="15"/>
      <c r="F52" s="16" t="str">
        <f>ifna(VLOOKUP($A52,ConstantsUnits!$A:$C,3,false),"")</f>
        <v>BoltzmannConstantInEVPerK</v>
      </c>
      <c r="G52" s="17" t="str">
        <f t="shared" si="1"/>
        <v>8.6173324e-5</v>
      </c>
      <c r="H52" s="17">
        <f t="shared" si="2"/>
        <v>0.000086173324</v>
      </c>
      <c r="I52" s="17" t="str">
        <f t="shared" si="3"/>
        <v>0.0000078e-5</v>
      </c>
      <c r="J52" s="17">
        <f t="shared" si="4"/>
        <v>0</v>
      </c>
      <c r="K52" s="17" t="b">
        <f t="shared" si="5"/>
        <v>0</v>
      </c>
      <c r="L52" s="16" t="str">
        <f>IFERROR(__xludf.DUMMYFUNCTION("if(regexmatch(B52,""e(.*)$""),regexextract(B52,""e(.*)$""),"""")"),"-5")</f>
        <v>-5</v>
      </c>
      <c r="M52" s="16"/>
      <c r="N52" s="18">
        <f>countif(ConstantsUnits!C:C,F52)</f>
        <v>1</v>
      </c>
      <c r="O52" s="16" t="str">
        <f>VLOOKUP(A52,ConstantsUnits!A:A,1,false)</f>
        <v>Boltzmann constant in eV/K</v>
      </c>
    </row>
    <row r="53">
      <c r="A53" s="1" t="s">
        <v>241</v>
      </c>
      <c r="B53" s="1" t="s">
        <v>2339</v>
      </c>
      <c r="C53" s="1" t="s">
        <v>2340</v>
      </c>
      <c r="D53" s="1" t="s">
        <v>242</v>
      </c>
      <c r="E53" s="15"/>
      <c r="F53" s="16" t="str">
        <f>ifna(VLOOKUP($A53,ConstantsUnits!$A:$C,3,false),"")</f>
        <v>BoltzmannConstantInHzPerK</v>
      </c>
      <c r="G53" s="17" t="str">
        <f t="shared" si="1"/>
        <v>2.0836618e10</v>
      </c>
      <c r="H53" s="17">
        <f t="shared" si="2"/>
        <v>20836618000</v>
      </c>
      <c r="I53" s="17" t="str">
        <f t="shared" si="3"/>
        <v>0.0000019e10</v>
      </c>
      <c r="J53" s="17">
        <f t="shared" si="4"/>
        <v>19000</v>
      </c>
      <c r="K53" s="17" t="b">
        <f t="shared" si="5"/>
        <v>0</v>
      </c>
      <c r="L53" s="16" t="str">
        <f>IFERROR(__xludf.DUMMYFUNCTION("if(regexmatch(B53,""e(.*)$""),regexextract(B53,""e(.*)$""),"""")"),"10")</f>
        <v>10</v>
      </c>
      <c r="M53" s="16"/>
      <c r="N53" s="18">
        <f>countif(ConstantsUnits!C:C,F53)</f>
        <v>1</v>
      </c>
      <c r="O53" s="16" t="str">
        <f>VLOOKUP(A53,ConstantsUnits!A:A,1,false)</f>
        <v>Boltzmann constant in Hz/K</v>
      </c>
    </row>
    <row r="54">
      <c r="A54" s="1" t="s">
        <v>1822</v>
      </c>
      <c r="B54" s="1" t="s">
        <v>2341</v>
      </c>
      <c r="C54" s="1" t="s">
        <v>2342</v>
      </c>
      <c r="D54" s="1" t="s">
        <v>247</v>
      </c>
      <c r="E54" s="15"/>
      <c r="F54" s="3" t="s">
        <v>249</v>
      </c>
      <c r="G54" s="17" t="str">
        <f t="shared" si="1"/>
        <v>69.503476</v>
      </c>
      <c r="H54" s="17">
        <f t="shared" si="2"/>
        <v>69.503476</v>
      </c>
      <c r="I54" s="17" t="str">
        <f t="shared" si="3"/>
        <v>0.000063</v>
      </c>
      <c r="J54" s="17">
        <f t="shared" si="4"/>
        <v>0.000063</v>
      </c>
      <c r="K54" s="17" t="b">
        <f t="shared" si="5"/>
        <v>0</v>
      </c>
      <c r="L54" s="16" t="str">
        <f>IFERROR(__xludf.DUMMYFUNCTION("if(regexmatch(B54,""e(.*)$""),regexextract(B54,""e(.*)$""),"""")"),"")</f>
        <v/>
      </c>
      <c r="M54" s="16"/>
      <c r="N54" s="18">
        <f>countif(ConstantsUnits!C:C,F54)</f>
        <v>1</v>
      </c>
      <c r="O54" s="16" t="str">
        <f>VLOOKUP(A54,ConstantsUnits!A:A,1,false)</f>
        <v>#N/A</v>
      </c>
    </row>
    <row r="55">
      <c r="A55" s="1" t="s">
        <v>251</v>
      </c>
      <c r="B55" s="1" t="s">
        <v>1825</v>
      </c>
      <c r="C55" s="1" t="s">
        <v>1232</v>
      </c>
      <c r="D55" s="1" t="s">
        <v>252</v>
      </c>
      <c r="E55" s="15"/>
      <c r="F55" s="16" t="str">
        <f>ifna(VLOOKUP($A55,ConstantsUnits!$A:$C,3,false),"")</f>
        <v>CharacteristicImpedanceOfVacuum</v>
      </c>
      <c r="G55" s="17" t="str">
        <f t="shared" si="1"/>
        <v>376.730313461</v>
      </c>
      <c r="H55" s="17">
        <f t="shared" si="2"/>
        <v>376.7303135</v>
      </c>
      <c r="I55" s="17" t="str">
        <f t="shared" si="3"/>
        <v>(exact)</v>
      </c>
      <c r="J55" s="17" t="str">
        <f t="shared" si="4"/>
        <v/>
      </c>
      <c r="K55" s="17" t="b">
        <f t="shared" si="5"/>
        <v>1</v>
      </c>
      <c r="L55" s="16" t="str">
        <f>IFERROR(__xludf.DUMMYFUNCTION("if(regexmatch(B55,""e(.*)$""),regexextract(B55,""e(.*)$""),"""")"),"")</f>
        <v/>
      </c>
      <c r="M55" s="16"/>
      <c r="N55" s="18">
        <f>countif(ConstantsUnits!C:C,F55)</f>
        <v>1</v>
      </c>
      <c r="O55" s="16" t="str">
        <f>VLOOKUP(A55,ConstantsUnits!A:A,1,false)</f>
        <v>characteristic impedance of vacuum</v>
      </c>
    </row>
    <row r="56">
      <c r="A56" s="1" t="s">
        <v>256</v>
      </c>
      <c r="B56" s="1" t="s">
        <v>2343</v>
      </c>
      <c r="C56" s="1" t="s">
        <v>2344</v>
      </c>
      <c r="D56" s="1" t="s">
        <v>59</v>
      </c>
      <c r="E56" s="15"/>
      <c r="F56" s="16" t="str">
        <f>ifna(VLOOKUP($A56,ConstantsUnits!$A:$C,3,false),"")</f>
        <v>ClassicalElectronRadius</v>
      </c>
      <c r="G56" s="17" t="str">
        <f t="shared" si="1"/>
        <v>2.8179403267e-15</v>
      </c>
      <c r="H56" s="17">
        <f t="shared" si="2"/>
        <v>0</v>
      </c>
      <c r="I56" s="17" t="str">
        <f t="shared" si="3"/>
        <v>0.0000000027e-15</v>
      </c>
      <c r="J56" s="17">
        <f t="shared" si="4"/>
        <v>0</v>
      </c>
      <c r="K56" s="17" t="b">
        <f t="shared" si="5"/>
        <v>0</v>
      </c>
      <c r="L56" s="16" t="str">
        <f>IFERROR(__xludf.DUMMYFUNCTION("if(regexmatch(B56,""e(.*)$""),regexextract(B56,""e(.*)$""),"""")"),"-15")</f>
        <v>-15</v>
      </c>
      <c r="M56" s="16"/>
      <c r="N56" s="18">
        <f>countif(ConstantsUnits!C:C,F56)</f>
        <v>1</v>
      </c>
      <c r="O56" s="16" t="str">
        <f>VLOOKUP(A56,ConstantsUnits!A:A,1,false)</f>
        <v>classical electron radius</v>
      </c>
    </row>
    <row r="57">
      <c r="A57" s="1" t="s">
        <v>259</v>
      </c>
      <c r="B57" s="1" t="s">
        <v>2345</v>
      </c>
      <c r="C57" s="1" t="s">
        <v>2346</v>
      </c>
      <c r="D57" s="1" t="s">
        <v>59</v>
      </c>
      <c r="E57" s="15"/>
      <c r="F57" s="16" t="str">
        <f>ifna(VLOOKUP($A57,ConstantsUnits!$A:$C,3,false),"")</f>
        <v>ComptonWavelength</v>
      </c>
      <c r="G57" s="17" t="str">
        <f t="shared" si="1"/>
        <v>2.4263102389e-12</v>
      </c>
      <c r="H57" s="17">
        <f t="shared" si="2"/>
        <v>0</v>
      </c>
      <c r="I57" s="17" t="str">
        <f t="shared" si="3"/>
        <v>0.0000000016e-12</v>
      </c>
      <c r="J57" s="17">
        <f t="shared" si="4"/>
        <v>0</v>
      </c>
      <c r="K57" s="17" t="b">
        <f t="shared" si="5"/>
        <v>0</v>
      </c>
      <c r="L57" s="16" t="str">
        <f>IFERROR(__xludf.DUMMYFUNCTION("if(regexmatch(B57,""e(.*)$""),regexextract(B57,""e(.*)$""),"""")"),"-12")</f>
        <v>-12</v>
      </c>
      <c r="M57" s="16"/>
      <c r="N57" s="18">
        <f>countif(ConstantsUnits!C:C,F57)</f>
        <v>1</v>
      </c>
      <c r="O57" s="16" t="str">
        <f>VLOOKUP(A57,ConstantsUnits!A:A,1,false)</f>
        <v>Compton wavelength</v>
      </c>
    </row>
    <row r="58">
      <c r="A58" s="1" t="s">
        <v>1830</v>
      </c>
      <c r="B58" s="1" t="s">
        <v>2347</v>
      </c>
      <c r="C58" s="1" t="s">
        <v>2348</v>
      </c>
      <c r="D58" s="1" t="s">
        <v>59</v>
      </c>
      <c r="E58" s="15"/>
      <c r="F58" s="3" t="s">
        <v>267</v>
      </c>
      <c r="G58" s="17" t="str">
        <f t="shared" si="1"/>
        <v>386.15926800e-15</v>
      </c>
      <c r="H58" s="17">
        <f t="shared" si="2"/>
        <v>0</v>
      </c>
      <c r="I58" s="17" t="str">
        <f t="shared" si="3"/>
        <v>0.00000025e-15</v>
      </c>
      <c r="J58" s="17">
        <f t="shared" si="4"/>
        <v>0</v>
      </c>
      <c r="K58" s="17" t="b">
        <f t="shared" si="5"/>
        <v>0</v>
      </c>
      <c r="L58" s="16" t="str">
        <f>IFERROR(__xludf.DUMMYFUNCTION("if(regexmatch(B58,""e(.*)$""),regexextract(B58,""e(.*)$""),"""")"),"-15")</f>
        <v>-15</v>
      </c>
      <c r="M58" s="16"/>
      <c r="N58" s="18">
        <f>countif(ConstantsUnits!C:C,F58)</f>
        <v>1</v>
      </c>
      <c r="O58" s="16" t="str">
        <f>VLOOKUP(A58,ConstantsUnits!A:A,1,false)</f>
        <v>#N/A</v>
      </c>
    </row>
    <row r="59">
      <c r="A59" s="1" t="s">
        <v>262</v>
      </c>
      <c r="B59" s="1" t="s">
        <v>2349</v>
      </c>
      <c r="C59" s="1" t="s">
        <v>2350</v>
      </c>
      <c r="D59" s="1" t="s">
        <v>263</v>
      </c>
      <c r="E59" s="15"/>
      <c r="F59" s="16" t="str">
        <f>ifna(VLOOKUP($A59,ConstantsUnits!$A:$C,3,false),"")</f>
        <v>ConductanceQuantum</v>
      </c>
      <c r="G59" s="17" t="str">
        <f t="shared" si="1"/>
        <v>7.7480917346e-5</v>
      </c>
      <c r="H59" s="17">
        <f t="shared" si="2"/>
        <v>0.00007748091735</v>
      </c>
      <c r="I59" s="17" t="str">
        <f t="shared" si="3"/>
        <v>0.0000000025e-5</v>
      </c>
      <c r="J59" s="17">
        <f t="shared" si="4"/>
        <v>0</v>
      </c>
      <c r="K59" s="17" t="b">
        <f t="shared" si="5"/>
        <v>0</v>
      </c>
      <c r="L59" s="16" t="str">
        <f>IFERROR(__xludf.DUMMYFUNCTION("if(regexmatch(B59,""e(.*)$""),regexextract(B59,""e(.*)$""),"""")"),"-5")</f>
        <v>-5</v>
      </c>
      <c r="M59" s="16"/>
      <c r="N59" s="18">
        <f>countif(ConstantsUnits!C:C,F59)</f>
        <v>1</v>
      </c>
      <c r="O59" s="16" t="str">
        <f>VLOOKUP(A59,ConstantsUnits!A:A,1,false)</f>
        <v>conductance quantum</v>
      </c>
    </row>
    <row r="60">
      <c r="A60" s="1" t="s">
        <v>279</v>
      </c>
      <c r="B60" s="1" t="s">
        <v>1297</v>
      </c>
      <c r="C60" s="1" t="s">
        <v>1232</v>
      </c>
      <c r="D60" s="1" t="s">
        <v>280</v>
      </c>
      <c r="E60" s="15"/>
      <c r="F60" s="16" t="str">
        <f>ifna(VLOOKUP($A60,ConstantsUnits!$A:$C,3,false),"")</f>
        <v>ConventionalValueOfJosephsonConstant</v>
      </c>
      <c r="G60" s="17" t="str">
        <f t="shared" si="1"/>
        <v>483597.9e9</v>
      </c>
      <c r="H60" s="17">
        <f t="shared" si="2"/>
        <v>483597900000000</v>
      </c>
      <c r="I60" s="17" t="str">
        <f t="shared" si="3"/>
        <v>(exact)</v>
      </c>
      <c r="J60" s="17" t="str">
        <f t="shared" si="4"/>
        <v/>
      </c>
      <c r="K60" s="17" t="b">
        <f t="shared" si="5"/>
        <v>0</v>
      </c>
      <c r="L60" s="16" t="str">
        <f>IFERROR(__xludf.DUMMYFUNCTION("if(regexmatch(B60,""e(.*)$""),regexextract(B60,""e(.*)$""),"""")"),"9")</f>
        <v>9</v>
      </c>
      <c r="M60" s="16"/>
      <c r="N60" s="18">
        <f>countif(ConstantsUnits!C:C,F60)</f>
        <v>1</v>
      </c>
      <c r="O60" s="16" t="str">
        <f>VLOOKUP(A60,ConstantsUnits!A:A,1,false)</f>
        <v>conventional value of Josephson constant</v>
      </c>
    </row>
    <row r="61">
      <c r="A61" s="1" t="s">
        <v>288</v>
      </c>
      <c r="B61" s="1" t="s">
        <v>1299</v>
      </c>
      <c r="C61" s="1" t="s">
        <v>1232</v>
      </c>
      <c r="D61" s="1" t="s">
        <v>252</v>
      </c>
      <c r="E61" s="15"/>
      <c r="F61" s="16" t="str">
        <f>ifna(VLOOKUP($A61,ConstantsUnits!$A:$C,3,false),"")</f>
        <v>ConventionalValueOfVonKlitzingConstant</v>
      </c>
      <c r="G61" s="17" t="str">
        <f t="shared" si="1"/>
        <v>25812.807</v>
      </c>
      <c r="H61" s="17">
        <f t="shared" si="2"/>
        <v>25812.807</v>
      </c>
      <c r="I61" s="17" t="str">
        <f t="shared" si="3"/>
        <v>(exact)</v>
      </c>
      <c r="J61" s="17" t="str">
        <f t="shared" si="4"/>
        <v/>
      </c>
      <c r="K61" s="17" t="b">
        <f t="shared" si="5"/>
        <v>0</v>
      </c>
      <c r="L61" s="16" t="str">
        <f>IFERROR(__xludf.DUMMYFUNCTION("if(regexmatch(B61,""e(.*)$""),regexextract(B61,""e(.*)$""),"""")"),"")</f>
        <v/>
      </c>
      <c r="M61" s="16"/>
      <c r="N61" s="18">
        <f>countif(ConstantsUnits!C:C,F61)</f>
        <v>1</v>
      </c>
      <c r="O61" s="16" t="str">
        <f>VLOOKUP(A61,ConstantsUnits!A:A,1,false)</f>
        <v>conventional value of von Klitzing constant</v>
      </c>
    </row>
    <row r="62">
      <c r="A62" s="1" t="s">
        <v>1835</v>
      </c>
      <c r="B62" s="1" t="s">
        <v>1301</v>
      </c>
      <c r="C62" s="1" t="s">
        <v>1302</v>
      </c>
      <c r="D62" s="1" t="s">
        <v>59</v>
      </c>
      <c r="E62" s="15"/>
      <c r="F62" s="1" t="s">
        <v>295</v>
      </c>
      <c r="G62" s="17" t="str">
        <f t="shared" si="1"/>
        <v>1.00207697e-13</v>
      </c>
      <c r="H62" s="17">
        <f t="shared" si="2"/>
        <v>0</v>
      </c>
      <c r="I62" s="17" t="str">
        <f t="shared" si="3"/>
        <v>0.00000028e-13</v>
      </c>
      <c r="J62" s="17">
        <f t="shared" si="4"/>
        <v>0</v>
      </c>
      <c r="K62" s="17" t="b">
        <f t="shared" si="5"/>
        <v>0</v>
      </c>
      <c r="L62" s="16" t="str">
        <f>IFERROR(__xludf.DUMMYFUNCTION("if(regexmatch(B62,""e(.*)$""),regexextract(B62,""e(.*)$""),"""")"),"-13")</f>
        <v>-13</v>
      </c>
      <c r="M62" s="16"/>
      <c r="N62" s="18">
        <f>countif(ConstantsUnits!C:C,F62)</f>
        <v>1</v>
      </c>
      <c r="O62" s="16" t="str">
        <f>VLOOKUP(A62,ConstantsUnits!A:A,1,false)</f>
        <v>#N/A</v>
      </c>
    </row>
    <row r="63">
      <c r="A63" s="1" t="s">
        <v>297</v>
      </c>
      <c r="B63" s="1" t="s">
        <v>2351</v>
      </c>
      <c r="C63" s="1" t="s">
        <v>2352</v>
      </c>
      <c r="E63" s="15"/>
      <c r="F63" s="16" t="str">
        <f>ifna(VLOOKUP($A63,ConstantsUnits!$A:$C,3,false),"")</f>
        <v>DeuteronElectronMagneticMomentRatio</v>
      </c>
      <c r="G63" s="17" t="str">
        <f t="shared" si="1"/>
        <v>-4.664345537e-4</v>
      </c>
      <c r="H63" s="17">
        <f t="shared" si="2"/>
        <v>-0.0004664345537</v>
      </c>
      <c r="I63" s="17" t="str">
        <f t="shared" si="3"/>
        <v>0.000000039e-4</v>
      </c>
      <c r="J63" s="17">
        <f t="shared" si="4"/>
        <v>0</v>
      </c>
      <c r="K63" s="17" t="b">
        <f t="shared" si="5"/>
        <v>0</v>
      </c>
      <c r="L63" s="16" t="str">
        <f>IFERROR(__xludf.DUMMYFUNCTION("if(regexmatch(B63,""e(.*)$""),regexextract(B63,""e(.*)$""),"""")"),"-4")</f>
        <v>-4</v>
      </c>
      <c r="M63" s="16"/>
      <c r="N63" s="18">
        <f>countif(ConstantsUnits!C:C,F63)</f>
        <v>1</v>
      </c>
      <c r="O63" s="16" t="str">
        <f>VLOOKUP(A63,ConstantsUnits!A:A,1,false)</f>
        <v>deuteron-electron mag. mom. ratio</v>
      </c>
    </row>
    <row r="64">
      <c r="A64" s="1" t="s">
        <v>300</v>
      </c>
      <c r="B64" s="1" t="s">
        <v>2353</v>
      </c>
      <c r="C64" s="1" t="s">
        <v>2354</v>
      </c>
      <c r="E64" s="15"/>
      <c r="F64" s="16" t="str">
        <f>ifna(VLOOKUP($A64,ConstantsUnits!$A:$C,3,false),"")</f>
        <v>DeuteronElectronMassRatio</v>
      </c>
      <c r="G64" s="17" t="str">
        <f t="shared" si="1"/>
        <v>3670.4829652</v>
      </c>
      <c r="H64" s="17">
        <f t="shared" si="2"/>
        <v>3670.482965</v>
      </c>
      <c r="I64" s="17" t="str">
        <f t="shared" si="3"/>
        <v>0.0000015</v>
      </c>
      <c r="J64" s="17">
        <f t="shared" si="4"/>
        <v>0.0000015</v>
      </c>
      <c r="K64" s="17" t="b">
        <f t="shared" si="5"/>
        <v>0</v>
      </c>
      <c r="L64" s="16" t="str">
        <f>IFERROR(__xludf.DUMMYFUNCTION("if(regexmatch(B64,""e(.*)$""),regexextract(B64,""e(.*)$""),"""")"),"")</f>
        <v/>
      </c>
      <c r="M64" s="16"/>
      <c r="N64" s="18">
        <f>countif(ConstantsUnits!C:C,F64)</f>
        <v>1</v>
      </c>
      <c r="O64" s="16" t="str">
        <f>VLOOKUP(A64,ConstantsUnits!A:A,1,false)</f>
        <v>deuteron-electron mass ratio</v>
      </c>
    </row>
    <row r="65">
      <c r="A65" s="1" t="s">
        <v>303</v>
      </c>
      <c r="B65" s="1" t="s">
        <v>2355</v>
      </c>
      <c r="C65" s="1" t="s">
        <v>2356</v>
      </c>
      <c r="E65" s="15"/>
      <c r="F65" s="16" t="str">
        <f>ifna(VLOOKUP($A65,ConstantsUnits!$A:$C,3,false),"")</f>
        <v>DeuteronGFactor</v>
      </c>
      <c r="G65" s="17" t="str">
        <f t="shared" si="1"/>
        <v>0.8574382308</v>
      </c>
      <c r="H65" s="17">
        <f t="shared" si="2"/>
        <v>0.8574382308</v>
      </c>
      <c r="I65" s="17" t="str">
        <f t="shared" si="3"/>
        <v>0.0000000072</v>
      </c>
      <c r="J65" s="17">
        <f t="shared" si="4"/>
        <v>0.0000000072</v>
      </c>
      <c r="K65" s="17" t="b">
        <f t="shared" si="5"/>
        <v>0</v>
      </c>
      <c r="L65" s="16" t="str">
        <f>IFERROR(__xludf.DUMMYFUNCTION("if(regexmatch(B65,""e(.*)$""),regexextract(B65,""e(.*)$""),"""")"),"")</f>
        <v/>
      </c>
      <c r="M65" s="16"/>
      <c r="N65" s="18">
        <f>countif(ConstantsUnits!C:C,F65)</f>
        <v>1</v>
      </c>
      <c r="O65" s="16" t="str">
        <f>VLOOKUP(A65,ConstantsUnits!A:A,1,false)</f>
        <v>deuteron g factor</v>
      </c>
    </row>
    <row r="66">
      <c r="A66" s="1" t="s">
        <v>306</v>
      </c>
      <c r="B66" s="1" t="s">
        <v>2357</v>
      </c>
      <c r="C66" s="1" t="s">
        <v>2358</v>
      </c>
      <c r="D66" s="1" t="s">
        <v>165</v>
      </c>
      <c r="E66" s="15"/>
      <c r="F66" s="16" t="str">
        <f>ifna(VLOOKUP($A66,ConstantsUnits!$A:$C,3,false),"")</f>
        <v>DeuteronMagneticMoment</v>
      </c>
      <c r="G66" s="17" t="str">
        <f t="shared" si="1"/>
        <v>0.433073489e-26</v>
      </c>
      <c r="H66" s="17">
        <f t="shared" si="2"/>
        <v>0</v>
      </c>
      <c r="I66" s="17" t="str">
        <f t="shared" si="3"/>
        <v>0.000000010e-26</v>
      </c>
      <c r="J66" s="17">
        <f t="shared" si="4"/>
        <v>0</v>
      </c>
      <c r="K66" s="17" t="b">
        <f t="shared" si="5"/>
        <v>0</v>
      </c>
      <c r="L66" s="16" t="str">
        <f>IFERROR(__xludf.DUMMYFUNCTION("if(regexmatch(B66,""e(.*)$""),regexextract(B66,""e(.*)$""),"""")"),"-26")</f>
        <v>-26</v>
      </c>
      <c r="M66" s="16"/>
      <c r="N66" s="18">
        <f>countif(ConstantsUnits!C:C,F66)</f>
        <v>1</v>
      </c>
      <c r="O66" s="16" t="str">
        <f>VLOOKUP(A66,ConstantsUnits!A:A,1,false)</f>
        <v>deuteron mag. mom.</v>
      </c>
    </row>
    <row r="67">
      <c r="A67" s="1" t="s">
        <v>309</v>
      </c>
      <c r="B67" s="1" t="s">
        <v>2359</v>
      </c>
      <c r="C67" s="1" t="s">
        <v>2360</v>
      </c>
      <c r="E67" s="15"/>
      <c r="F67" s="16" t="str">
        <f>ifna(VLOOKUP($A67,ConstantsUnits!$A:$C,3,false),"")</f>
        <v>DeuteronMagneticMomentToBohrMagnetonRatio</v>
      </c>
      <c r="G67" s="17" t="str">
        <f t="shared" si="1"/>
        <v>0.4669754556e-3</v>
      </c>
      <c r="H67" s="17">
        <f t="shared" si="2"/>
        <v>0.0004669754556</v>
      </c>
      <c r="I67" s="17" t="str">
        <f t="shared" si="3"/>
        <v>0.0000000039e-3</v>
      </c>
      <c r="J67" s="17">
        <f t="shared" si="4"/>
        <v>0</v>
      </c>
      <c r="K67" s="17" t="b">
        <f t="shared" si="5"/>
        <v>0</v>
      </c>
      <c r="L67" s="16" t="str">
        <f>IFERROR(__xludf.DUMMYFUNCTION("if(regexmatch(B67,""e(.*)$""),regexextract(B67,""e(.*)$""),"""")"),"-3")</f>
        <v>-3</v>
      </c>
      <c r="M67" s="16"/>
      <c r="N67" s="18">
        <f>countif(ConstantsUnits!C:C,F67)</f>
        <v>1</v>
      </c>
      <c r="O67" s="16" t="str">
        <f>VLOOKUP(A67,ConstantsUnits!A:A,1,false)</f>
        <v>deuteron mag. mom. to Bohr magneton ratio</v>
      </c>
    </row>
    <row r="68">
      <c r="A68" s="1" t="s">
        <v>312</v>
      </c>
      <c r="B68" s="1" t="s">
        <v>2355</v>
      </c>
      <c r="C68" s="1" t="s">
        <v>2356</v>
      </c>
      <c r="E68" s="15"/>
      <c r="F68" s="16" t="str">
        <f>ifna(VLOOKUP($A68,ConstantsUnits!$A:$C,3,false),"")</f>
        <v>DeuteronMagneticMomentToNuclearMagnetonRatio</v>
      </c>
      <c r="G68" s="17" t="str">
        <f t="shared" si="1"/>
        <v>0.8574382308</v>
      </c>
      <c r="H68" s="17">
        <f t="shared" si="2"/>
        <v>0.8574382308</v>
      </c>
      <c r="I68" s="17" t="str">
        <f t="shared" si="3"/>
        <v>0.0000000072</v>
      </c>
      <c r="J68" s="17">
        <f t="shared" si="4"/>
        <v>0.0000000072</v>
      </c>
      <c r="K68" s="17" t="b">
        <f t="shared" si="5"/>
        <v>0</v>
      </c>
      <c r="L68" s="16" t="str">
        <f>IFERROR(__xludf.DUMMYFUNCTION("if(regexmatch(B68,""e(.*)$""),regexextract(B68,""e(.*)$""),"""")"),"")</f>
        <v/>
      </c>
      <c r="M68" s="16"/>
      <c r="N68" s="18">
        <f>countif(ConstantsUnits!C:C,F68)</f>
        <v>1</v>
      </c>
      <c r="O68" s="16" t="str">
        <f>VLOOKUP(A68,ConstantsUnits!A:A,1,false)</f>
        <v>deuteron mag. mom. to nuclear magneton ratio</v>
      </c>
    </row>
    <row r="69">
      <c r="A69" s="1" t="s">
        <v>315</v>
      </c>
      <c r="B69" s="1" t="s">
        <v>2361</v>
      </c>
      <c r="C69" s="1" t="s">
        <v>2362</v>
      </c>
      <c r="D69" s="1" t="s">
        <v>38</v>
      </c>
      <c r="E69" s="15"/>
      <c r="F69" s="16" t="str">
        <f>ifna(VLOOKUP($A69,ConstantsUnits!$A:$C,3,false),"")</f>
        <v>DeuteronMass</v>
      </c>
      <c r="G69" s="17" t="str">
        <f t="shared" si="1"/>
        <v>3.34358348e-27</v>
      </c>
      <c r="H69" s="17">
        <f t="shared" si="2"/>
        <v>0</v>
      </c>
      <c r="I69" s="17" t="str">
        <f t="shared" si="3"/>
        <v>0.00000015e-27</v>
      </c>
      <c r="J69" s="17">
        <f t="shared" si="4"/>
        <v>0</v>
      </c>
      <c r="K69" s="17" t="b">
        <f t="shared" si="5"/>
        <v>0</v>
      </c>
      <c r="L69" s="16" t="str">
        <f>IFERROR(__xludf.DUMMYFUNCTION("if(regexmatch(B69,""e(.*)$""),regexextract(B69,""e(.*)$""),"""")"),"-27")</f>
        <v>-27</v>
      </c>
      <c r="M69" s="16"/>
      <c r="N69" s="18">
        <f>countif(ConstantsUnits!C:C,F69)</f>
        <v>1</v>
      </c>
      <c r="O69" s="16" t="str">
        <f>VLOOKUP(A69,ConstantsUnits!A:A,1,false)</f>
        <v>deuteron mass</v>
      </c>
    </row>
    <row r="70">
      <c r="A70" s="1" t="s">
        <v>318</v>
      </c>
      <c r="B70" s="1" t="s">
        <v>2363</v>
      </c>
      <c r="C70" s="1" t="s">
        <v>2364</v>
      </c>
      <c r="D70" s="1" t="s">
        <v>41</v>
      </c>
      <c r="E70" s="15"/>
      <c r="F70" s="16" t="str">
        <f>ifna(VLOOKUP($A70,ConstantsUnits!$A:$C,3,false),"")</f>
        <v>DeuteronMassEnergyEquivalent</v>
      </c>
      <c r="G70" s="17" t="str">
        <f t="shared" si="1"/>
        <v>3.00506297e-10</v>
      </c>
      <c r="H70" s="17">
        <f t="shared" si="2"/>
        <v>0.000000000300506297</v>
      </c>
      <c r="I70" s="17" t="str">
        <f t="shared" si="3"/>
        <v>0.00000013e-10</v>
      </c>
      <c r="J70" s="17">
        <f t="shared" si="4"/>
        <v>0</v>
      </c>
      <c r="K70" s="17" t="b">
        <f t="shared" si="5"/>
        <v>0</v>
      </c>
      <c r="L70" s="16" t="str">
        <f>IFERROR(__xludf.DUMMYFUNCTION("if(regexmatch(B70,""e(.*)$""),regexextract(B70,""e(.*)$""),"""")"),"-10")</f>
        <v>-10</v>
      </c>
      <c r="M70" s="16"/>
      <c r="N70" s="18">
        <f>countif(ConstantsUnits!C:C,F70)</f>
        <v>1</v>
      </c>
      <c r="O70" s="16" t="str">
        <f>VLOOKUP(A70,ConstantsUnits!A:A,1,false)</f>
        <v>deuteron mass energy equivalent</v>
      </c>
    </row>
    <row r="71">
      <c r="A71" s="1" t="s">
        <v>321</v>
      </c>
      <c r="B71" s="1" t="s">
        <v>2365</v>
      </c>
      <c r="C71" s="1" t="s">
        <v>2366</v>
      </c>
      <c r="D71" s="1" t="s">
        <v>45</v>
      </c>
      <c r="E71" s="15"/>
      <c r="F71" s="16" t="str">
        <f>ifna(VLOOKUP($A71,ConstantsUnits!$A:$C,3,false),"")</f>
        <v>DeuteronMassEnergyEquivalentInMeV</v>
      </c>
      <c r="G71" s="17" t="str">
        <f t="shared" si="1"/>
        <v>1875.612859</v>
      </c>
      <c r="H71" s="17">
        <f t="shared" si="2"/>
        <v>1875.612859</v>
      </c>
      <c r="I71" s="17" t="str">
        <f t="shared" si="3"/>
        <v>0.000041</v>
      </c>
      <c r="J71" s="17">
        <f t="shared" si="4"/>
        <v>0.000041</v>
      </c>
      <c r="K71" s="17" t="b">
        <f t="shared" si="5"/>
        <v>0</v>
      </c>
      <c r="L71" s="16" t="str">
        <f>IFERROR(__xludf.DUMMYFUNCTION("if(regexmatch(B71,""e(.*)$""),regexextract(B71,""e(.*)$""),"""")"),"")</f>
        <v/>
      </c>
      <c r="M71" s="16"/>
      <c r="N71" s="18">
        <f>countif(ConstantsUnits!C:C,F71)</f>
        <v>1</v>
      </c>
      <c r="O71" s="16" t="str">
        <f>VLOOKUP(A71,ConstantsUnits!A:A,1,false)</f>
        <v>deuteron mass energy equivalent in MeV</v>
      </c>
    </row>
    <row r="72">
      <c r="A72" s="1" t="s">
        <v>323</v>
      </c>
      <c r="B72" s="1" t="s">
        <v>2367</v>
      </c>
      <c r="C72" s="1" t="s">
        <v>2368</v>
      </c>
      <c r="D72" s="1" t="s">
        <v>48</v>
      </c>
      <c r="E72" s="15"/>
      <c r="F72" s="16" t="str">
        <f>ifna(VLOOKUP($A72,ConstantsUnits!$A:$C,3,false),"")</f>
        <v>DeuteronMassInAtomicMassUnit</v>
      </c>
      <c r="G72" s="17" t="str">
        <f t="shared" si="1"/>
        <v>2.013553212712</v>
      </c>
      <c r="H72" s="17">
        <f t="shared" si="2"/>
        <v>2.013553213</v>
      </c>
      <c r="I72" s="17" t="str">
        <f t="shared" si="3"/>
        <v>0.000000000077</v>
      </c>
      <c r="J72" s="17">
        <f t="shared" si="4"/>
        <v>0</v>
      </c>
      <c r="K72" s="17" t="b">
        <f t="shared" si="5"/>
        <v>0</v>
      </c>
      <c r="L72" s="16" t="str">
        <f>IFERROR(__xludf.DUMMYFUNCTION("if(regexmatch(B72,""e(.*)$""),regexextract(B72,""e(.*)$""),"""")"),"")</f>
        <v/>
      </c>
      <c r="M72" s="16"/>
      <c r="N72" s="18">
        <f>countif(ConstantsUnits!C:C,F72)</f>
        <v>1</v>
      </c>
      <c r="O72" s="16" t="str">
        <f>VLOOKUP(A72,ConstantsUnits!A:A,1,false)</f>
        <v>deuteron mass in u</v>
      </c>
    </row>
    <row r="73">
      <c r="A73" s="1" t="s">
        <v>326</v>
      </c>
      <c r="B73" s="1" t="s">
        <v>2369</v>
      </c>
      <c r="C73" s="1" t="s">
        <v>2370</v>
      </c>
      <c r="D73" s="1" t="s">
        <v>51</v>
      </c>
      <c r="E73" s="15"/>
      <c r="F73" s="16" t="str">
        <f>ifna(VLOOKUP($A73,ConstantsUnits!$A:$C,3,false),"")</f>
        <v>DeuteronMolarMass</v>
      </c>
      <c r="G73" s="17" t="str">
        <f t="shared" si="1"/>
        <v>2.013553212712e-3</v>
      </c>
      <c r="H73" s="17">
        <f t="shared" si="2"/>
        <v>0.002013553213</v>
      </c>
      <c r="I73" s="17" t="str">
        <f t="shared" si="3"/>
        <v>0.000000000077e-3</v>
      </c>
      <c r="J73" s="17">
        <f t="shared" si="4"/>
        <v>0</v>
      </c>
      <c r="K73" s="17" t="b">
        <f t="shared" si="5"/>
        <v>0</v>
      </c>
      <c r="L73" s="16" t="str">
        <f>IFERROR(__xludf.DUMMYFUNCTION("if(regexmatch(B73,""e(.*)$""),regexextract(B73,""e(.*)$""),"""")"),"-3")</f>
        <v>-3</v>
      </c>
      <c r="M73" s="16"/>
      <c r="N73" s="18">
        <f>countif(ConstantsUnits!C:C,F73)</f>
        <v>1</v>
      </c>
      <c r="O73" s="16" t="str">
        <f>VLOOKUP(A73,ConstantsUnits!A:A,1,false)</f>
        <v>deuteron molar mass</v>
      </c>
    </row>
    <row r="74">
      <c r="A74" s="1" t="s">
        <v>330</v>
      </c>
      <c r="B74" s="1" t="s">
        <v>1853</v>
      </c>
      <c r="C74" s="1" t="s">
        <v>1323</v>
      </c>
      <c r="E74" s="15"/>
      <c r="F74" s="16" t="str">
        <f>ifna(VLOOKUP($A74,ConstantsUnits!$A:$C,3,false),"")</f>
        <v>DeuteronNeutronMagneticMomentRatio</v>
      </c>
      <c r="G74" s="17" t="str">
        <f t="shared" si="1"/>
        <v>-0.44820652</v>
      </c>
      <c r="H74" s="17">
        <f t="shared" si="2"/>
        <v>-0.44820652</v>
      </c>
      <c r="I74" s="17" t="str">
        <f t="shared" si="3"/>
        <v>0.00000011</v>
      </c>
      <c r="J74" s="17">
        <f t="shared" si="4"/>
        <v>0.00000011</v>
      </c>
      <c r="K74" s="17" t="b">
        <f t="shared" si="5"/>
        <v>0</v>
      </c>
      <c r="L74" s="16" t="str">
        <f>IFERROR(__xludf.DUMMYFUNCTION("if(regexmatch(B74,""e(.*)$""),regexextract(B74,""e(.*)$""),"""")"),"")</f>
        <v/>
      </c>
      <c r="M74" s="16"/>
      <c r="N74" s="18">
        <f>countif(ConstantsUnits!C:C,F74)</f>
        <v>1</v>
      </c>
      <c r="O74" s="16" t="str">
        <f>VLOOKUP(A74,ConstantsUnits!A:A,1,false)</f>
        <v>deuteron-neutron mag. mom. ratio</v>
      </c>
    </row>
    <row r="75">
      <c r="A75" s="1" t="s">
        <v>333</v>
      </c>
      <c r="B75" s="1" t="s">
        <v>2371</v>
      </c>
      <c r="C75" s="1" t="s">
        <v>2372</v>
      </c>
      <c r="E75" s="15"/>
      <c r="F75" s="16" t="str">
        <f>ifna(VLOOKUP($A75,ConstantsUnits!$A:$C,3,false),"")</f>
        <v>DeuteronProtonMagneticMomentRatio</v>
      </c>
      <c r="G75" s="17" t="str">
        <f t="shared" si="1"/>
        <v>0.3070122070</v>
      </c>
      <c r="H75" s="17">
        <f t="shared" si="2"/>
        <v>0.307012207</v>
      </c>
      <c r="I75" s="17" t="str">
        <f t="shared" si="3"/>
        <v>0.0000000024</v>
      </c>
      <c r="J75" s="17">
        <f t="shared" si="4"/>
        <v>0.0000000024</v>
      </c>
      <c r="K75" s="17" t="b">
        <f t="shared" si="5"/>
        <v>0</v>
      </c>
      <c r="L75" s="16" t="str">
        <f>IFERROR(__xludf.DUMMYFUNCTION("if(regexmatch(B75,""e(.*)$""),regexextract(B75,""e(.*)$""),"""")"),"")</f>
        <v/>
      </c>
      <c r="M75" s="16"/>
      <c r="N75" s="18">
        <f>countif(ConstantsUnits!C:C,F75)</f>
        <v>1</v>
      </c>
      <c r="O75" s="16" t="str">
        <f>VLOOKUP(A75,ConstantsUnits!A:A,1,false)</f>
        <v>deuteron-proton mag. mom. ratio</v>
      </c>
    </row>
    <row r="76">
      <c r="A76" s="1" t="s">
        <v>336</v>
      </c>
      <c r="B76" s="1" t="s">
        <v>2373</v>
      </c>
      <c r="C76" s="1" t="s">
        <v>2374</v>
      </c>
      <c r="E76" s="15"/>
      <c r="F76" s="16" t="str">
        <f>ifna(VLOOKUP($A76,ConstantsUnits!$A:$C,3,false),"")</f>
        <v>DeuteronProtonMassRatio</v>
      </c>
      <c r="G76" s="17" t="str">
        <f t="shared" si="1"/>
        <v>1.99900750097</v>
      </c>
      <c r="H76" s="17">
        <f t="shared" si="2"/>
        <v>1.999007501</v>
      </c>
      <c r="I76" s="17" t="str">
        <f t="shared" si="3"/>
        <v>0.00000000018</v>
      </c>
      <c r="J76" s="17">
        <f t="shared" si="4"/>
        <v>0.00000000018</v>
      </c>
      <c r="K76" s="17" t="b">
        <f t="shared" si="5"/>
        <v>0</v>
      </c>
      <c r="L76" s="16" t="str">
        <f>IFERROR(__xludf.DUMMYFUNCTION("if(regexmatch(B76,""e(.*)$""),regexextract(B76,""e(.*)$""),"""")"),"")</f>
        <v/>
      </c>
      <c r="M76" s="16"/>
      <c r="N76" s="18">
        <f>countif(ConstantsUnits!C:C,F76)</f>
        <v>1</v>
      </c>
      <c r="O76" s="16" t="str">
        <f>VLOOKUP(A76,ConstantsUnits!A:A,1,false)</f>
        <v>deuteron-proton mass ratio</v>
      </c>
    </row>
    <row r="77">
      <c r="A77" s="1" t="s">
        <v>341</v>
      </c>
      <c r="B77" s="19" t="s">
        <v>2375</v>
      </c>
      <c r="C77" s="19" t="s">
        <v>2376</v>
      </c>
      <c r="D77" s="1" t="s">
        <v>59</v>
      </c>
      <c r="E77" s="15"/>
      <c r="F77" s="16" t="str">
        <f>ifna(VLOOKUP($A77,ConstantsUnits!$A:$C,3,false),"")</f>
        <v>DeuteronRmsChargeRadius</v>
      </c>
      <c r="G77" s="17" t="str">
        <f t="shared" si="1"/>
        <v>2.1424e-15</v>
      </c>
      <c r="H77" s="17">
        <f t="shared" si="2"/>
        <v>0</v>
      </c>
      <c r="I77" s="17" t="str">
        <f t="shared" si="3"/>
        <v>0.0021e-15</v>
      </c>
      <c r="J77" s="17">
        <f t="shared" si="4"/>
        <v>0</v>
      </c>
      <c r="K77" s="17" t="b">
        <f t="shared" si="5"/>
        <v>0</v>
      </c>
      <c r="L77" s="16" t="str">
        <f>IFERROR(__xludf.DUMMYFUNCTION("if(regexmatch(B77,""e(.*)$""),regexextract(B77,""e(.*)$""),"""")"),"-15")</f>
        <v>-15</v>
      </c>
      <c r="M77" s="16"/>
      <c r="N77" s="18">
        <f>countif(ConstantsUnits!C:C,F77)</f>
        <v>1</v>
      </c>
      <c r="O77" s="16" t="str">
        <f>VLOOKUP(A77,ConstantsUnits!A:A,1,false)</f>
        <v>deuteron rms charge radius</v>
      </c>
    </row>
    <row r="78">
      <c r="A78" s="1" t="s">
        <v>1860</v>
      </c>
      <c r="B78" s="1" t="s">
        <v>1861</v>
      </c>
      <c r="C78" s="1" t="s">
        <v>1232</v>
      </c>
      <c r="D78" s="1" t="s">
        <v>187</v>
      </c>
      <c r="E78" s="15"/>
      <c r="F78" s="1" t="s">
        <v>344</v>
      </c>
      <c r="G78" s="17" t="str">
        <f t="shared" si="1"/>
        <v>8.854187817e-12</v>
      </c>
      <c r="H78" s="17">
        <f t="shared" si="2"/>
        <v>0</v>
      </c>
      <c r="I78" s="17" t="str">
        <f t="shared" si="3"/>
        <v>(exact)</v>
      </c>
      <c r="J78" s="17" t="str">
        <f t="shared" si="4"/>
        <v/>
      </c>
      <c r="K78" s="17" t="b">
        <f t="shared" si="5"/>
        <v>1</v>
      </c>
      <c r="L78" s="16" t="str">
        <f>IFERROR(__xludf.DUMMYFUNCTION("if(regexmatch(B78,""e(.*)$""),regexextract(B78,""e(.*)$""),"""")"),"-12")</f>
        <v>-12</v>
      </c>
      <c r="M78" s="16"/>
      <c r="N78" s="18">
        <f>countif(ConstantsUnits!C:C,F78)</f>
        <v>1</v>
      </c>
      <c r="O78" s="16" t="str">
        <f>VLOOKUP(A78,ConstantsUnits!A:A,1,false)</f>
        <v>#N/A</v>
      </c>
    </row>
    <row r="79">
      <c r="A79" s="1" t="s">
        <v>346</v>
      </c>
      <c r="B79" s="1" t="s">
        <v>2377</v>
      </c>
      <c r="C79" s="1" t="s">
        <v>2378</v>
      </c>
      <c r="D79" s="1" t="s">
        <v>347</v>
      </c>
      <c r="E79" s="15"/>
      <c r="F79" s="16" t="str">
        <f>ifna(VLOOKUP($A79,ConstantsUnits!$A:$C,3,false),"")</f>
        <v>ElectronChargeToMassQuotient</v>
      </c>
      <c r="G79" s="17" t="str">
        <f t="shared" si="1"/>
        <v>-1.758820088e11</v>
      </c>
      <c r="H79" s="17">
        <f t="shared" si="2"/>
        <v>-175882008800</v>
      </c>
      <c r="I79" s="17" t="str">
        <f t="shared" si="3"/>
        <v>0.000000039e11</v>
      </c>
      <c r="J79" s="17">
        <f t="shared" si="4"/>
        <v>3900</v>
      </c>
      <c r="K79" s="17" t="b">
        <f t="shared" si="5"/>
        <v>0</v>
      </c>
      <c r="L79" s="16" t="str">
        <f>IFERROR(__xludf.DUMMYFUNCTION("if(regexmatch(B79,""e(.*)$""),regexextract(B79,""e(.*)$""),"""")"),"11")</f>
        <v>11</v>
      </c>
      <c r="M79" s="16"/>
      <c r="N79" s="18">
        <f>countif(ConstantsUnits!C:C,F79)</f>
        <v>1</v>
      </c>
      <c r="O79" s="16" t="str">
        <f>VLOOKUP(A79,ConstantsUnits!A:A,1,false)</f>
        <v>electron charge to mass quotient</v>
      </c>
    </row>
    <row r="80">
      <c r="A80" s="1" t="s">
        <v>351</v>
      </c>
      <c r="B80" s="1" t="s">
        <v>2379</v>
      </c>
      <c r="C80" s="1" t="s">
        <v>2380</v>
      </c>
      <c r="E80" s="15"/>
      <c r="F80" s="16" t="str">
        <f>ifna(VLOOKUP($A80,ConstantsUnits!$A:$C,3,false),"")</f>
        <v>ElectronDeuteronMagneticMomentRatio</v>
      </c>
      <c r="G80" s="17" t="str">
        <f t="shared" si="1"/>
        <v>-2143.923498</v>
      </c>
      <c r="H80" s="17">
        <f t="shared" si="2"/>
        <v>-2143.923498</v>
      </c>
      <c r="I80" s="17" t="str">
        <f t="shared" si="3"/>
        <v>0.000018</v>
      </c>
      <c r="J80" s="17">
        <f t="shared" si="4"/>
        <v>0.000018</v>
      </c>
      <c r="K80" s="17" t="b">
        <f t="shared" si="5"/>
        <v>0</v>
      </c>
      <c r="L80" s="16" t="str">
        <f>IFERROR(__xludf.DUMMYFUNCTION("if(regexmatch(B80,""e(.*)$""),regexextract(B80,""e(.*)$""),"""")"),"")</f>
        <v/>
      </c>
      <c r="M80" s="16"/>
      <c r="N80" s="18">
        <f>countif(ConstantsUnits!C:C,F80)</f>
        <v>1</v>
      </c>
      <c r="O80" s="16" t="str">
        <f>VLOOKUP(A80,ConstantsUnits!A:A,1,false)</f>
        <v>electron-deuteron mag. mom. ratio</v>
      </c>
    </row>
    <row r="81">
      <c r="A81" s="1" t="s">
        <v>354</v>
      </c>
      <c r="B81" s="1" t="s">
        <v>2381</v>
      </c>
      <c r="C81" s="1" t="s">
        <v>1580</v>
      </c>
      <c r="E81" s="15"/>
      <c r="F81" s="16" t="str">
        <f>ifna(VLOOKUP($A81,ConstantsUnits!$A:$C,3,false),"")</f>
        <v>ElectronDeuteronMassRatio</v>
      </c>
      <c r="G81" s="17" t="str">
        <f t="shared" si="1"/>
        <v>2.7244371095e-4</v>
      </c>
      <c r="H81" s="17">
        <f t="shared" si="2"/>
        <v>0.000272443711</v>
      </c>
      <c r="I81" s="17" t="str">
        <f t="shared" si="3"/>
        <v>0.0000000011e-4</v>
      </c>
      <c r="J81" s="17">
        <f t="shared" si="4"/>
        <v>0</v>
      </c>
      <c r="K81" s="17" t="b">
        <f t="shared" si="5"/>
        <v>0</v>
      </c>
      <c r="L81" s="16" t="str">
        <f>IFERROR(__xludf.DUMMYFUNCTION("if(regexmatch(B81,""e(.*)$""),regexextract(B81,""e(.*)$""),"""")"),"-4")</f>
        <v>-4</v>
      </c>
      <c r="M81" s="16"/>
      <c r="N81" s="18">
        <f>countif(ConstantsUnits!C:C,F81)</f>
        <v>1</v>
      </c>
      <c r="O81" s="16" t="str">
        <f>VLOOKUP(A81,ConstantsUnits!A:A,1,false)</f>
        <v>electron-deuteron mass ratio</v>
      </c>
    </row>
    <row r="82">
      <c r="A82" s="1" t="s">
        <v>357</v>
      </c>
      <c r="B82" s="1" t="s">
        <v>2382</v>
      </c>
      <c r="C82" s="1" t="s">
        <v>2383</v>
      </c>
      <c r="E82" s="15"/>
      <c r="F82" s="16" t="str">
        <f>ifna(VLOOKUP($A82,ConstantsUnits!$A:$C,3,false),"")</f>
        <v>ElectronGFactor</v>
      </c>
      <c r="G82" s="17" t="str">
        <f t="shared" si="1"/>
        <v>-2.00231930436153</v>
      </c>
      <c r="H82" s="17">
        <f t="shared" si="2"/>
        <v>-2.002319304</v>
      </c>
      <c r="I82" s="17" t="str">
        <f t="shared" si="3"/>
        <v>0.00000000000053</v>
      </c>
      <c r="J82" s="17">
        <f t="shared" si="4"/>
        <v>0</v>
      </c>
      <c r="K82" s="17" t="b">
        <f t="shared" si="5"/>
        <v>0</v>
      </c>
      <c r="L82" s="16" t="str">
        <f>IFERROR(__xludf.DUMMYFUNCTION("if(regexmatch(B82,""e(.*)$""),regexextract(B82,""e(.*)$""),"""")"),"")</f>
        <v/>
      </c>
      <c r="M82" s="16"/>
      <c r="N82" s="18">
        <f>countif(ConstantsUnits!C:C,F82)</f>
        <v>1</v>
      </c>
      <c r="O82" s="16" t="str">
        <f>VLOOKUP(A82,ConstantsUnits!A:A,1,false)</f>
        <v>electron g factor</v>
      </c>
    </row>
    <row r="83">
      <c r="A83" s="1" t="s">
        <v>360</v>
      </c>
      <c r="B83" s="1" t="s">
        <v>2384</v>
      </c>
      <c r="C83" s="1" t="s">
        <v>2378</v>
      </c>
      <c r="D83" s="1" t="s">
        <v>361</v>
      </c>
      <c r="E83" s="15"/>
      <c r="F83" s="16" t="str">
        <f>ifna(VLOOKUP($A83,ConstantsUnits!$A:$C,3,false),"")</f>
        <v>ElectronGyromagneticRatio</v>
      </c>
      <c r="G83" s="17" t="str">
        <f t="shared" si="1"/>
        <v>1.760859708e11</v>
      </c>
      <c r="H83" s="17">
        <f t="shared" si="2"/>
        <v>176085970800</v>
      </c>
      <c r="I83" s="17" t="str">
        <f t="shared" si="3"/>
        <v>0.000000039e11</v>
      </c>
      <c r="J83" s="17">
        <f t="shared" si="4"/>
        <v>3900</v>
      </c>
      <c r="K83" s="17" t="b">
        <f t="shared" si="5"/>
        <v>0</v>
      </c>
      <c r="L83" s="16" t="str">
        <f>IFERROR(__xludf.DUMMYFUNCTION("if(regexmatch(B83,""e(.*)$""),regexextract(B83,""e(.*)$""),"""")"),"11")</f>
        <v>11</v>
      </c>
      <c r="M83" s="16"/>
      <c r="N83" s="18">
        <f>countif(ConstantsUnits!C:C,F83)</f>
        <v>1</v>
      </c>
      <c r="O83" s="16" t="str">
        <f>VLOOKUP(A83,ConstantsUnits!A:A,1,false)</f>
        <v>electron gyromag. ratio</v>
      </c>
    </row>
    <row r="84">
      <c r="A84" s="1" t="s">
        <v>1869</v>
      </c>
      <c r="B84" s="1" t="s">
        <v>2385</v>
      </c>
      <c r="C84" s="1" t="s">
        <v>2386</v>
      </c>
      <c r="D84" s="1" t="s">
        <v>367</v>
      </c>
      <c r="E84" s="15"/>
      <c r="F84" s="3" t="s">
        <v>1871</v>
      </c>
      <c r="G84" s="17" t="str">
        <f t="shared" si="1"/>
        <v>28024.95266</v>
      </c>
      <c r="H84" s="17">
        <f t="shared" si="2"/>
        <v>28024.95266</v>
      </c>
      <c r="I84" s="17" t="str">
        <f t="shared" si="3"/>
        <v>0.00062</v>
      </c>
      <c r="J84" s="17">
        <f t="shared" si="4"/>
        <v>0.00062</v>
      </c>
      <c r="K84" s="17" t="b">
        <f t="shared" si="5"/>
        <v>0</v>
      </c>
      <c r="L84" s="16" t="str">
        <f>IFERROR(__xludf.DUMMYFUNCTION("if(regexmatch(B84,""e(.*)$""),regexextract(B84,""e(.*)$""),"""")"),"")</f>
        <v/>
      </c>
      <c r="M84" s="16"/>
      <c r="N84" s="18">
        <f>countif(ConstantsUnits!C:C,F84)</f>
        <v>1</v>
      </c>
      <c r="O84" s="16" t="str">
        <f>VLOOKUP(A84,ConstantsUnits!A:A,1,false)</f>
        <v>#N/A</v>
      </c>
    </row>
    <row r="85">
      <c r="A85" s="1" t="s">
        <v>370</v>
      </c>
      <c r="B85" s="1" t="s">
        <v>2387</v>
      </c>
      <c r="C85" s="1" t="s">
        <v>2170</v>
      </c>
      <c r="E85" s="15"/>
      <c r="F85" s="16" t="str">
        <f>ifna(VLOOKUP($A85,ConstantsUnits!$A:$C,3,false),"")</f>
        <v>Electron-HelionMassRatio</v>
      </c>
      <c r="G85" s="17" t="str">
        <f t="shared" si="1"/>
        <v>1.8195430761e-4</v>
      </c>
      <c r="H85" s="17">
        <f t="shared" si="2"/>
        <v>0.0001819543076</v>
      </c>
      <c r="I85" s="17" t="str">
        <f t="shared" si="3"/>
        <v>0.0000000017e-4</v>
      </c>
      <c r="J85" s="17">
        <f t="shared" si="4"/>
        <v>0</v>
      </c>
      <c r="K85" s="17" t="b">
        <f t="shared" si="5"/>
        <v>0</v>
      </c>
      <c r="L85" s="16" t="str">
        <f>IFERROR(__xludf.DUMMYFUNCTION("if(regexmatch(B85,""e(.*)$""),regexextract(B85,""e(.*)$""),"""")"),"-4")</f>
        <v>-4</v>
      </c>
      <c r="M85" s="16"/>
      <c r="N85" s="18">
        <f>countif(ConstantsUnits!C:C,F85)</f>
        <v>1</v>
      </c>
      <c r="O85" s="16" t="str">
        <f>VLOOKUP(A85,ConstantsUnits!A:A,1,false)</f>
        <v>electron-helion mass ratio</v>
      </c>
    </row>
    <row r="86">
      <c r="A86" s="1" t="s">
        <v>372</v>
      </c>
      <c r="B86" s="1" t="s">
        <v>2388</v>
      </c>
      <c r="C86" s="1" t="s">
        <v>2389</v>
      </c>
      <c r="D86" s="1" t="s">
        <v>165</v>
      </c>
      <c r="E86" s="15"/>
      <c r="F86" s="16" t="str">
        <f>ifna(VLOOKUP($A86,ConstantsUnits!$A:$C,3,false),"")</f>
        <v>ElectronMagneticMoment</v>
      </c>
      <c r="G86" s="17" t="str">
        <f t="shared" si="1"/>
        <v>-928.476430e-26</v>
      </c>
      <c r="H86" s="17">
        <f t="shared" si="2"/>
        <v>0</v>
      </c>
      <c r="I86" s="17" t="str">
        <f t="shared" si="3"/>
        <v>0.000021e-26</v>
      </c>
      <c r="J86" s="17">
        <f t="shared" si="4"/>
        <v>0</v>
      </c>
      <c r="K86" s="17" t="b">
        <f t="shared" si="5"/>
        <v>0</v>
      </c>
      <c r="L86" s="16" t="str">
        <f>IFERROR(__xludf.DUMMYFUNCTION("if(regexmatch(B86,""e(.*)$""),regexextract(B86,""e(.*)$""),"""")"),"-26")</f>
        <v>-26</v>
      </c>
      <c r="M86" s="16"/>
      <c r="N86" s="18">
        <f>countif(ConstantsUnits!C:C,F86)</f>
        <v>1</v>
      </c>
      <c r="O86" s="16" t="str">
        <f>VLOOKUP(A86,ConstantsUnits!A:A,1,false)</f>
        <v>electron mag. mom.</v>
      </c>
    </row>
    <row r="87">
      <c r="A87" s="1" t="s">
        <v>375</v>
      </c>
      <c r="B87" s="1" t="s">
        <v>2390</v>
      </c>
      <c r="C87" s="1" t="s">
        <v>2391</v>
      </c>
      <c r="E87" s="15"/>
      <c r="F87" s="16" t="str">
        <f>ifna(VLOOKUP($A87,ConstantsUnits!$A:$C,3,false),"")</f>
        <v>ElectronMagneticMomentAnomaly</v>
      </c>
      <c r="G87" s="17" t="str">
        <f t="shared" si="1"/>
        <v>1.15965218076e-3</v>
      </c>
      <c r="H87" s="17">
        <f t="shared" si="2"/>
        <v>0.001159652181</v>
      </c>
      <c r="I87" s="17" t="str">
        <f t="shared" si="3"/>
        <v>0.00000000027e-3</v>
      </c>
      <c r="J87" s="17">
        <f t="shared" si="4"/>
        <v>0</v>
      </c>
      <c r="K87" s="17" t="b">
        <f t="shared" si="5"/>
        <v>0</v>
      </c>
      <c r="L87" s="16" t="str">
        <f>IFERROR(__xludf.DUMMYFUNCTION("if(regexmatch(B87,""e(.*)$""),regexextract(B87,""e(.*)$""),"""")"),"-3")</f>
        <v>-3</v>
      </c>
      <c r="M87" s="16"/>
      <c r="N87" s="18">
        <f>countif(ConstantsUnits!C:C,F87)</f>
        <v>1</v>
      </c>
      <c r="O87" s="16" t="str">
        <f>VLOOKUP(A87,ConstantsUnits!A:A,1,false)</f>
        <v>electron mag. mom. anomaly</v>
      </c>
    </row>
    <row r="88">
      <c r="A88" s="1" t="s">
        <v>378</v>
      </c>
      <c r="B88" s="1" t="s">
        <v>2392</v>
      </c>
      <c r="C88" s="1" t="s">
        <v>2393</v>
      </c>
      <c r="E88" s="15"/>
      <c r="F88" s="16" t="str">
        <f>ifna(VLOOKUP($A88,ConstantsUnits!$A:$C,3,false),"")</f>
        <v>ElectronMagneticMomentToBohrMagnetonRatio</v>
      </c>
      <c r="G88" s="17" t="str">
        <f t="shared" si="1"/>
        <v>-1.00115965218076</v>
      </c>
      <c r="H88" s="17">
        <f t="shared" si="2"/>
        <v>-1.001159652</v>
      </c>
      <c r="I88" s="17" t="str">
        <f t="shared" si="3"/>
        <v>0.00000000000027</v>
      </c>
      <c r="J88" s="17">
        <f t="shared" si="4"/>
        <v>0</v>
      </c>
      <c r="K88" s="17" t="b">
        <f t="shared" si="5"/>
        <v>0</v>
      </c>
      <c r="L88" s="16" t="str">
        <f>IFERROR(__xludf.DUMMYFUNCTION("if(regexmatch(B88,""e(.*)$""),regexextract(B88,""e(.*)$""),"""")"),"")</f>
        <v/>
      </c>
      <c r="M88" s="16"/>
      <c r="N88" s="18">
        <f>countif(ConstantsUnits!C:C,F88)</f>
        <v>1</v>
      </c>
      <c r="O88" s="16" t="str">
        <f>VLOOKUP(A88,ConstantsUnits!A:A,1,false)</f>
        <v>electron mag. mom. to Bohr magneton ratio</v>
      </c>
    </row>
    <row r="89">
      <c r="A89" s="1" t="s">
        <v>381</v>
      </c>
      <c r="B89" s="1" t="s">
        <v>2394</v>
      </c>
      <c r="C89" s="1" t="s">
        <v>2395</v>
      </c>
      <c r="E89" s="15"/>
      <c r="F89" s="16" t="str">
        <f>ifna(VLOOKUP($A89,ConstantsUnits!$A:$C,3,false),"")</f>
        <v>ElectronMagneticMomentToNuclearMagnetonRatio</v>
      </c>
      <c r="G89" s="17" t="str">
        <f t="shared" si="1"/>
        <v>-1838.28197090</v>
      </c>
      <c r="H89" s="17">
        <f t="shared" si="2"/>
        <v>-1838.281971</v>
      </c>
      <c r="I89" s="17" t="str">
        <f t="shared" si="3"/>
        <v>0.00000075</v>
      </c>
      <c r="J89" s="17">
        <f t="shared" si="4"/>
        <v>0.00000075</v>
      </c>
      <c r="K89" s="17" t="b">
        <f t="shared" si="5"/>
        <v>0</v>
      </c>
      <c r="L89" s="16" t="str">
        <f>IFERROR(__xludf.DUMMYFUNCTION("if(regexmatch(B89,""e(.*)$""),regexextract(B89,""e(.*)$""),"""")"),"")</f>
        <v/>
      </c>
      <c r="M89" s="16"/>
      <c r="N89" s="18">
        <f>countif(ConstantsUnits!C:C,F89)</f>
        <v>1</v>
      </c>
      <c r="O89" s="16" t="str">
        <f>VLOOKUP(A89,ConstantsUnits!A:A,1,false)</f>
        <v>electron mag. mom. to nuclear magneton ratio</v>
      </c>
    </row>
    <row r="90">
      <c r="A90" s="1" t="s">
        <v>384</v>
      </c>
      <c r="B90" s="1" t="s">
        <v>2315</v>
      </c>
      <c r="C90" s="1" t="s">
        <v>2316</v>
      </c>
      <c r="D90" s="1" t="s">
        <v>38</v>
      </c>
      <c r="E90" s="15"/>
      <c r="F90" s="16" t="str">
        <f>ifna(VLOOKUP($A90,ConstantsUnits!$A:$C,3,false),"")</f>
        <v>ElectronMass</v>
      </c>
      <c r="G90" s="17" t="str">
        <f t="shared" si="1"/>
        <v>9.10938291e-31</v>
      </c>
      <c r="H90" s="17">
        <f t="shared" si="2"/>
        <v>0</v>
      </c>
      <c r="I90" s="17" t="str">
        <f t="shared" si="3"/>
        <v>0.00000040e-31</v>
      </c>
      <c r="J90" s="17">
        <f t="shared" si="4"/>
        <v>0</v>
      </c>
      <c r="K90" s="17" t="b">
        <f t="shared" si="5"/>
        <v>0</v>
      </c>
      <c r="L90" s="16" t="str">
        <f>IFERROR(__xludf.DUMMYFUNCTION("if(regexmatch(B90,""e(.*)$""),regexextract(B90,""e(.*)$""),"""")"),"-31")</f>
        <v>-31</v>
      </c>
      <c r="M90" s="16"/>
      <c r="N90" s="18">
        <f>countif(ConstantsUnits!C:C,F90)</f>
        <v>1</v>
      </c>
      <c r="O90" s="16" t="str">
        <f>VLOOKUP(A90,ConstantsUnits!A:A,1,false)</f>
        <v>electron mass</v>
      </c>
    </row>
    <row r="91">
      <c r="A91" s="1" t="s">
        <v>387</v>
      </c>
      <c r="B91" s="1" t="s">
        <v>2396</v>
      </c>
      <c r="C91" s="1" t="s">
        <v>2397</v>
      </c>
      <c r="D91" s="1" t="s">
        <v>41</v>
      </c>
      <c r="E91" s="15"/>
      <c r="F91" s="16" t="str">
        <f>ifna(VLOOKUP($A91,ConstantsUnits!$A:$C,3,false),"")</f>
        <v>ElectronMassEnergyEquivalent</v>
      </c>
      <c r="G91" s="17" t="str">
        <f t="shared" si="1"/>
        <v>8.18710506e-14</v>
      </c>
      <c r="H91" s="17">
        <f t="shared" si="2"/>
        <v>0</v>
      </c>
      <c r="I91" s="17" t="str">
        <f t="shared" si="3"/>
        <v>0.00000036e-14</v>
      </c>
      <c r="J91" s="17">
        <f t="shared" si="4"/>
        <v>0</v>
      </c>
      <c r="K91" s="17" t="b">
        <f t="shared" si="5"/>
        <v>0</v>
      </c>
      <c r="L91" s="16" t="str">
        <f>IFERROR(__xludf.DUMMYFUNCTION("if(regexmatch(B91,""e(.*)$""),regexextract(B91,""e(.*)$""),"""")"),"-14")</f>
        <v>-14</v>
      </c>
      <c r="M91" s="16"/>
      <c r="N91" s="18">
        <f>countif(ConstantsUnits!C:C,F91)</f>
        <v>1</v>
      </c>
      <c r="O91" s="16" t="str">
        <f>VLOOKUP(A91,ConstantsUnits!A:A,1,false)</f>
        <v>electron mass energy equivalent</v>
      </c>
    </row>
    <row r="92">
      <c r="A92" s="1" t="s">
        <v>390</v>
      </c>
      <c r="B92" s="1" t="s">
        <v>2398</v>
      </c>
      <c r="C92" s="1" t="s">
        <v>2399</v>
      </c>
      <c r="D92" s="1" t="s">
        <v>45</v>
      </c>
      <c r="E92" s="15"/>
      <c r="F92" s="16" t="str">
        <f>ifna(VLOOKUP($A92,ConstantsUnits!$A:$C,3,false),"")</f>
        <v>ElectronMassEnergyEquivalentInMeV</v>
      </c>
      <c r="G92" s="17" t="str">
        <f t="shared" si="1"/>
        <v>0.510998928</v>
      </c>
      <c r="H92" s="17">
        <f t="shared" si="2"/>
        <v>0.510998928</v>
      </c>
      <c r="I92" s="17" t="str">
        <f t="shared" si="3"/>
        <v>0.000000011</v>
      </c>
      <c r="J92" s="17">
        <f t="shared" si="4"/>
        <v>0.000000011</v>
      </c>
      <c r="K92" s="17" t="b">
        <f t="shared" si="5"/>
        <v>0</v>
      </c>
      <c r="L92" s="16" t="str">
        <f>IFERROR(__xludf.DUMMYFUNCTION("if(regexmatch(B92,""e(.*)$""),regexextract(B92,""e(.*)$""),"""")"),"")</f>
        <v/>
      </c>
      <c r="M92" s="16"/>
      <c r="N92" s="18">
        <f>countif(ConstantsUnits!C:C,F92)</f>
        <v>1</v>
      </c>
      <c r="O92" s="16" t="str">
        <f>VLOOKUP(A92,ConstantsUnits!A:A,1,false)</f>
        <v>electron mass energy equivalent in MeV</v>
      </c>
    </row>
    <row r="93">
      <c r="A93" s="1" t="s">
        <v>393</v>
      </c>
      <c r="B93" s="1" t="s">
        <v>2400</v>
      </c>
      <c r="C93" s="1" t="s">
        <v>1629</v>
      </c>
      <c r="D93" s="1" t="s">
        <v>48</v>
      </c>
      <c r="E93" s="15"/>
      <c r="F93" s="16" t="str">
        <f>ifna(VLOOKUP($A93,ConstantsUnits!$A:$C,3,false),"")</f>
        <v>ElectronMassInAtomicMassUnit</v>
      </c>
      <c r="G93" s="17" t="str">
        <f t="shared" si="1"/>
        <v>5.4857990946e-4</v>
      </c>
      <c r="H93" s="17">
        <f t="shared" si="2"/>
        <v>0.0005485799095</v>
      </c>
      <c r="I93" s="17" t="str">
        <f t="shared" si="3"/>
        <v>0.0000000022e-4</v>
      </c>
      <c r="J93" s="17">
        <f t="shared" si="4"/>
        <v>0</v>
      </c>
      <c r="K93" s="17" t="b">
        <f t="shared" si="5"/>
        <v>0</v>
      </c>
      <c r="L93" s="16" t="str">
        <f>IFERROR(__xludf.DUMMYFUNCTION("if(regexmatch(B93,""e(.*)$""),regexextract(B93,""e(.*)$""),"""")"),"-4")</f>
        <v>-4</v>
      </c>
      <c r="M93" s="16"/>
      <c r="N93" s="18">
        <f>countif(ConstantsUnits!C:C,F93)</f>
        <v>1</v>
      </c>
      <c r="O93" s="16" t="str">
        <f>VLOOKUP(A93,ConstantsUnits!A:A,1,false)</f>
        <v>electron mass in u</v>
      </c>
    </row>
    <row r="94">
      <c r="A94" s="1" t="s">
        <v>396</v>
      </c>
      <c r="B94" s="1" t="s">
        <v>2401</v>
      </c>
      <c r="C94" s="1" t="s">
        <v>2402</v>
      </c>
      <c r="D94" s="1" t="s">
        <v>51</v>
      </c>
      <c r="E94" s="15"/>
      <c r="F94" s="16" t="str">
        <f>ifna(VLOOKUP($A94,ConstantsUnits!$A:$C,3,false),"")</f>
        <v>ElectronMolarMass</v>
      </c>
      <c r="G94" s="17" t="str">
        <f t="shared" si="1"/>
        <v>5.4857990946e-7</v>
      </c>
      <c r="H94" s="17">
        <f t="shared" si="2"/>
        <v>0.0000005485799095</v>
      </c>
      <c r="I94" s="17" t="str">
        <f t="shared" si="3"/>
        <v>0.0000000022e-7</v>
      </c>
      <c r="J94" s="17">
        <f t="shared" si="4"/>
        <v>0</v>
      </c>
      <c r="K94" s="17" t="b">
        <f t="shared" si="5"/>
        <v>0</v>
      </c>
      <c r="L94" s="16" t="str">
        <f>IFERROR(__xludf.DUMMYFUNCTION("if(regexmatch(B94,""e(.*)$""),regexextract(B94,""e(.*)$""),"""")"),"-7")</f>
        <v>-7</v>
      </c>
      <c r="M94" s="16"/>
      <c r="N94" s="18">
        <f>countif(ConstantsUnits!C:C,F94)</f>
        <v>1</v>
      </c>
      <c r="O94" s="16" t="str">
        <f>VLOOKUP(A94,ConstantsUnits!A:A,1,false)</f>
        <v>electron molar mass</v>
      </c>
    </row>
    <row r="95">
      <c r="A95" s="1" t="s">
        <v>399</v>
      </c>
      <c r="B95" s="1" t="s">
        <v>2403</v>
      </c>
      <c r="C95" s="1" t="s">
        <v>2404</v>
      </c>
      <c r="E95" s="15"/>
      <c r="F95" s="16" t="str">
        <f>ifna(VLOOKUP($A95,ConstantsUnits!$A:$C,3,false),"")</f>
        <v>ElectronMuonMagneticMomentRatio</v>
      </c>
      <c r="G95" s="17" t="str">
        <f t="shared" si="1"/>
        <v>206.7669896</v>
      </c>
      <c r="H95" s="17">
        <f t="shared" si="2"/>
        <v>206.7669896</v>
      </c>
      <c r="I95" s="17" t="str">
        <f t="shared" si="3"/>
        <v>0.0000052</v>
      </c>
      <c r="J95" s="17">
        <f t="shared" si="4"/>
        <v>0.0000052</v>
      </c>
      <c r="K95" s="17" t="b">
        <f t="shared" si="5"/>
        <v>0</v>
      </c>
      <c r="L95" s="16" t="str">
        <f>IFERROR(__xludf.DUMMYFUNCTION("if(regexmatch(B95,""e(.*)$""),regexextract(B95,""e(.*)$""),"""")"),"")</f>
        <v/>
      </c>
      <c r="M95" s="16"/>
      <c r="N95" s="18">
        <f>countif(ConstantsUnits!C:C,F95)</f>
        <v>1</v>
      </c>
      <c r="O95" s="16" t="str">
        <f>VLOOKUP(A95,ConstantsUnits!A:A,1,false)</f>
        <v>electron-muon mag. mom. ratio</v>
      </c>
    </row>
    <row r="96">
      <c r="A96" s="1" t="s">
        <v>402</v>
      </c>
      <c r="B96" s="1" t="s">
        <v>2405</v>
      </c>
      <c r="C96" s="1" t="s">
        <v>2406</v>
      </c>
      <c r="E96" s="15"/>
      <c r="F96" s="16" t="str">
        <f>ifna(VLOOKUP($A96,ConstantsUnits!$A:$C,3,false),"")</f>
        <v>ElectronMuonMassRatio</v>
      </c>
      <c r="G96" s="17" t="str">
        <f t="shared" si="1"/>
        <v>4.83633166e-3</v>
      </c>
      <c r="H96" s="17">
        <f t="shared" si="2"/>
        <v>0.00483633166</v>
      </c>
      <c r="I96" s="17" t="str">
        <f t="shared" si="3"/>
        <v>0.00000012e-3</v>
      </c>
      <c r="J96" s="17">
        <f t="shared" si="4"/>
        <v>0.00000000012</v>
      </c>
      <c r="K96" s="17" t="b">
        <f t="shared" si="5"/>
        <v>0</v>
      </c>
      <c r="L96" s="16" t="str">
        <f>IFERROR(__xludf.DUMMYFUNCTION("if(regexmatch(B96,""e(.*)$""),regexextract(B96,""e(.*)$""),"""")"),"-3")</f>
        <v>-3</v>
      </c>
      <c r="M96" s="16"/>
      <c r="N96" s="18">
        <f>countif(ConstantsUnits!C:C,F96)</f>
        <v>1</v>
      </c>
      <c r="O96" s="16" t="str">
        <f>VLOOKUP(A96,ConstantsUnits!A:A,1,false)</f>
        <v>electron-muon mass ratio</v>
      </c>
    </row>
    <row r="97">
      <c r="A97" s="1" t="s">
        <v>405</v>
      </c>
      <c r="B97" s="1" t="s">
        <v>1361</v>
      </c>
      <c r="C97" s="1" t="s">
        <v>1362</v>
      </c>
      <c r="E97" s="15"/>
      <c r="F97" s="16" t="str">
        <f>ifna(VLOOKUP($A97,ConstantsUnits!$A:$C,3,false),"")</f>
        <v>ElectronNeutronMagneticMomentRatio</v>
      </c>
      <c r="G97" s="17" t="str">
        <f t="shared" si="1"/>
        <v>960.92050</v>
      </c>
      <c r="H97" s="17">
        <f t="shared" si="2"/>
        <v>960.9205</v>
      </c>
      <c r="I97" s="17" t="str">
        <f t="shared" si="3"/>
        <v>0.00023</v>
      </c>
      <c r="J97" s="17">
        <f t="shared" si="4"/>
        <v>0.00023</v>
      </c>
      <c r="K97" s="17" t="b">
        <f t="shared" si="5"/>
        <v>0</v>
      </c>
      <c r="L97" s="16" t="str">
        <f>IFERROR(__xludf.DUMMYFUNCTION("if(regexmatch(B97,""e(.*)$""),regexextract(B97,""e(.*)$""),"""")"),"")</f>
        <v/>
      </c>
      <c r="M97" s="16"/>
      <c r="N97" s="18">
        <f>countif(ConstantsUnits!C:C,F97)</f>
        <v>1</v>
      </c>
      <c r="O97" s="16" t="str">
        <f>VLOOKUP(A97,ConstantsUnits!A:A,1,false)</f>
        <v>electron-neutron mag. mom. ratio</v>
      </c>
    </row>
    <row r="98">
      <c r="A98" s="1" t="s">
        <v>408</v>
      </c>
      <c r="B98" s="1" t="s">
        <v>2407</v>
      </c>
      <c r="C98" s="1" t="s">
        <v>2408</v>
      </c>
      <c r="E98" s="15"/>
      <c r="F98" s="16" t="str">
        <f>ifna(VLOOKUP($A98,ConstantsUnits!$A:$C,3,false),"")</f>
        <v>ElectronNeutronMassRatio</v>
      </c>
      <c r="G98" s="17" t="str">
        <f t="shared" si="1"/>
        <v>5.4386734461e-4</v>
      </c>
      <c r="H98" s="17">
        <f t="shared" si="2"/>
        <v>0.0005438673446</v>
      </c>
      <c r="I98" s="17" t="str">
        <f t="shared" si="3"/>
        <v>0.0000000032e-4</v>
      </c>
      <c r="J98" s="17">
        <f t="shared" si="4"/>
        <v>0</v>
      </c>
      <c r="K98" s="17" t="b">
        <f t="shared" si="5"/>
        <v>0</v>
      </c>
      <c r="L98" s="16" t="str">
        <f>IFERROR(__xludf.DUMMYFUNCTION("if(regexmatch(B98,""e(.*)$""),regexextract(B98,""e(.*)$""),"""")"),"-4")</f>
        <v>-4</v>
      </c>
      <c r="M98" s="16"/>
      <c r="N98" s="18">
        <f>countif(ConstantsUnits!C:C,F98)</f>
        <v>1</v>
      </c>
      <c r="O98" s="16" t="str">
        <f>VLOOKUP(A98,ConstantsUnits!A:A,1,false)</f>
        <v>electron-neutron mass ratio</v>
      </c>
    </row>
    <row r="99">
      <c r="A99" s="1" t="s">
        <v>411</v>
      </c>
      <c r="B99" s="1" t="s">
        <v>2409</v>
      </c>
      <c r="C99" s="1" t="s">
        <v>2410</v>
      </c>
      <c r="E99" s="15"/>
      <c r="F99" s="16" t="str">
        <f>ifna(VLOOKUP($A99,ConstantsUnits!$A:$C,3,false),"")</f>
        <v>ElectronProtonMagneticMomentRatio</v>
      </c>
      <c r="G99" s="17" t="str">
        <f t="shared" si="1"/>
        <v>-658.2106848</v>
      </c>
      <c r="H99" s="17">
        <f t="shared" si="2"/>
        <v>-658.2106848</v>
      </c>
      <c r="I99" s="17" t="str">
        <f t="shared" si="3"/>
        <v>0.0000054</v>
      </c>
      <c r="J99" s="17">
        <f t="shared" si="4"/>
        <v>0.0000054</v>
      </c>
      <c r="K99" s="17" t="b">
        <f t="shared" si="5"/>
        <v>0</v>
      </c>
      <c r="L99" s="16" t="str">
        <f>IFERROR(__xludf.DUMMYFUNCTION("if(regexmatch(B99,""e(.*)$""),regexextract(B99,""e(.*)$""),"""")"),"")</f>
        <v/>
      </c>
      <c r="M99" s="16"/>
      <c r="N99" s="18">
        <f>countif(ConstantsUnits!C:C,F99)</f>
        <v>1</v>
      </c>
      <c r="O99" s="16" t="str">
        <f>VLOOKUP(A99,ConstantsUnits!A:A,1,false)</f>
        <v>electron-proton mag. mom. ratio</v>
      </c>
    </row>
    <row r="100">
      <c r="A100" s="1" t="s">
        <v>414</v>
      </c>
      <c r="B100" s="1" t="s">
        <v>2411</v>
      </c>
      <c r="C100" s="1" t="s">
        <v>1629</v>
      </c>
      <c r="E100" s="15"/>
      <c r="F100" s="16" t="str">
        <f>ifna(VLOOKUP($A100,ConstantsUnits!$A:$C,3,false),"")</f>
        <v>ElectronProtonMassRatio</v>
      </c>
      <c r="G100" s="17" t="str">
        <f t="shared" si="1"/>
        <v>5.4461702178e-4</v>
      </c>
      <c r="H100" s="17">
        <f t="shared" si="2"/>
        <v>0.0005446170218</v>
      </c>
      <c r="I100" s="17" t="str">
        <f t="shared" si="3"/>
        <v>0.0000000022e-4</v>
      </c>
      <c r="J100" s="17">
        <f t="shared" si="4"/>
        <v>0</v>
      </c>
      <c r="K100" s="17" t="b">
        <f t="shared" si="5"/>
        <v>0</v>
      </c>
      <c r="L100" s="16" t="str">
        <f>IFERROR(__xludf.DUMMYFUNCTION("if(regexmatch(B100,""e(.*)$""),regexextract(B100,""e(.*)$""),"""")"),"-4")</f>
        <v>-4</v>
      </c>
      <c r="M100" s="16"/>
      <c r="N100" s="18">
        <f>countif(ConstantsUnits!C:C,F100)</f>
        <v>1</v>
      </c>
      <c r="O100" s="16" t="str">
        <f>VLOOKUP(A100,ConstantsUnits!A:A,1,false)</f>
        <v>electron-proton mass ratio</v>
      </c>
    </row>
    <row r="101">
      <c r="A101" s="1" t="s">
        <v>419</v>
      </c>
      <c r="B101" s="1" t="s">
        <v>1895</v>
      </c>
      <c r="C101" s="1" t="s">
        <v>1896</v>
      </c>
      <c r="E101" s="15"/>
      <c r="F101" s="16" t="str">
        <f>ifna(VLOOKUP($A101,ConstantsUnits!$A:$C,3,false),"")</f>
        <v>ElectronTauMassRatio</v>
      </c>
      <c r="G101" s="17" t="str">
        <f t="shared" si="1"/>
        <v>2.87592e-4</v>
      </c>
      <c r="H101" s="17">
        <f t="shared" si="2"/>
        <v>0.000287592</v>
      </c>
      <c r="I101" s="17" t="str">
        <f t="shared" si="3"/>
        <v>0.00026e-4</v>
      </c>
      <c r="J101" s="17">
        <f t="shared" si="4"/>
        <v>0.000000026</v>
      </c>
      <c r="K101" s="17" t="b">
        <f t="shared" si="5"/>
        <v>0</v>
      </c>
      <c r="L101" s="16" t="str">
        <f>IFERROR(__xludf.DUMMYFUNCTION("if(regexmatch(B101,""e(.*)$""),regexextract(B101,""e(.*)$""),"""")"),"-4")</f>
        <v>-4</v>
      </c>
      <c r="M101" s="16"/>
      <c r="N101" s="18">
        <f>countif(ConstantsUnits!C:C,F101)</f>
        <v>1</v>
      </c>
      <c r="O101" s="16" t="str">
        <f>VLOOKUP(A101,ConstantsUnits!A:A,1,false)</f>
        <v>electron-tau mass ratio</v>
      </c>
    </row>
    <row r="102">
      <c r="A102" s="1" t="s">
        <v>422</v>
      </c>
      <c r="B102" s="1" t="s">
        <v>2412</v>
      </c>
      <c r="C102" s="1" t="s">
        <v>2413</v>
      </c>
      <c r="E102" s="15"/>
      <c r="F102" s="16" t="str">
        <f>ifna(VLOOKUP($A102,ConstantsUnits!$A:$C,3,false),"")</f>
        <v>ElectronToAlphaParticleMassRatio</v>
      </c>
      <c r="G102" s="17" t="str">
        <f t="shared" si="1"/>
        <v>1.37093355578e-4</v>
      </c>
      <c r="H102" s="17">
        <f t="shared" si="2"/>
        <v>0.0001370933556</v>
      </c>
      <c r="I102" s="17" t="str">
        <f t="shared" si="3"/>
        <v>0.00000000055e-4</v>
      </c>
      <c r="J102" s="17">
        <f t="shared" si="4"/>
        <v>0</v>
      </c>
      <c r="K102" s="17" t="b">
        <f t="shared" si="5"/>
        <v>0</v>
      </c>
      <c r="L102" s="16" t="str">
        <f>IFERROR(__xludf.DUMMYFUNCTION("if(regexmatch(B102,""e(.*)$""),regexextract(B102,""e(.*)$""),"""")"),"-4")</f>
        <v>-4</v>
      </c>
      <c r="M102" s="16"/>
      <c r="N102" s="18">
        <f>countif(ConstantsUnits!C:C,F102)</f>
        <v>1</v>
      </c>
      <c r="O102" s="16" t="str">
        <f>VLOOKUP(A102,ConstantsUnits!A:A,1,false)</f>
        <v>electron to alpha particle mass ratio</v>
      </c>
    </row>
    <row r="103">
      <c r="A103" s="1" t="s">
        <v>425</v>
      </c>
      <c r="B103" s="1" t="s">
        <v>1373</v>
      </c>
      <c r="C103" s="1" t="s">
        <v>1374</v>
      </c>
      <c r="E103" s="15"/>
      <c r="F103" s="16" t="str">
        <f>ifna(VLOOKUP($A103,ConstantsUnits!$A:$C,3,false),"")</f>
        <v>ElectronToShieldedHelionMagneticMomentRatio</v>
      </c>
      <c r="G103" s="17" t="str">
        <f t="shared" si="1"/>
        <v>864.058257</v>
      </c>
      <c r="H103" s="17">
        <f t="shared" si="2"/>
        <v>864.058257</v>
      </c>
      <c r="I103" s="17" t="str">
        <f t="shared" si="3"/>
        <v>0.000010</v>
      </c>
      <c r="J103" s="17">
        <f t="shared" si="4"/>
        <v>0.00001</v>
      </c>
      <c r="K103" s="17" t="b">
        <f t="shared" si="5"/>
        <v>0</v>
      </c>
      <c r="L103" s="16" t="str">
        <f>IFERROR(__xludf.DUMMYFUNCTION("if(regexmatch(B103,""e(.*)$""),regexextract(B103,""e(.*)$""),"""")"),"")</f>
        <v/>
      </c>
      <c r="M103" s="16"/>
      <c r="N103" s="18">
        <f>countif(ConstantsUnits!C:C,F103)</f>
        <v>1</v>
      </c>
      <c r="O103" s="16" t="str">
        <f>VLOOKUP(A103,ConstantsUnits!A:A,1,false)</f>
        <v>electron to shielded helion mag. mom. ratio</v>
      </c>
    </row>
    <row r="104">
      <c r="A104" s="1" t="s">
        <v>428</v>
      </c>
      <c r="B104" s="1" t="s">
        <v>1375</v>
      </c>
      <c r="C104" s="1" t="s">
        <v>1376</v>
      </c>
      <c r="E104" s="15"/>
      <c r="F104" s="16" t="str">
        <f>ifna(VLOOKUP($A104,ConstantsUnits!$A:$C,3,false),"")</f>
        <v>ElectronToShieldedProtonMagneticMomentRatio</v>
      </c>
      <c r="G104" s="17" t="str">
        <f t="shared" si="1"/>
        <v>-658.2275971</v>
      </c>
      <c r="H104" s="17">
        <f t="shared" si="2"/>
        <v>-658.2275971</v>
      </c>
      <c r="I104" s="17" t="str">
        <f t="shared" si="3"/>
        <v>0.0000072</v>
      </c>
      <c r="J104" s="17">
        <f t="shared" si="4"/>
        <v>0.0000072</v>
      </c>
      <c r="K104" s="17" t="b">
        <f t="shared" si="5"/>
        <v>0</v>
      </c>
      <c r="L104" s="16" t="str">
        <f>IFERROR(__xludf.DUMMYFUNCTION("if(regexmatch(B104,""e(.*)$""),regexextract(B104,""e(.*)$""),"""")"),"")</f>
        <v/>
      </c>
      <c r="M104" s="16"/>
      <c r="N104" s="18">
        <f>countif(ConstantsUnits!C:C,F104)</f>
        <v>1</v>
      </c>
      <c r="O104" s="16" t="str">
        <f>VLOOKUP(A104,ConstantsUnits!A:A,1,false)</f>
        <v>electron to shielded proton mag. mom. ratio</v>
      </c>
    </row>
    <row r="105">
      <c r="A105" s="1" t="s">
        <v>431</v>
      </c>
      <c r="B105" s="1" t="s">
        <v>2414</v>
      </c>
      <c r="C105" s="1" t="s">
        <v>2170</v>
      </c>
      <c r="E105" s="15"/>
      <c r="F105" s="16" t="str">
        <f>ifna(VLOOKUP($A105,ConstantsUnits!$A:$C,3,false),"")</f>
        <v>Electron-TritonMassRatio</v>
      </c>
      <c r="G105" s="17" t="str">
        <f t="shared" si="1"/>
        <v>1.8192000653e-4</v>
      </c>
      <c r="H105" s="17">
        <f t="shared" si="2"/>
        <v>0.0001819200065</v>
      </c>
      <c r="I105" s="17" t="str">
        <f t="shared" si="3"/>
        <v>0.0000000017e-4</v>
      </c>
      <c r="J105" s="17">
        <f t="shared" si="4"/>
        <v>0</v>
      </c>
      <c r="K105" s="17" t="b">
        <f t="shared" si="5"/>
        <v>0</v>
      </c>
      <c r="L105" s="16" t="str">
        <f>IFERROR(__xludf.DUMMYFUNCTION("if(regexmatch(B105,""e(.*)$""),regexextract(B105,""e(.*)$""),"""")"),"-4")</f>
        <v>-4</v>
      </c>
      <c r="M105" s="16"/>
      <c r="N105" s="18">
        <f>countif(ConstantsUnits!C:C,F105)</f>
        <v>1</v>
      </c>
      <c r="O105" s="16" t="str">
        <f>VLOOKUP(A105,ConstantsUnits!A:A,1,false)</f>
        <v>electron-triton mass ratio</v>
      </c>
    </row>
    <row r="106">
      <c r="A106" s="1" t="s">
        <v>433</v>
      </c>
      <c r="B106" s="1" t="s">
        <v>2286</v>
      </c>
      <c r="C106" s="1" t="s">
        <v>2287</v>
      </c>
      <c r="D106" s="1" t="s">
        <v>41</v>
      </c>
      <c r="E106" s="15"/>
      <c r="F106" s="16" t="str">
        <f>ifna(VLOOKUP($A106,ConstantsUnits!$A:$C,3,false),"")</f>
        <v>ElectronVolt</v>
      </c>
      <c r="G106" s="17" t="str">
        <f t="shared" si="1"/>
        <v>1.602176565e-19</v>
      </c>
      <c r="H106" s="17">
        <f t="shared" si="2"/>
        <v>0</v>
      </c>
      <c r="I106" s="17" t="str">
        <f t="shared" si="3"/>
        <v>0.000000035e-19</v>
      </c>
      <c r="J106" s="17">
        <f t="shared" si="4"/>
        <v>0</v>
      </c>
      <c r="K106" s="17" t="b">
        <f t="shared" si="5"/>
        <v>0</v>
      </c>
      <c r="L106" s="16" t="str">
        <f>IFERROR(__xludf.DUMMYFUNCTION("if(regexmatch(B106,""e(.*)$""),regexextract(B106,""e(.*)$""),"""")"),"-19")</f>
        <v>-19</v>
      </c>
      <c r="M106" s="16"/>
      <c r="N106" s="18">
        <f>countif(ConstantsUnits!C:C,F106)</f>
        <v>1</v>
      </c>
      <c r="O106" s="16" t="str">
        <f>VLOOKUP(A106,ConstantsUnits!A:A,1,false)</f>
        <v>electron volt</v>
      </c>
    </row>
    <row r="107">
      <c r="A107" s="1" t="s">
        <v>435</v>
      </c>
      <c r="B107" s="1" t="s">
        <v>2415</v>
      </c>
      <c r="C107" s="1" t="s">
        <v>2416</v>
      </c>
      <c r="D107" s="1" t="s">
        <v>48</v>
      </c>
      <c r="E107" s="15"/>
      <c r="F107" s="16" t="str">
        <f>ifna(VLOOKUP($A107,ConstantsUnits!$A:$C,3,false),"")</f>
        <v>ElectronVoltAtomicMassUnitRelationship</v>
      </c>
      <c r="G107" s="17" t="str">
        <f t="shared" si="1"/>
        <v>1.073544150e-9</v>
      </c>
      <c r="H107" s="17">
        <f t="shared" si="2"/>
        <v>0.00000000107354415</v>
      </c>
      <c r="I107" s="17" t="str">
        <f t="shared" si="3"/>
        <v>0.000000024e-9</v>
      </c>
      <c r="J107" s="17">
        <f t="shared" si="4"/>
        <v>0</v>
      </c>
      <c r="K107" s="17" t="b">
        <f t="shared" si="5"/>
        <v>0</v>
      </c>
      <c r="L107" s="16" t="str">
        <f>IFERROR(__xludf.DUMMYFUNCTION("if(regexmatch(B107,""e(.*)$""),regexextract(B107,""e(.*)$""),"""")"),"-9")</f>
        <v>-9</v>
      </c>
      <c r="M107" s="16"/>
      <c r="N107" s="18">
        <f>countif(ConstantsUnits!C:C,F107)</f>
        <v>1</v>
      </c>
      <c r="O107" s="16" t="str">
        <f>VLOOKUP(A107,ConstantsUnits!A:A,1,false)</f>
        <v>electron volt-atomic mass unit relationship</v>
      </c>
    </row>
    <row r="108">
      <c r="A108" s="1" t="s">
        <v>438</v>
      </c>
      <c r="B108" s="1" t="s">
        <v>2417</v>
      </c>
      <c r="C108" s="1" t="s">
        <v>2418</v>
      </c>
      <c r="D108" s="1" t="s">
        <v>74</v>
      </c>
      <c r="E108" s="15"/>
      <c r="F108" s="16" t="str">
        <f>ifna(VLOOKUP($A108,ConstantsUnits!$A:$C,3,false),"")</f>
        <v>ElectronVoltHartreeRelationship</v>
      </c>
      <c r="G108" s="17" t="str">
        <f t="shared" si="1"/>
        <v>3.674932379e-2</v>
      </c>
      <c r="H108" s="17">
        <f t="shared" si="2"/>
        <v>0.03674932379</v>
      </c>
      <c r="I108" s="17" t="str">
        <f t="shared" si="3"/>
        <v>0.000000081e-2</v>
      </c>
      <c r="J108" s="17">
        <f t="shared" si="4"/>
        <v>0.00000000081</v>
      </c>
      <c r="K108" s="17" t="b">
        <f t="shared" si="5"/>
        <v>0</v>
      </c>
      <c r="L108" s="16" t="str">
        <f>IFERROR(__xludf.DUMMYFUNCTION("if(regexmatch(B108,""e(.*)$""),regexextract(B108,""e(.*)$""),"""")"),"-2")</f>
        <v>-2</v>
      </c>
      <c r="M108" s="16"/>
      <c r="N108" s="18">
        <f>countif(ConstantsUnits!C:C,F108)</f>
        <v>1</v>
      </c>
      <c r="O108" s="16" t="str">
        <f>VLOOKUP(A108,ConstantsUnits!A:A,1,false)</f>
        <v>electron volt-hartree relationship</v>
      </c>
    </row>
    <row r="109">
      <c r="A109" s="1" t="s">
        <v>441</v>
      </c>
      <c r="B109" s="1" t="s">
        <v>2419</v>
      </c>
      <c r="C109" s="1" t="s">
        <v>2420</v>
      </c>
      <c r="D109" s="1" t="s">
        <v>79</v>
      </c>
      <c r="E109" s="15"/>
      <c r="F109" s="16" t="str">
        <f>ifna(VLOOKUP($A109,ConstantsUnits!$A:$C,3,false),"")</f>
        <v>ElectronVoltHertzRelationship</v>
      </c>
      <c r="G109" s="17" t="str">
        <f t="shared" si="1"/>
        <v>2.417989348e14</v>
      </c>
      <c r="H109" s="17">
        <f t="shared" si="2"/>
        <v>241798934800000</v>
      </c>
      <c r="I109" s="17" t="str">
        <f t="shared" si="3"/>
        <v>0.000000053e14</v>
      </c>
      <c r="J109" s="17">
        <f t="shared" si="4"/>
        <v>5300000</v>
      </c>
      <c r="K109" s="17" t="b">
        <f t="shared" si="5"/>
        <v>0</v>
      </c>
      <c r="L109" s="16" t="str">
        <f>IFERROR(__xludf.DUMMYFUNCTION("if(regexmatch(B109,""e(.*)$""),regexextract(B109,""e(.*)$""),"""")"),"14")</f>
        <v>14</v>
      </c>
      <c r="M109" s="16"/>
      <c r="N109" s="18">
        <f>countif(ConstantsUnits!C:C,F109)</f>
        <v>1</v>
      </c>
      <c r="O109" s="16" t="str">
        <f>VLOOKUP(A109,ConstantsUnits!A:A,1,false)</f>
        <v>electron volt-hertz relationship</v>
      </c>
    </row>
    <row r="110">
      <c r="A110" s="1" t="s">
        <v>444</v>
      </c>
      <c r="B110" s="1" t="s">
        <v>2421</v>
      </c>
      <c r="C110" s="1" t="s">
        <v>2422</v>
      </c>
      <c r="D110" s="1" t="s">
        <v>83</v>
      </c>
      <c r="E110" s="15"/>
      <c r="F110" s="16" t="str">
        <f>ifna(VLOOKUP($A110,ConstantsUnits!$A:$C,3,false),"")</f>
        <v>ElectronVoltInverseMeterRelationship</v>
      </c>
      <c r="G110" s="17" t="str">
        <f t="shared" si="1"/>
        <v>8.06554429e5</v>
      </c>
      <c r="H110" s="17">
        <f t="shared" si="2"/>
        <v>806554.429</v>
      </c>
      <c r="I110" s="17" t="str">
        <f t="shared" si="3"/>
        <v>0.00000018e5</v>
      </c>
      <c r="J110" s="17">
        <f t="shared" si="4"/>
        <v>0.018</v>
      </c>
      <c r="K110" s="17" t="b">
        <f t="shared" si="5"/>
        <v>0</v>
      </c>
      <c r="L110" s="16" t="str">
        <f>IFERROR(__xludf.DUMMYFUNCTION("if(regexmatch(B110,""e(.*)$""),regexextract(B110,""e(.*)$""),"""")"),"5")</f>
        <v>5</v>
      </c>
      <c r="M110" s="16"/>
      <c r="N110" s="18">
        <f>countif(ConstantsUnits!C:C,F110)</f>
        <v>1</v>
      </c>
      <c r="O110" s="16" t="str">
        <f>VLOOKUP(A110,ConstantsUnits!A:A,1,false)</f>
        <v>electron volt-inverse meter relationship</v>
      </c>
    </row>
    <row r="111">
      <c r="A111" s="1" t="s">
        <v>447</v>
      </c>
      <c r="B111" s="1" t="s">
        <v>2286</v>
      </c>
      <c r="C111" s="1" t="s">
        <v>2287</v>
      </c>
      <c r="D111" s="1" t="s">
        <v>41</v>
      </c>
      <c r="E111" s="15"/>
      <c r="F111" s="16" t="str">
        <f>ifna(VLOOKUP($A111,ConstantsUnits!$A:$C,3,false),"")</f>
        <v>ElectronVoltJouleRelationship</v>
      </c>
      <c r="G111" s="17" t="str">
        <f t="shared" si="1"/>
        <v>1.602176565e-19</v>
      </c>
      <c r="H111" s="17">
        <f t="shared" si="2"/>
        <v>0</v>
      </c>
      <c r="I111" s="17" t="str">
        <f t="shared" si="3"/>
        <v>0.000000035e-19</v>
      </c>
      <c r="J111" s="17">
        <f t="shared" si="4"/>
        <v>0</v>
      </c>
      <c r="K111" s="17" t="b">
        <f t="shared" si="5"/>
        <v>0</v>
      </c>
      <c r="L111" s="16" t="str">
        <f>IFERROR(__xludf.DUMMYFUNCTION("if(regexmatch(B111,""e(.*)$""),regexextract(B111,""e(.*)$""),"""")"),"-19")</f>
        <v>-19</v>
      </c>
      <c r="M111" s="16"/>
      <c r="N111" s="18">
        <f>countif(ConstantsUnits!C:C,F111)</f>
        <v>1</v>
      </c>
      <c r="O111" s="16" t="str">
        <f>VLOOKUP(A111,ConstantsUnits!A:A,1,false)</f>
        <v>electron volt-joule relationship</v>
      </c>
    </row>
    <row r="112">
      <c r="A112" s="1" t="s">
        <v>450</v>
      </c>
      <c r="B112" s="1" t="s">
        <v>2423</v>
      </c>
      <c r="C112" s="1" t="s">
        <v>2424</v>
      </c>
      <c r="D112" s="1" t="s">
        <v>91</v>
      </c>
      <c r="E112" s="15"/>
      <c r="F112" s="16" t="str">
        <f>ifna(VLOOKUP($A112,ConstantsUnits!$A:$C,3,false),"")</f>
        <v>ElectronVoltKelvinRelationship</v>
      </c>
      <c r="G112" s="17" t="str">
        <f t="shared" si="1"/>
        <v>1.1604519e4</v>
      </c>
      <c r="H112" s="17">
        <f t="shared" si="2"/>
        <v>11604.519</v>
      </c>
      <c r="I112" s="17" t="str">
        <f t="shared" si="3"/>
        <v>0.0000011e4</v>
      </c>
      <c r="J112" s="17">
        <f t="shared" si="4"/>
        <v>0.011</v>
      </c>
      <c r="K112" s="17" t="b">
        <f t="shared" si="5"/>
        <v>0</v>
      </c>
      <c r="L112" s="16" t="str">
        <f>IFERROR(__xludf.DUMMYFUNCTION("if(regexmatch(B112,""e(.*)$""),regexextract(B112,""e(.*)$""),"""")"),"4")</f>
        <v>4</v>
      </c>
      <c r="M112" s="16"/>
      <c r="N112" s="18">
        <f>countif(ConstantsUnits!C:C,F112)</f>
        <v>1</v>
      </c>
      <c r="O112" s="16" t="str">
        <f>VLOOKUP(A112,ConstantsUnits!A:A,1,false)</f>
        <v>electron volt-kelvin relationship</v>
      </c>
    </row>
    <row r="113">
      <c r="A113" s="1" t="s">
        <v>453</v>
      </c>
      <c r="B113" s="1" t="s">
        <v>2425</v>
      </c>
      <c r="C113" s="1" t="s">
        <v>2426</v>
      </c>
      <c r="D113" s="1" t="s">
        <v>38</v>
      </c>
      <c r="E113" s="15"/>
      <c r="F113" s="16" t="str">
        <f>ifna(VLOOKUP($A113,ConstantsUnits!$A:$C,3,false),"")</f>
        <v>ElectronVoltKilogramRelationship</v>
      </c>
      <c r="G113" s="17" t="str">
        <f t="shared" si="1"/>
        <v>1.782661845e-36</v>
      </c>
      <c r="H113" s="17">
        <f t="shared" si="2"/>
        <v>0</v>
      </c>
      <c r="I113" s="17" t="str">
        <f t="shared" si="3"/>
        <v>0.000000039e-36</v>
      </c>
      <c r="J113" s="17">
        <f t="shared" si="4"/>
        <v>0</v>
      </c>
      <c r="K113" s="17" t="b">
        <f t="shared" si="5"/>
        <v>0</v>
      </c>
      <c r="L113" s="16" t="str">
        <f>IFERROR(__xludf.DUMMYFUNCTION("if(regexmatch(B113,""e(.*)$""),regexextract(B113,""e(.*)$""),"""")"),"-36")</f>
        <v>-36</v>
      </c>
      <c r="M113" s="16"/>
      <c r="N113" s="18">
        <f>countif(ConstantsUnits!C:C,F113)</f>
        <v>1</v>
      </c>
      <c r="O113" s="16" t="str">
        <f>VLOOKUP(A113,ConstantsUnits!A:A,1,false)</f>
        <v>electron volt-kilogram relationship</v>
      </c>
    </row>
    <row r="114">
      <c r="A114" s="1" t="s">
        <v>456</v>
      </c>
      <c r="B114" s="1" t="s">
        <v>2286</v>
      </c>
      <c r="C114" s="1" t="s">
        <v>2287</v>
      </c>
      <c r="D114" s="1" t="s">
        <v>113</v>
      </c>
      <c r="E114" s="15"/>
      <c r="F114" s="16" t="str">
        <f>ifna(VLOOKUP($A114,ConstantsUnits!$A:$C,3,false),"")</f>
        <v>ElementaryCharge</v>
      </c>
      <c r="G114" s="17" t="str">
        <f t="shared" si="1"/>
        <v>1.602176565e-19</v>
      </c>
      <c r="H114" s="17">
        <f t="shared" si="2"/>
        <v>0</v>
      </c>
      <c r="I114" s="17" t="str">
        <f t="shared" si="3"/>
        <v>0.000000035e-19</v>
      </c>
      <c r="J114" s="17">
        <f t="shared" si="4"/>
        <v>0</v>
      </c>
      <c r="K114" s="17" t="b">
        <f t="shared" si="5"/>
        <v>0</v>
      </c>
      <c r="L114" s="16" t="str">
        <f>IFERROR(__xludf.DUMMYFUNCTION("if(regexmatch(B114,""e(.*)$""),regexextract(B114,""e(.*)$""),"""")"),"-19")</f>
        <v>-19</v>
      </c>
      <c r="M114" s="16"/>
      <c r="N114" s="18">
        <f>countif(ConstantsUnits!C:C,F114)</f>
        <v>1</v>
      </c>
      <c r="O114" s="16" t="str">
        <f>VLOOKUP(A114,ConstantsUnits!A:A,1,false)</f>
        <v>elementary charge</v>
      </c>
    </row>
    <row r="115">
      <c r="A115" s="1" t="s">
        <v>1912</v>
      </c>
      <c r="B115" s="1" t="s">
        <v>2419</v>
      </c>
      <c r="C115" s="1" t="s">
        <v>2420</v>
      </c>
      <c r="D115" s="1" t="s">
        <v>460</v>
      </c>
      <c r="E115" s="15"/>
      <c r="F115" s="1" t="s">
        <v>462</v>
      </c>
      <c r="G115" s="17" t="str">
        <f t="shared" si="1"/>
        <v>2.417989348e14</v>
      </c>
      <c r="H115" s="17">
        <f t="shared" si="2"/>
        <v>241798934800000</v>
      </c>
      <c r="I115" s="17" t="str">
        <f t="shared" si="3"/>
        <v>0.000000053e14</v>
      </c>
      <c r="J115" s="17">
        <f t="shared" si="4"/>
        <v>5300000</v>
      </c>
      <c r="K115" s="17" t="b">
        <f t="shared" si="5"/>
        <v>0</v>
      </c>
      <c r="L115" s="16" t="str">
        <f>IFERROR(__xludf.DUMMYFUNCTION("if(regexmatch(B115,""e(.*)$""),regexextract(B115,""e(.*)$""),"""")"),"14")</f>
        <v>14</v>
      </c>
      <c r="M115" s="16"/>
      <c r="N115" s="18">
        <f>countif(ConstantsUnits!C:C,F115)</f>
        <v>1</v>
      </c>
      <c r="O115" s="16" t="str">
        <f>VLOOKUP(A115,ConstantsUnits!A:A,1,false)</f>
        <v>#N/A</v>
      </c>
    </row>
    <row r="116">
      <c r="A116" s="1" t="s">
        <v>464</v>
      </c>
      <c r="B116" s="1" t="s">
        <v>2427</v>
      </c>
      <c r="C116" s="19" t="s">
        <v>2248</v>
      </c>
      <c r="D116" s="1" t="s">
        <v>465</v>
      </c>
      <c r="E116" s="15"/>
      <c r="F116" s="16" t="str">
        <f>ifna(VLOOKUP($A116,ConstantsUnits!$A:$C,3,false),"")</f>
        <v>FaradayConstant</v>
      </c>
      <c r="G116" s="17" t="str">
        <f t="shared" si="1"/>
        <v>96485.3365</v>
      </c>
      <c r="H116" s="17">
        <f t="shared" si="2"/>
        <v>96485.3365</v>
      </c>
      <c r="I116" s="17" t="str">
        <f t="shared" si="3"/>
        <v>0.0021</v>
      </c>
      <c r="J116" s="17">
        <f t="shared" si="4"/>
        <v>0.0021</v>
      </c>
      <c r="K116" s="17" t="b">
        <f t="shared" si="5"/>
        <v>0</v>
      </c>
      <c r="L116" s="16" t="str">
        <f>IFERROR(__xludf.DUMMYFUNCTION("if(regexmatch(B116,""e(.*)$""),regexextract(B116,""e(.*)$""),"""")"),"")</f>
        <v/>
      </c>
      <c r="M116" s="16"/>
      <c r="N116" s="18">
        <f>countif(ConstantsUnits!C:C,F116)</f>
        <v>1</v>
      </c>
      <c r="O116" s="16" t="str">
        <f>VLOOKUP(A116,ConstantsUnits!A:A,1,false)</f>
        <v>Faraday constant</v>
      </c>
    </row>
    <row r="117">
      <c r="A117" s="1" t="s">
        <v>469</v>
      </c>
      <c r="B117" s="1" t="s">
        <v>2428</v>
      </c>
      <c r="C117" s="19" t="s">
        <v>2429</v>
      </c>
      <c r="D117" s="1" t="s">
        <v>470</v>
      </c>
      <c r="E117" s="15"/>
      <c r="F117" s="1" t="s">
        <v>471</v>
      </c>
      <c r="G117" s="17" t="str">
        <f t="shared" si="1"/>
        <v>96485.3321</v>
      </c>
      <c r="H117" s="17">
        <f t="shared" si="2"/>
        <v>96485.3321</v>
      </c>
      <c r="I117" s="17" t="str">
        <f t="shared" si="3"/>
        <v>0.0043</v>
      </c>
      <c r="J117" s="17">
        <f t="shared" si="4"/>
        <v>0.0043</v>
      </c>
      <c r="K117" s="17" t="b">
        <f t="shared" si="5"/>
        <v>0</v>
      </c>
      <c r="L117" s="16" t="str">
        <f>IFERROR(__xludf.DUMMYFUNCTION("if(regexmatch(B117,""e(.*)$""),regexextract(B117,""e(.*)$""),"""")"),"")</f>
        <v/>
      </c>
      <c r="M117" s="16"/>
      <c r="N117" s="18">
        <f>countif(ConstantsUnits!C:C,F117)</f>
        <v>1</v>
      </c>
      <c r="O117" s="16" t="str">
        <f>VLOOKUP(A117,ConstantsUnits!A:A,1,false)</f>
        <v>Faraday constant for conventional electric current</v>
      </c>
    </row>
    <row r="118">
      <c r="A118" s="1" t="s">
        <v>472</v>
      </c>
      <c r="B118" s="1" t="s">
        <v>2430</v>
      </c>
      <c r="C118" s="1" t="s">
        <v>2431</v>
      </c>
      <c r="D118" s="1" t="s">
        <v>473</v>
      </c>
      <c r="E118" s="15"/>
      <c r="F118" s="16" t="str">
        <f>ifna(VLOOKUP($A118,ConstantsUnits!$A:$C,3,false),"")</f>
        <v>FermiCouplingConstant</v>
      </c>
      <c r="G118" s="17" t="str">
        <f t="shared" si="1"/>
        <v>1.166364e-5</v>
      </c>
      <c r="H118" s="17">
        <f t="shared" si="2"/>
        <v>0.00001166364</v>
      </c>
      <c r="I118" s="17" t="str">
        <f t="shared" si="3"/>
        <v>0.000005e-5</v>
      </c>
      <c r="J118" s="17">
        <f t="shared" si="4"/>
        <v>0</v>
      </c>
      <c r="K118" s="17" t="b">
        <f t="shared" si="5"/>
        <v>0</v>
      </c>
      <c r="L118" s="16" t="str">
        <f>IFERROR(__xludf.DUMMYFUNCTION("if(regexmatch(B118,""e(.*)$""),regexextract(B118,""e(.*)$""),"""")"),"-5")</f>
        <v>-5</v>
      </c>
      <c r="M118" s="16"/>
      <c r="N118" s="18">
        <f>countif(ConstantsUnits!C:C,F118)</f>
        <v>1</v>
      </c>
      <c r="O118" s="16" t="str">
        <f>VLOOKUP(A118,ConstantsUnits!A:A,1,false)</f>
        <v>Fermi coupling constant</v>
      </c>
    </row>
    <row r="119">
      <c r="A119" s="1" t="s">
        <v>477</v>
      </c>
      <c r="B119" s="1" t="s">
        <v>2432</v>
      </c>
      <c r="C119" s="1" t="s">
        <v>2433</v>
      </c>
      <c r="E119" s="15"/>
      <c r="F119" s="16" t="str">
        <f>ifna(VLOOKUP($A119,ConstantsUnits!$A:$C,3,false),"")</f>
        <v>FineStructureConstant</v>
      </c>
      <c r="G119" s="17" t="str">
        <f t="shared" si="1"/>
        <v>7.2973525698e-3</v>
      </c>
      <c r="H119" s="17">
        <f t="shared" si="2"/>
        <v>0.00729735257</v>
      </c>
      <c r="I119" s="17" t="str">
        <f t="shared" si="3"/>
        <v>0.0000000024e-3</v>
      </c>
      <c r="J119" s="17">
        <f t="shared" si="4"/>
        <v>0</v>
      </c>
      <c r="K119" s="17" t="b">
        <f t="shared" si="5"/>
        <v>0</v>
      </c>
      <c r="L119" s="16" t="str">
        <f>IFERROR(__xludf.DUMMYFUNCTION("if(regexmatch(B119,""e(.*)$""),regexextract(B119,""e(.*)$""),"""")"),"-3")</f>
        <v>-3</v>
      </c>
      <c r="M119" s="16"/>
      <c r="N119" s="18">
        <f>countif(ConstantsUnits!C:C,F119)</f>
        <v>1</v>
      </c>
      <c r="O119" s="16" t="str">
        <f>VLOOKUP(A119,ConstantsUnits!A:A,1,false)</f>
        <v>fine-structure constant</v>
      </c>
    </row>
    <row r="120">
      <c r="A120" s="1" t="s">
        <v>480</v>
      </c>
      <c r="B120" s="1" t="s">
        <v>2434</v>
      </c>
      <c r="C120" s="1" t="s">
        <v>2435</v>
      </c>
      <c r="D120" s="1" t="s">
        <v>481</v>
      </c>
      <c r="E120" s="15"/>
      <c r="F120" s="16" t="str">
        <f>ifna(VLOOKUP($A120,ConstantsUnits!$A:$C,3,false),"")</f>
        <v>FirstRadiationConstant</v>
      </c>
      <c r="G120" s="17" t="str">
        <f t="shared" si="1"/>
        <v>3.74177153e-16</v>
      </c>
      <c r="H120" s="17">
        <f t="shared" si="2"/>
        <v>0</v>
      </c>
      <c r="I120" s="17" t="str">
        <f t="shared" si="3"/>
        <v>0.00000017e-16</v>
      </c>
      <c r="J120" s="17">
        <f t="shared" si="4"/>
        <v>0</v>
      </c>
      <c r="K120" s="17" t="b">
        <f t="shared" si="5"/>
        <v>0</v>
      </c>
      <c r="L120" s="16" t="str">
        <f>IFERROR(__xludf.DUMMYFUNCTION("if(regexmatch(B120,""e(.*)$""),regexextract(B120,""e(.*)$""),"""")"),"-16")</f>
        <v>-16</v>
      </c>
      <c r="M120" s="16"/>
      <c r="N120" s="18">
        <f>countif(ConstantsUnits!C:C,F120)</f>
        <v>1</v>
      </c>
      <c r="O120" s="16" t="str">
        <f>VLOOKUP(A120,ConstantsUnits!A:A,1,false)</f>
        <v>first radiation constant</v>
      </c>
    </row>
    <row r="121">
      <c r="A121" s="1" t="s">
        <v>485</v>
      </c>
      <c r="B121" s="1" t="s">
        <v>2436</v>
      </c>
      <c r="C121" s="1" t="s">
        <v>2437</v>
      </c>
      <c r="D121" s="1" t="s">
        <v>486</v>
      </c>
      <c r="E121" s="15"/>
      <c r="F121" s="16" t="str">
        <f>ifna(VLOOKUP($A121,ConstantsUnits!$A:$C,3,false),"")</f>
        <v>FirstRadiationConstantForSpectralRadiance</v>
      </c>
      <c r="G121" s="17" t="str">
        <f t="shared" si="1"/>
        <v>1.191042869e-16</v>
      </c>
      <c r="H121" s="17">
        <f t="shared" si="2"/>
        <v>0</v>
      </c>
      <c r="I121" s="17" t="str">
        <f t="shared" si="3"/>
        <v>0.000000053e-16</v>
      </c>
      <c r="J121" s="17">
        <f t="shared" si="4"/>
        <v>0</v>
      </c>
      <c r="K121" s="17" t="b">
        <f t="shared" si="5"/>
        <v>0</v>
      </c>
      <c r="L121" s="16" t="str">
        <f>IFERROR(__xludf.DUMMYFUNCTION("if(regexmatch(B121,""e(.*)$""),regexextract(B121,""e(.*)$""),"""")"),"-16")</f>
        <v>-16</v>
      </c>
      <c r="M121" s="16"/>
      <c r="N121" s="18">
        <f>countif(ConstantsUnits!C:C,F121)</f>
        <v>1</v>
      </c>
      <c r="O121" s="16" t="str">
        <f>VLOOKUP(A121,ConstantsUnits!A:A,1,false)</f>
        <v>first radiation constant for spectral radiance</v>
      </c>
    </row>
    <row r="122">
      <c r="A122" s="1" t="s">
        <v>492</v>
      </c>
      <c r="B122" s="1" t="s">
        <v>2438</v>
      </c>
      <c r="C122" s="1" t="s">
        <v>2439</v>
      </c>
      <c r="D122" s="1" t="s">
        <v>48</v>
      </c>
      <c r="E122" s="15"/>
      <c r="F122" s="16" t="str">
        <f>ifna(VLOOKUP($A122,ConstantsUnits!$A:$C,3,false),"")</f>
        <v>HartreeAtomicMassUnitRelationship</v>
      </c>
      <c r="G122" s="17" t="str">
        <f t="shared" si="1"/>
        <v>2.9212623246e-8</v>
      </c>
      <c r="H122" s="17">
        <f t="shared" si="2"/>
        <v>0.00000002921262325</v>
      </c>
      <c r="I122" s="17" t="str">
        <f t="shared" si="3"/>
        <v>0.0000000021e-8</v>
      </c>
      <c r="J122" s="17">
        <f t="shared" si="4"/>
        <v>0</v>
      </c>
      <c r="K122" s="17" t="b">
        <f t="shared" si="5"/>
        <v>0</v>
      </c>
      <c r="L122" s="16" t="str">
        <f>IFERROR(__xludf.DUMMYFUNCTION("if(regexmatch(B122,""e(.*)$""),regexextract(B122,""e(.*)$""),"""")"),"-8")</f>
        <v>-8</v>
      </c>
      <c r="M122" s="16"/>
      <c r="N122" s="18">
        <f>countif(ConstantsUnits!C:C,F122)</f>
        <v>1</v>
      </c>
      <c r="O122" s="16" t="str">
        <f>VLOOKUP(A122,ConstantsUnits!A:A,1,false)</f>
        <v>hartree-atomic mass unit relationship</v>
      </c>
    </row>
    <row r="123">
      <c r="A123" s="1" t="s">
        <v>495</v>
      </c>
      <c r="B123" s="1" t="s">
        <v>2300</v>
      </c>
      <c r="C123" s="1" t="s">
        <v>2301</v>
      </c>
      <c r="D123" s="1" t="s">
        <v>70</v>
      </c>
      <c r="E123" s="15"/>
      <c r="F123" s="16" t="str">
        <f>ifna(VLOOKUP($A123,ConstantsUnits!$A:$C,3,false),"")</f>
        <v>HartreeElectronVoltRelationship</v>
      </c>
      <c r="G123" s="17" t="str">
        <f t="shared" si="1"/>
        <v>27.21138505</v>
      </c>
      <c r="H123" s="17">
        <f t="shared" si="2"/>
        <v>27.21138505</v>
      </c>
      <c r="I123" s="17" t="str">
        <f t="shared" si="3"/>
        <v>0.00000060</v>
      </c>
      <c r="J123" s="17">
        <f t="shared" si="4"/>
        <v>0.0000006</v>
      </c>
      <c r="K123" s="17" t="b">
        <f t="shared" si="5"/>
        <v>0</v>
      </c>
      <c r="L123" s="16" t="str">
        <f>IFERROR(__xludf.DUMMYFUNCTION("if(regexmatch(B123,""e(.*)$""),regexextract(B123,""e(.*)$""),"""")"),"")</f>
        <v/>
      </c>
      <c r="M123" s="16"/>
      <c r="N123" s="18">
        <f>countif(ConstantsUnits!C:C,F123)</f>
        <v>1</v>
      </c>
      <c r="O123" s="16" t="str">
        <f>VLOOKUP(A123,ConstantsUnits!A:A,1,false)</f>
        <v>hartree-electron volt relationship</v>
      </c>
    </row>
    <row r="124">
      <c r="A124" s="1" t="s">
        <v>498</v>
      </c>
      <c r="B124" s="1" t="s">
        <v>2304</v>
      </c>
      <c r="C124" s="1" t="s">
        <v>2305</v>
      </c>
      <c r="D124" s="1" t="s">
        <v>41</v>
      </c>
      <c r="E124" s="15"/>
      <c r="F124" s="16" t="str">
        <f>ifna(VLOOKUP($A124,ConstantsUnits!$A:$C,3,false),"")</f>
        <v>HartreeEnergy</v>
      </c>
      <c r="G124" s="17" t="str">
        <f t="shared" si="1"/>
        <v>4.35974434e-18</v>
      </c>
      <c r="H124" s="17">
        <f t="shared" si="2"/>
        <v>0</v>
      </c>
      <c r="I124" s="17" t="str">
        <f t="shared" si="3"/>
        <v>0.00000019e-18</v>
      </c>
      <c r="J124" s="17">
        <f t="shared" si="4"/>
        <v>0</v>
      </c>
      <c r="K124" s="17" t="b">
        <f t="shared" si="5"/>
        <v>0</v>
      </c>
      <c r="L124" s="16" t="str">
        <f>IFERROR(__xludf.DUMMYFUNCTION("if(regexmatch(B124,""e(.*)$""),regexextract(B124,""e(.*)$""),"""")"),"-18")</f>
        <v>-18</v>
      </c>
      <c r="M124" s="16"/>
      <c r="N124" s="18">
        <f>countif(ConstantsUnits!C:C,F124)</f>
        <v>1</v>
      </c>
      <c r="O124" s="16" t="str">
        <f>VLOOKUP(A124,ConstantsUnits!A:A,1,false)</f>
        <v>Hartree energy</v>
      </c>
    </row>
    <row r="125">
      <c r="A125" s="1" t="s">
        <v>501</v>
      </c>
      <c r="B125" s="1" t="s">
        <v>2300</v>
      </c>
      <c r="C125" s="1" t="s">
        <v>2301</v>
      </c>
      <c r="D125" s="1" t="s">
        <v>70</v>
      </c>
      <c r="E125" s="15"/>
      <c r="F125" s="16" t="str">
        <f>ifna(VLOOKUP($A125,ConstantsUnits!$A:$C,3,false),"")</f>
        <v>HartreeEnergyInEV</v>
      </c>
      <c r="G125" s="17" t="str">
        <f t="shared" si="1"/>
        <v>27.21138505</v>
      </c>
      <c r="H125" s="17">
        <f t="shared" si="2"/>
        <v>27.21138505</v>
      </c>
      <c r="I125" s="17" t="str">
        <f t="shared" si="3"/>
        <v>0.00000060</v>
      </c>
      <c r="J125" s="17">
        <f t="shared" si="4"/>
        <v>0.0000006</v>
      </c>
      <c r="K125" s="17" t="b">
        <f t="shared" si="5"/>
        <v>0</v>
      </c>
      <c r="L125" s="16" t="str">
        <f>IFERROR(__xludf.DUMMYFUNCTION("if(regexmatch(B125,""e(.*)$""),regexextract(B125,""e(.*)$""),"""")"),"")</f>
        <v/>
      </c>
      <c r="M125" s="16"/>
      <c r="N125" s="18">
        <f>countif(ConstantsUnits!C:C,F125)</f>
        <v>1</v>
      </c>
      <c r="O125" s="16" t="str">
        <f>VLOOKUP(A125,ConstantsUnits!A:A,1,false)</f>
        <v>Hartree energy in eV</v>
      </c>
    </row>
    <row r="126">
      <c r="A126" s="1" t="s">
        <v>504</v>
      </c>
      <c r="B126" s="1" t="s">
        <v>2440</v>
      </c>
      <c r="C126" s="1" t="s">
        <v>2441</v>
      </c>
      <c r="D126" s="1" t="s">
        <v>79</v>
      </c>
      <c r="E126" s="15"/>
      <c r="F126" s="16" t="str">
        <f>ifna(VLOOKUP($A126,ConstantsUnits!$A:$C,3,false),"")</f>
        <v>HartreeHertzRelationship</v>
      </c>
      <c r="G126" s="17" t="str">
        <f t="shared" si="1"/>
        <v>6.579683920729e15</v>
      </c>
      <c r="H126" s="17">
        <f t="shared" si="2"/>
        <v>6.57968E+15</v>
      </c>
      <c r="I126" s="17" t="str">
        <f t="shared" si="3"/>
        <v>0.000000000033e15</v>
      </c>
      <c r="J126" s="17">
        <f t="shared" si="4"/>
        <v>33000</v>
      </c>
      <c r="K126" s="17" t="b">
        <f t="shared" si="5"/>
        <v>0</v>
      </c>
      <c r="L126" s="16" t="str">
        <f>IFERROR(__xludf.DUMMYFUNCTION("if(regexmatch(B126,""e(.*)$""),regexextract(B126,""e(.*)$""),"""")"),"15")</f>
        <v>15</v>
      </c>
      <c r="M126" s="16"/>
      <c r="N126" s="18">
        <f>countif(ConstantsUnits!C:C,F126)</f>
        <v>1</v>
      </c>
      <c r="O126" s="16" t="str">
        <f>VLOOKUP(A126,ConstantsUnits!A:A,1,false)</f>
        <v>hartree-hertz relationship</v>
      </c>
    </row>
    <row r="127">
      <c r="A127" s="1" t="s">
        <v>507</v>
      </c>
      <c r="B127" s="1" t="s">
        <v>2442</v>
      </c>
      <c r="C127" s="1" t="s">
        <v>2443</v>
      </c>
      <c r="D127" s="1" t="s">
        <v>83</v>
      </c>
      <c r="E127" s="15"/>
      <c r="F127" s="16" t="str">
        <f>ifna(VLOOKUP($A127,ConstantsUnits!$A:$C,3,false),"")</f>
        <v>HartreeInverseMeterRelationship</v>
      </c>
      <c r="G127" s="17" t="str">
        <f t="shared" si="1"/>
        <v>2.194746313708e7</v>
      </c>
      <c r="H127" s="17">
        <f t="shared" si="2"/>
        <v>21947463.14</v>
      </c>
      <c r="I127" s="17" t="str">
        <f t="shared" si="3"/>
        <v>0.000000000011e7</v>
      </c>
      <c r="J127" s="17">
        <f t="shared" si="4"/>
        <v>0.00011</v>
      </c>
      <c r="K127" s="17" t="b">
        <f t="shared" si="5"/>
        <v>0</v>
      </c>
      <c r="L127" s="16" t="str">
        <f>IFERROR(__xludf.DUMMYFUNCTION("if(regexmatch(B127,""e(.*)$""),regexextract(B127,""e(.*)$""),"""")"),"7")</f>
        <v>7</v>
      </c>
      <c r="M127" s="16"/>
      <c r="N127" s="18">
        <f>countif(ConstantsUnits!C:C,F127)</f>
        <v>1</v>
      </c>
      <c r="O127" s="16" t="str">
        <f>VLOOKUP(A127,ConstantsUnits!A:A,1,false)</f>
        <v>hartree-inverse meter relationship</v>
      </c>
    </row>
    <row r="128">
      <c r="A128" s="1" t="s">
        <v>510</v>
      </c>
      <c r="B128" s="1" t="s">
        <v>2304</v>
      </c>
      <c r="C128" s="1" t="s">
        <v>2305</v>
      </c>
      <c r="D128" s="1" t="s">
        <v>41</v>
      </c>
      <c r="E128" s="15"/>
      <c r="F128" s="16" t="str">
        <f>ifna(VLOOKUP($A128,ConstantsUnits!$A:$C,3,false),"")</f>
        <v>HartreeJouleRelationship</v>
      </c>
      <c r="G128" s="17" t="str">
        <f t="shared" si="1"/>
        <v>4.35974434e-18</v>
      </c>
      <c r="H128" s="17">
        <f t="shared" si="2"/>
        <v>0</v>
      </c>
      <c r="I128" s="17" t="str">
        <f t="shared" si="3"/>
        <v>0.00000019e-18</v>
      </c>
      <c r="J128" s="17">
        <f t="shared" si="4"/>
        <v>0</v>
      </c>
      <c r="K128" s="17" t="b">
        <f t="shared" si="5"/>
        <v>0</v>
      </c>
      <c r="L128" s="16" t="str">
        <f>IFERROR(__xludf.DUMMYFUNCTION("if(regexmatch(B128,""e(.*)$""),regexextract(B128,""e(.*)$""),"""")"),"-18")</f>
        <v>-18</v>
      </c>
      <c r="M128" s="16"/>
      <c r="N128" s="18">
        <f>countif(ConstantsUnits!C:C,F128)</f>
        <v>1</v>
      </c>
      <c r="O128" s="16" t="str">
        <f>VLOOKUP(A128,ConstantsUnits!A:A,1,false)</f>
        <v>hartree-joule relationship</v>
      </c>
    </row>
    <row r="129">
      <c r="A129" s="1" t="s">
        <v>513</v>
      </c>
      <c r="B129" s="1" t="s">
        <v>2444</v>
      </c>
      <c r="C129" s="1" t="s">
        <v>2445</v>
      </c>
      <c r="D129" s="1" t="s">
        <v>91</v>
      </c>
      <c r="E129" s="15"/>
      <c r="F129" s="16" t="str">
        <f>ifna(VLOOKUP($A129,ConstantsUnits!$A:$C,3,false),"")</f>
        <v>HartreeKelvinRelationship</v>
      </c>
      <c r="G129" s="17" t="str">
        <f t="shared" si="1"/>
        <v>3.1577504e5</v>
      </c>
      <c r="H129" s="17">
        <f t="shared" si="2"/>
        <v>315775.04</v>
      </c>
      <c r="I129" s="17" t="str">
        <f t="shared" si="3"/>
        <v>0.0000029e5</v>
      </c>
      <c r="J129" s="17">
        <f t="shared" si="4"/>
        <v>0.29</v>
      </c>
      <c r="K129" s="17" t="b">
        <f t="shared" si="5"/>
        <v>0</v>
      </c>
      <c r="L129" s="16" t="str">
        <f>IFERROR(__xludf.DUMMYFUNCTION("if(regexmatch(B129,""e(.*)$""),regexextract(B129,""e(.*)$""),"""")"),"5")</f>
        <v>5</v>
      </c>
      <c r="M129" s="16"/>
      <c r="N129" s="18">
        <f>countif(ConstantsUnits!C:C,F129)</f>
        <v>1</v>
      </c>
      <c r="O129" s="16" t="str">
        <f>VLOOKUP(A129,ConstantsUnits!A:A,1,false)</f>
        <v>hartree-kelvin relationship</v>
      </c>
    </row>
    <row r="130">
      <c r="A130" s="1" t="s">
        <v>516</v>
      </c>
      <c r="B130" s="1" t="s">
        <v>2446</v>
      </c>
      <c r="C130" s="1" t="s">
        <v>2447</v>
      </c>
      <c r="D130" s="1" t="s">
        <v>38</v>
      </c>
      <c r="E130" s="15"/>
      <c r="F130" s="16" t="str">
        <f>ifna(VLOOKUP($A130,ConstantsUnits!$A:$C,3,false),"")</f>
        <v>HartreeKilogramRelationship</v>
      </c>
      <c r="G130" s="17" t="str">
        <f t="shared" si="1"/>
        <v>4.85086979e-35</v>
      </c>
      <c r="H130" s="17">
        <f t="shared" si="2"/>
        <v>0</v>
      </c>
      <c r="I130" s="17" t="str">
        <f t="shared" si="3"/>
        <v>0.00000021e-35</v>
      </c>
      <c r="J130" s="17">
        <f t="shared" si="4"/>
        <v>0</v>
      </c>
      <c r="K130" s="17" t="b">
        <f t="shared" si="5"/>
        <v>0</v>
      </c>
      <c r="L130" s="16" t="str">
        <f>IFERROR(__xludf.DUMMYFUNCTION("if(regexmatch(B130,""e(.*)$""),regexextract(B130,""e(.*)$""),"""")"),"-35")</f>
        <v>-35</v>
      </c>
      <c r="M130" s="16"/>
      <c r="N130" s="18">
        <f>countif(ConstantsUnits!C:C,F130)</f>
        <v>1</v>
      </c>
      <c r="O130" s="16" t="str">
        <f>VLOOKUP(A130,ConstantsUnits!A:A,1,false)</f>
        <v>hartree-kilogram relationship</v>
      </c>
    </row>
    <row r="131">
      <c r="A131" s="1" t="s">
        <v>519</v>
      </c>
      <c r="B131" s="1" t="s">
        <v>2448</v>
      </c>
      <c r="C131" s="1" t="s">
        <v>2449</v>
      </c>
      <c r="E131" s="15"/>
      <c r="F131" s="16" t="str">
        <f>ifna(VLOOKUP($A131,ConstantsUnits!$A:$C,3,false),"")</f>
        <v>HelionElectronMassRatio</v>
      </c>
      <c r="G131" s="17" t="str">
        <f t="shared" si="1"/>
        <v>5495.8852754</v>
      </c>
      <c r="H131" s="17">
        <f t="shared" si="2"/>
        <v>5495.885275</v>
      </c>
      <c r="I131" s="17" t="str">
        <f t="shared" si="3"/>
        <v>0.0000050</v>
      </c>
      <c r="J131" s="17">
        <f t="shared" si="4"/>
        <v>0.000005</v>
      </c>
      <c r="K131" s="17" t="b">
        <f t="shared" si="5"/>
        <v>0</v>
      </c>
      <c r="L131" s="16" t="str">
        <f>IFERROR(__xludf.DUMMYFUNCTION("if(regexmatch(B131,""e(.*)$""),regexextract(B131,""e(.*)$""),"""")"),"")</f>
        <v/>
      </c>
      <c r="M131" s="16"/>
      <c r="N131" s="18">
        <f>countif(ConstantsUnits!C:C,F131)</f>
        <v>1</v>
      </c>
      <c r="O131" s="16" t="str">
        <f>VLOOKUP(A131,ConstantsUnits!A:A,1,false)</f>
        <v>helion-electron mass ratio</v>
      </c>
    </row>
    <row r="132">
      <c r="A132" s="1" t="s">
        <v>522</v>
      </c>
      <c r="B132" s="1" t="s">
        <v>2450</v>
      </c>
      <c r="C132" s="1" t="s">
        <v>1407</v>
      </c>
      <c r="E132" s="15"/>
      <c r="F132" s="16" t="str">
        <f>ifna(VLOOKUP($A132,ConstantsUnits!$A:$C,3,false),"")</f>
        <v>HelionGFactor</v>
      </c>
      <c r="G132" s="17" t="str">
        <f t="shared" si="1"/>
        <v>-4.255250613</v>
      </c>
      <c r="H132" s="17">
        <f t="shared" si="2"/>
        <v>-4.255250613</v>
      </c>
      <c r="I132" s="17" t="str">
        <f t="shared" si="3"/>
        <v>0.000000050</v>
      </c>
      <c r="J132" s="17">
        <f t="shared" si="4"/>
        <v>0.00000005</v>
      </c>
      <c r="K132" s="17" t="b">
        <f t="shared" si="5"/>
        <v>0</v>
      </c>
      <c r="L132" s="16" t="str">
        <f>IFERROR(__xludf.DUMMYFUNCTION("if(regexmatch(B132,""e(.*)$""),regexextract(B132,""e(.*)$""),"""")"),"")</f>
        <v/>
      </c>
      <c r="M132" s="16"/>
      <c r="N132" s="18">
        <f>countif(ConstantsUnits!C:C,F132)</f>
        <v>1</v>
      </c>
      <c r="O132" s="16" t="str">
        <f>VLOOKUP(A132,ConstantsUnits!A:A,1,false)</f>
        <v>helion g factor</v>
      </c>
    </row>
    <row r="133">
      <c r="A133" s="1" t="s">
        <v>524</v>
      </c>
      <c r="B133" s="1" t="s">
        <v>2451</v>
      </c>
      <c r="C133" s="1" t="s">
        <v>2452</v>
      </c>
      <c r="D133" s="1" t="s">
        <v>165</v>
      </c>
      <c r="E133" s="15"/>
      <c r="F133" s="16" t="str">
        <f>ifna(VLOOKUP($A133,ConstantsUnits!$A:$C,3,false),"")</f>
        <v>HelionMag.Mom.</v>
      </c>
      <c r="G133" s="17" t="str">
        <f t="shared" si="1"/>
        <v>-1.074617486e-26</v>
      </c>
      <c r="H133" s="17">
        <f t="shared" si="2"/>
        <v>0</v>
      </c>
      <c r="I133" s="17" t="str">
        <f t="shared" si="3"/>
        <v>0.000000027e-26</v>
      </c>
      <c r="J133" s="17">
        <f t="shared" si="4"/>
        <v>0</v>
      </c>
      <c r="K133" s="17" t="b">
        <f t="shared" si="5"/>
        <v>0</v>
      </c>
      <c r="L133" s="16" t="str">
        <f>IFERROR(__xludf.DUMMYFUNCTION("if(regexmatch(B133,""e(.*)$""),regexextract(B133,""e(.*)$""),"""")"),"-26")</f>
        <v>-26</v>
      </c>
      <c r="M133" s="16"/>
      <c r="N133" s="18">
        <f>countif(ConstantsUnits!C:C,F133)</f>
        <v>1</v>
      </c>
      <c r="O133" s="16" t="str">
        <f>VLOOKUP(A133,ConstantsUnits!A:A,1,false)</f>
        <v>helion mag. mom.</v>
      </c>
    </row>
    <row r="134">
      <c r="A134" s="1" t="s">
        <v>526</v>
      </c>
      <c r="B134" s="1" t="s">
        <v>1410</v>
      </c>
      <c r="C134" s="1" t="s">
        <v>1411</v>
      </c>
      <c r="E134" s="15"/>
      <c r="F134" s="16" t="str">
        <f>ifna(VLOOKUP($A134,ConstantsUnits!$A:$C,3,false),"")</f>
        <v>HelionMag.Mom.ToBohrMagnetonRatio</v>
      </c>
      <c r="G134" s="17" t="str">
        <f t="shared" si="1"/>
        <v>-1.158740958e-3</v>
      </c>
      <c r="H134" s="17">
        <f t="shared" si="2"/>
        <v>-0.001158740958</v>
      </c>
      <c r="I134" s="17" t="str">
        <f t="shared" si="3"/>
        <v>0.000000014e-3</v>
      </c>
      <c r="J134" s="17">
        <f t="shared" si="4"/>
        <v>0</v>
      </c>
      <c r="K134" s="17" t="b">
        <f t="shared" si="5"/>
        <v>0</v>
      </c>
      <c r="L134" s="16" t="str">
        <f>IFERROR(__xludf.DUMMYFUNCTION("if(regexmatch(B134,""e(.*)$""),regexextract(B134,""e(.*)$""),"""")"),"-3")</f>
        <v>-3</v>
      </c>
      <c r="M134" s="16"/>
      <c r="N134" s="18">
        <f>countif(ConstantsUnits!C:C,F134)</f>
        <v>1</v>
      </c>
      <c r="O134" s="16" t="str">
        <f>VLOOKUP(A134,ConstantsUnits!A:A,1,false)</f>
        <v>helion mag. mom. to Bohr magneton ratio</v>
      </c>
    </row>
    <row r="135">
      <c r="A135" s="1" t="s">
        <v>528</v>
      </c>
      <c r="B135" s="1" t="s">
        <v>2453</v>
      </c>
      <c r="C135" s="1" t="s">
        <v>1413</v>
      </c>
      <c r="E135" s="15"/>
      <c r="F135" s="16" t="str">
        <f>ifna(VLOOKUP($A135,ConstantsUnits!$A:$C,3,false),"")</f>
        <v>HelionMag.Mom.ToNuclearMagnetonRatio</v>
      </c>
      <c r="G135" s="17" t="str">
        <f t="shared" si="1"/>
        <v>-2.127625306</v>
      </c>
      <c r="H135" s="17">
        <f t="shared" si="2"/>
        <v>-2.127625306</v>
      </c>
      <c r="I135" s="17" t="str">
        <f t="shared" si="3"/>
        <v>0.000000025</v>
      </c>
      <c r="J135" s="17">
        <f t="shared" si="4"/>
        <v>0.000000025</v>
      </c>
      <c r="K135" s="17" t="b">
        <f t="shared" si="5"/>
        <v>0</v>
      </c>
      <c r="L135" s="16" t="str">
        <f>IFERROR(__xludf.DUMMYFUNCTION("if(regexmatch(B135,""e(.*)$""),regexextract(B135,""e(.*)$""),"""")"),"")</f>
        <v/>
      </c>
      <c r="M135" s="16"/>
      <c r="N135" s="18">
        <f>countif(ConstantsUnits!C:C,F135)</f>
        <v>1</v>
      </c>
      <c r="O135" s="16" t="str">
        <f>VLOOKUP(A135,ConstantsUnits!A:A,1,false)</f>
        <v>helion mag. mom. to nuclear magneton ratio</v>
      </c>
    </row>
    <row r="136">
      <c r="A136" s="1" t="s">
        <v>530</v>
      </c>
      <c r="B136" s="1" t="s">
        <v>2454</v>
      </c>
      <c r="C136" s="1" t="s">
        <v>2455</v>
      </c>
      <c r="D136" s="1" t="s">
        <v>38</v>
      </c>
      <c r="E136" s="15"/>
      <c r="F136" s="16" t="str">
        <f>ifna(VLOOKUP($A136,ConstantsUnits!$A:$C,3,false),"")</f>
        <v>HelionMass</v>
      </c>
      <c r="G136" s="17" t="str">
        <f t="shared" si="1"/>
        <v>5.00641234e-27</v>
      </c>
      <c r="H136" s="17">
        <f t="shared" si="2"/>
        <v>0</v>
      </c>
      <c r="I136" s="17" t="str">
        <f t="shared" si="3"/>
        <v>0.00000022e-27</v>
      </c>
      <c r="J136" s="17">
        <f t="shared" si="4"/>
        <v>0</v>
      </c>
      <c r="K136" s="17" t="b">
        <f t="shared" si="5"/>
        <v>0</v>
      </c>
      <c r="L136" s="16" t="str">
        <f>IFERROR(__xludf.DUMMYFUNCTION("if(regexmatch(B136,""e(.*)$""),regexextract(B136,""e(.*)$""),"""")"),"-27")</f>
        <v>-27</v>
      </c>
      <c r="M136" s="16"/>
      <c r="N136" s="18">
        <f>countif(ConstantsUnits!C:C,F136)</f>
        <v>1</v>
      </c>
      <c r="O136" s="16" t="str">
        <f>VLOOKUP(A136,ConstantsUnits!A:A,1,false)</f>
        <v>helion mass</v>
      </c>
    </row>
    <row r="137">
      <c r="A137" s="1" t="s">
        <v>533</v>
      </c>
      <c r="B137" s="1" t="s">
        <v>2456</v>
      </c>
      <c r="C137" s="1" t="s">
        <v>2457</v>
      </c>
      <c r="D137" s="1" t="s">
        <v>41</v>
      </c>
      <c r="E137" s="15"/>
      <c r="F137" s="16" t="str">
        <f>ifna(VLOOKUP($A137,ConstantsUnits!$A:$C,3,false),"")</f>
        <v>HelionMassEnergyEquivalent</v>
      </c>
      <c r="G137" s="17" t="str">
        <f t="shared" si="1"/>
        <v>4.49953902e-10</v>
      </c>
      <c r="H137" s="17">
        <f t="shared" si="2"/>
        <v>0.000000000449953902</v>
      </c>
      <c r="I137" s="17" t="str">
        <f t="shared" si="3"/>
        <v>0.00000020e-10</v>
      </c>
      <c r="J137" s="17">
        <f t="shared" si="4"/>
        <v>0</v>
      </c>
      <c r="K137" s="17" t="b">
        <f t="shared" si="5"/>
        <v>0</v>
      </c>
      <c r="L137" s="16" t="str">
        <f>IFERROR(__xludf.DUMMYFUNCTION("if(regexmatch(B137,""e(.*)$""),regexextract(B137,""e(.*)$""),"""")"),"-10")</f>
        <v>-10</v>
      </c>
      <c r="M137" s="16"/>
      <c r="N137" s="18">
        <f>countif(ConstantsUnits!C:C,F137)</f>
        <v>1</v>
      </c>
      <c r="O137" s="16" t="str">
        <f>VLOOKUP(A137,ConstantsUnits!A:A,1,false)</f>
        <v>helion mass energy equivalent</v>
      </c>
    </row>
    <row r="138">
      <c r="A138" s="1" t="s">
        <v>536</v>
      </c>
      <c r="B138" s="1" t="s">
        <v>2458</v>
      </c>
      <c r="C138" s="1" t="s">
        <v>2459</v>
      </c>
      <c r="D138" s="1" t="s">
        <v>45</v>
      </c>
      <c r="E138" s="15"/>
      <c r="F138" s="16" t="str">
        <f>ifna(VLOOKUP($A138,ConstantsUnits!$A:$C,3,false),"")</f>
        <v>HelionMassEnergyEquivalentInMeV</v>
      </c>
      <c r="G138" s="17" t="str">
        <f t="shared" si="1"/>
        <v>2808.391482</v>
      </c>
      <c r="H138" s="17">
        <f t="shared" si="2"/>
        <v>2808.391482</v>
      </c>
      <c r="I138" s="17" t="str">
        <f t="shared" si="3"/>
        <v>0.000062</v>
      </c>
      <c r="J138" s="17">
        <f t="shared" si="4"/>
        <v>0.000062</v>
      </c>
      <c r="K138" s="17" t="b">
        <f t="shared" si="5"/>
        <v>0</v>
      </c>
      <c r="L138" s="16" t="str">
        <f>IFERROR(__xludf.DUMMYFUNCTION("if(regexmatch(B138,""e(.*)$""),regexextract(B138,""e(.*)$""),"""")"),"")</f>
        <v/>
      </c>
      <c r="M138" s="16"/>
      <c r="N138" s="18">
        <f>countif(ConstantsUnits!C:C,F138)</f>
        <v>1</v>
      </c>
      <c r="O138" s="16" t="str">
        <f>VLOOKUP(A138,ConstantsUnits!A:A,1,false)</f>
        <v>helion mass energy equivalent in MeV</v>
      </c>
    </row>
    <row r="139">
      <c r="A139" s="1" t="s">
        <v>538</v>
      </c>
      <c r="B139" s="1" t="s">
        <v>2460</v>
      </c>
      <c r="C139" s="1" t="s">
        <v>1512</v>
      </c>
      <c r="D139" s="1" t="s">
        <v>48</v>
      </c>
      <c r="E139" s="15"/>
      <c r="F139" s="16" t="str">
        <f>ifna(VLOOKUP($A139,ConstantsUnits!$A:$C,3,false),"")</f>
        <v>HelionMassInAtomicMassUnit</v>
      </c>
      <c r="G139" s="17" t="str">
        <f t="shared" si="1"/>
        <v>3.0149322468</v>
      </c>
      <c r="H139" s="17">
        <f t="shared" si="2"/>
        <v>3.014932247</v>
      </c>
      <c r="I139" s="17" t="str">
        <f t="shared" si="3"/>
        <v>0.0000000025</v>
      </c>
      <c r="J139" s="17">
        <f t="shared" si="4"/>
        <v>0.0000000025</v>
      </c>
      <c r="K139" s="17" t="b">
        <f t="shared" si="5"/>
        <v>0</v>
      </c>
      <c r="L139" s="16" t="str">
        <f>IFERROR(__xludf.DUMMYFUNCTION("if(regexmatch(B139,""e(.*)$""),regexextract(B139,""e(.*)$""),"""")"),"")</f>
        <v/>
      </c>
      <c r="M139" s="16"/>
      <c r="N139" s="18">
        <f>countif(ConstantsUnits!C:C,F139)</f>
        <v>1</v>
      </c>
      <c r="O139" s="16" t="str">
        <f>VLOOKUP(A139,ConstantsUnits!A:A,1,false)</f>
        <v>helion mass in u</v>
      </c>
    </row>
    <row r="140">
      <c r="A140" s="1" t="s">
        <v>541</v>
      </c>
      <c r="B140" s="1" t="s">
        <v>2461</v>
      </c>
      <c r="C140" s="1" t="s">
        <v>2051</v>
      </c>
      <c r="D140" s="1" t="s">
        <v>51</v>
      </c>
      <c r="E140" s="15"/>
      <c r="F140" s="16" t="str">
        <f>ifna(VLOOKUP($A140,ConstantsUnits!$A:$C,3,false),"")</f>
        <v>HelionMolarMass</v>
      </c>
      <c r="G140" s="17" t="str">
        <f t="shared" si="1"/>
        <v>3.0149322468e-3</v>
      </c>
      <c r="H140" s="17">
        <f t="shared" si="2"/>
        <v>0.003014932247</v>
      </c>
      <c r="I140" s="17" t="str">
        <f t="shared" si="3"/>
        <v>0.0000000025e-3</v>
      </c>
      <c r="J140" s="17">
        <f t="shared" si="4"/>
        <v>0</v>
      </c>
      <c r="K140" s="17" t="b">
        <f t="shared" si="5"/>
        <v>0</v>
      </c>
      <c r="L140" s="16" t="str">
        <f>IFERROR(__xludf.DUMMYFUNCTION("if(regexmatch(B140,""e(.*)$""),regexextract(B140,""e(.*)$""),"""")"),"-3")</f>
        <v>-3</v>
      </c>
      <c r="M140" s="16"/>
      <c r="N140" s="18">
        <f>countif(ConstantsUnits!C:C,F140)</f>
        <v>1</v>
      </c>
      <c r="O140" s="16" t="str">
        <f>VLOOKUP(A140,ConstantsUnits!A:A,1,false)</f>
        <v>helion molar mass</v>
      </c>
    </row>
    <row r="141">
      <c r="A141" s="1" t="s">
        <v>544</v>
      </c>
      <c r="B141" s="1" t="s">
        <v>2462</v>
      </c>
      <c r="C141" s="1" t="s">
        <v>1512</v>
      </c>
      <c r="E141" s="15"/>
      <c r="F141" s="16" t="str">
        <f>ifna(VLOOKUP($A141,ConstantsUnits!$A:$C,3,false),"")</f>
        <v>HelionProtonMassRatio</v>
      </c>
      <c r="G141" s="17" t="str">
        <f t="shared" si="1"/>
        <v>2.9931526707</v>
      </c>
      <c r="H141" s="17">
        <f t="shared" si="2"/>
        <v>2.993152671</v>
      </c>
      <c r="I141" s="17" t="str">
        <f t="shared" si="3"/>
        <v>0.0000000025</v>
      </c>
      <c r="J141" s="17">
        <f t="shared" si="4"/>
        <v>0.0000000025</v>
      </c>
      <c r="K141" s="17" t="b">
        <f t="shared" si="5"/>
        <v>0</v>
      </c>
      <c r="L141" s="16" t="str">
        <f>IFERROR(__xludf.DUMMYFUNCTION("if(regexmatch(B141,""e(.*)$""),regexextract(B141,""e(.*)$""),"""")"),"")</f>
        <v/>
      </c>
      <c r="M141" s="16"/>
      <c r="N141" s="18">
        <f>countif(ConstantsUnits!C:C,F141)</f>
        <v>1</v>
      </c>
      <c r="O141" s="16" t="str">
        <f>VLOOKUP(A141,ConstantsUnits!A:A,1,false)</f>
        <v>helion-proton mass ratio</v>
      </c>
    </row>
    <row r="142">
      <c r="A142" s="1" t="s">
        <v>551</v>
      </c>
      <c r="B142" s="1" t="s">
        <v>2463</v>
      </c>
      <c r="C142" s="1" t="s">
        <v>2464</v>
      </c>
      <c r="D142" s="1" t="s">
        <v>48</v>
      </c>
      <c r="E142" s="15"/>
      <c r="F142" s="16" t="str">
        <f>ifna(VLOOKUP($A142,ConstantsUnits!$A:$C,3,false),"")</f>
        <v>HertzAtomicMassUnitRelationship</v>
      </c>
      <c r="G142" s="17" t="str">
        <f t="shared" si="1"/>
        <v>4.4398216689e-24</v>
      </c>
      <c r="H142" s="17">
        <f t="shared" si="2"/>
        <v>0</v>
      </c>
      <c r="I142" s="17" t="str">
        <f t="shared" si="3"/>
        <v>0.0000000031e-24</v>
      </c>
      <c r="J142" s="17">
        <f t="shared" si="4"/>
        <v>0</v>
      </c>
      <c r="K142" s="17" t="b">
        <f t="shared" si="5"/>
        <v>0</v>
      </c>
      <c r="L142" s="16" t="str">
        <f>IFERROR(__xludf.DUMMYFUNCTION("if(regexmatch(B142,""e(.*)$""),regexextract(B142,""e(.*)$""),"""")"),"-24")</f>
        <v>-24</v>
      </c>
      <c r="M142" s="16"/>
      <c r="N142" s="18">
        <f>countif(ConstantsUnits!C:C,F142)</f>
        <v>1</v>
      </c>
      <c r="O142" s="16" t="str">
        <f>VLOOKUP(A142,ConstantsUnits!A:A,1,false)</f>
        <v>hertz-atomic mass unit relationship</v>
      </c>
    </row>
    <row r="143">
      <c r="A143" s="1" t="s">
        <v>554</v>
      </c>
      <c r="B143" s="1" t="s">
        <v>2465</v>
      </c>
      <c r="C143" s="1" t="s">
        <v>2466</v>
      </c>
      <c r="D143" s="1" t="s">
        <v>70</v>
      </c>
      <c r="E143" s="15"/>
      <c r="F143" s="16" t="str">
        <f>ifna(VLOOKUP($A143,ConstantsUnits!$A:$C,3,false),"")</f>
        <v>HertzElectronVoltRelationship</v>
      </c>
      <c r="G143" s="17" t="str">
        <f t="shared" si="1"/>
        <v>4.135667516e-15</v>
      </c>
      <c r="H143" s="17">
        <f t="shared" si="2"/>
        <v>0</v>
      </c>
      <c r="I143" s="17" t="str">
        <f t="shared" si="3"/>
        <v>0.000000091e-15</v>
      </c>
      <c r="J143" s="17">
        <f t="shared" si="4"/>
        <v>0</v>
      </c>
      <c r="K143" s="17" t="b">
        <f t="shared" si="5"/>
        <v>0</v>
      </c>
      <c r="L143" s="16" t="str">
        <f>IFERROR(__xludf.DUMMYFUNCTION("if(regexmatch(B143,""e(.*)$""),regexextract(B143,""e(.*)$""),"""")"),"-15")</f>
        <v>-15</v>
      </c>
      <c r="M143" s="16"/>
      <c r="N143" s="18">
        <f>countif(ConstantsUnits!C:C,F143)</f>
        <v>1</v>
      </c>
      <c r="O143" s="16" t="str">
        <f>VLOOKUP(A143,ConstantsUnits!A:A,1,false)</f>
        <v>hertz-electron volt relationship</v>
      </c>
    </row>
    <row r="144">
      <c r="A144" s="1" t="s">
        <v>557</v>
      </c>
      <c r="B144" s="1" t="s">
        <v>2467</v>
      </c>
      <c r="C144" s="1" t="s">
        <v>2468</v>
      </c>
      <c r="D144" s="1" t="s">
        <v>74</v>
      </c>
      <c r="E144" s="15"/>
      <c r="F144" s="16" t="str">
        <f>ifna(VLOOKUP($A144,ConstantsUnits!$A:$C,3,false),"")</f>
        <v>HertzHartreeRelationship</v>
      </c>
      <c r="G144" s="17" t="str">
        <f t="shared" si="1"/>
        <v>1.5198298460045e-16</v>
      </c>
      <c r="H144" s="17">
        <f t="shared" si="2"/>
        <v>0</v>
      </c>
      <c r="I144" s="17" t="str">
        <f t="shared" si="3"/>
        <v>0.0000000000076e-16</v>
      </c>
      <c r="J144" s="17">
        <f t="shared" si="4"/>
        <v>0</v>
      </c>
      <c r="K144" s="17" t="b">
        <f t="shared" si="5"/>
        <v>0</v>
      </c>
      <c r="L144" s="16" t="str">
        <f>IFERROR(__xludf.DUMMYFUNCTION("if(regexmatch(B144,""e(.*)$""),regexextract(B144,""e(.*)$""),"""")"),"-16")</f>
        <v>-16</v>
      </c>
      <c r="M144" s="16"/>
      <c r="N144" s="18">
        <f>countif(ConstantsUnits!C:C,F144)</f>
        <v>1</v>
      </c>
      <c r="O144" s="16" t="str">
        <f>VLOOKUP(A144,ConstantsUnits!A:A,1,false)</f>
        <v>hertz-hartree relationship</v>
      </c>
    </row>
    <row r="145">
      <c r="A145" s="1" t="s">
        <v>560</v>
      </c>
      <c r="B145" s="1" t="s">
        <v>1433</v>
      </c>
      <c r="C145" s="1" t="s">
        <v>1232</v>
      </c>
      <c r="D145" s="1" t="s">
        <v>83</v>
      </c>
      <c r="E145" s="15"/>
      <c r="F145" s="16" t="str">
        <f>ifna(VLOOKUP($A145,ConstantsUnits!$A:$C,3,false),"")</f>
        <v>HertzInverseMeterRelationship</v>
      </c>
      <c r="G145" s="17" t="str">
        <f t="shared" si="1"/>
        <v>3.335640951e-9</v>
      </c>
      <c r="H145" s="17">
        <f t="shared" si="2"/>
        <v>0.000000003335640951</v>
      </c>
      <c r="I145" s="17" t="str">
        <f t="shared" si="3"/>
        <v>(exact)</v>
      </c>
      <c r="J145" s="17" t="str">
        <f t="shared" si="4"/>
        <v/>
      </c>
      <c r="K145" s="17" t="b">
        <f t="shared" si="5"/>
        <v>1</v>
      </c>
      <c r="L145" s="16" t="str">
        <f>IFERROR(__xludf.DUMMYFUNCTION("if(regexmatch(B145,""e(.*)$""),regexextract(B145,""e(.*)$""),"""")"),"-9")</f>
        <v>-9</v>
      </c>
      <c r="M145" s="16"/>
      <c r="N145" s="18">
        <f>countif(ConstantsUnits!C:C,F145)</f>
        <v>1</v>
      </c>
      <c r="O145" s="16" t="str">
        <f>VLOOKUP(A145,ConstantsUnits!A:A,1,false)</f>
        <v>hertz-inverse meter relationship</v>
      </c>
    </row>
    <row r="146">
      <c r="A146" s="1" t="s">
        <v>563</v>
      </c>
      <c r="B146" s="1" t="s">
        <v>2469</v>
      </c>
      <c r="C146" s="1" t="s">
        <v>2470</v>
      </c>
      <c r="D146" s="1" t="s">
        <v>41</v>
      </c>
      <c r="E146" s="15"/>
      <c r="F146" s="16" t="str">
        <f>ifna(VLOOKUP($A146,ConstantsUnits!$A:$C,3,false),"")</f>
        <v>HertzJouleRelationship</v>
      </c>
      <c r="G146" s="17" t="str">
        <f t="shared" si="1"/>
        <v>6.62606957e-34</v>
      </c>
      <c r="H146" s="17">
        <f t="shared" si="2"/>
        <v>0</v>
      </c>
      <c r="I146" s="17" t="str">
        <f t="shared" si="3"/>
        <v>0.00000029e-34</v>
      </c>
      <c r="J146" s="17">
        <f t="shared" si="4"/>
        <v>0</v>
      </c>
      <c r="K146" s="17" t="b">
        <f t="shared" si="5"/>
        <v>0</v>
      </c>
      <c r="L146" s="16" t="str">
        <f>IFERROR(__xludf.DUMMYFUNCTION("if(regexmatch(B146,""e(.*)$""),regexextract(B146,""e(.*)$""),"""")"),"-34")</f>
        <v>-34</v>
      </c>
      <c r="M146" s="16"/>
      <c r="N146" s="18">
        <f>countif(ConstantsUnits!C:C,F146)</f>
        <v>1</v>
      </c>
      <c r="O146" s="16" t="str">
        <f>VLOOKUP(A146,ConstantsUnits!A:A,1,false)</f>
        <v>hertz-joule relationship</v>
      </c>
    </row>
    <row r="147">
      <c r="A147" s="1" t="s">
        <v>566</v>
      </c>
      <c r="B147" s="1" t="s">
        <v>2471</v>
      </c>
      <c r="C147" s="1" t="s">
        <v>2472</v>
      </c>
      <c r="D147" s="1" t="s">
        <v>91</v>
      </c>
      <c r="E147" s="15"/>
      <c r="F147" s="16" t="str">
        <f>ifna(VLOOKUP($A147,ConstantsUnits!$A:$C,3,false),"")</f>
        <v>HertzKelvinRelationship</v>
      </c>
      <c r="G147" s="17" t="str">
        <f t="shared" si="1"/>
        <v>4.7992434e-11</v>
      </c>
      <c r="H147" s="17">
        <f t="shared" si="2"/>
        <v>0</v>
      </c>
      <c r="I147" s="17" t="str">
        <f t="shared" si="3"/>
        <v>0.0000044e-11</v>
      </c>
      <c r="J147" s="17">
        <f t="shared" si="4"/>
        <v>0</v>
      </c>
      <c r="K147" s="17" t="b">
        <f t="shared" si="5"/>
        <v>0</v>
      </c>
      <c r="L147" s="16" t="str">
        <f>IFERROR(__xludf.DUMMYFUNCTION("if(regexmatch(B147,""e(.*)$""),regexextract(B147,""e(.*)$""),"""")"),"-11")</f>
        <v>-11</v>
      </c>
      <c r="M147" s="16"/>
      <c r="N147" s="18">
        <f>countif(ConstantsUnits!C:C,F147)</f>
        <v>1</v>
      </c>
      <c r="O147" s="16" t="str">
        <f>VLOOKUP(A147,ConstantsUnits!A:A,1,false)</f>
        <v>hertz-kelvin relationship</v>
      </c>
    </row>
    <row r="148">
      <c r="A148" s="1" t="s">
        <v>569</v>
      </c>
      <c r="B148" s="1" t="s">
        <v>2473</v>
      </c>
      <c r="C148" s="1" t="s">
        <v>2474</v>
      </c>
      <c r="D148" s="1" t="s">
        <v>38</v>
      </c>
      <c r="E148" s="15"/>
      <c r="F148" s="16" t="str">
        <f>ifna(VLOOKUP($A148,ConstantsUnits!$A:$C,3,false),"")</f>
        <v>HertzKilogramRelationship</v>
      </c>
      <c r="G148" s="17" t="str">
        <f t="shared" si="1"/>
        <v>7.37249668e-51</v>
      </c>
      <c r="H148" s="17">
        <f t="shared" si="2"/>
        <v>0</v>
      </c>
      <c r="I148" s="17" t="str">
        <f t="shared" si="3"/>
        <v>0.00000033e-51</v>
      </c>
      <c r="J148" s="17">
        <f t="shared" si="4"/>
        <v>0</v>
      </c>
      <c r="K148" s="17" t="b">
        <f t="shared" si="5"/>
        <v>0</v>
      </c>
      <c r="L148" s="16" t="str">
        <f>IFERROR(__xludf.DUMMYFUNCTION("if(regexmatch(B148,""e(.*)$""),regexextract(B148,""e(.*)$""),"""")"),"-51")</f>
        <v>-51</v>
      </c>
      <c r="M148" s="16"/>
      <c r="N148" s="18">
        <f>countif(ConstantsUnits!C:C,F148)</f>
        <v>1</v>
      </c>
      <c r="O148" s="16" t="str">
        <f>VLOOKUP(A148,ConstantsUnits!A:A,1,false)</f>
        <v>hertz-kilogram relationship</v>
      </c>
    </row>
    <row r="149">
      <c r="A149" s="1" t="s">
        <v>574</v>
      </c>
      <c r="B149" s="1" t="s">
        <v>2475</v>
      </c>
      <c r="C149" s="1" t="s">
        <v>2476</v>
      </c>
      <c r="E149" s="15"/>
      <c r="F149" s="16" t="str">
        <f>ifna(VLOOKUP($A149,ConstantsUnits!$A:$C,3,false),"")</f>
        <v>InverseFineStructureConstant</v>
      </c>
      <c r="G149" s="17" t="str">
        <f t="shared" si="1"/>
        <v>137.035999074</v>
      </c>
      <c r="H149" s="17">
        <f t="shared" si="2"/>
        <v>137.0359991</v>
      </c>
      <c r="I149" s="17" t="str">
        <f t="shared" si="3"/>
        <v>0.000000044</v>
      </c>
      <c r="J149" s="17">
        <f t="shared" si="4"/>
        <v>0.000000044</v>
      </c>
      <c r="K149" s="17" t="b">
        <f t="shared" si="5"/>
        <v>0</v>
      </c>
      <c r="L149" s="16" t="str">
        <f>IFERROR(__xludf.DUMMYFUNCTION("if(regexmatch(B149,""e(.*)$""),regexextract(B149,""e(.*)$""),"""")"),"")</f>
        <v/>
      </c>
      <c r="M149" s="16"/>
      <c r="N149" s="18">
        <f>countif(ConstantsUnits!C:C,F149)</f>
        <v>1</v>
      </c>
      <c r="O149" s="16" t="str">
        <f>VLOOKUP(A149,ConstantsUnits!A:A,1,false)</f>
        <v>inverse fine-structure constant</v>
      </c>
    </row>
    <row r="150">
      <c r="A150" s="1" t="s">
        <v>577</v>
      </c>
      <c r="B150" s="1" t="s">
        <v>2477</v>
      </c>
      <c r="C150" s="1" t="s">
        <v>2478</v>
      </c>
      <c r="D150" s="1" t="s">
        <v>48</v>
      </c>
      <c r="E150" s="15"/>
      <c r="F150" s="16" t="str">
        <f>ifna(VLOOKUP($A150,ConstantsUnits!$A:$C,3,false),"")</f>
        <v>InverseMeterAtomicMassUnitRelationship</v>
      </c>
      <c r="G150" s="17" t="str">
        <f t="shared" si="1"/>
        <v>1.33102505120e-15</v>
      </c>
      <c r="H150" s="17">
        <f t="shared" si="2"/>
        <v>0</v>
      </c>
      <c r="I150" s="17" t="str">
        <f t="shared" si="3"/>
        <v>0.00000000094e-15</v>
      </c>
      <c r="J150" s="17">
        <f t="shared" si="4"/>
        <v>0</v>
      </c>
      <c r="K150" s="17" t="b">
        <f t="shared" si="5"/>
        <v>0</v>
      </c>
      <c r="L150" s="16" t="str">
        <f>IFERROR(__xludf.DUMMYFUNCTION("if(regexmatch(B150,""e(.*)$""),regexextract(B150,""e(.*)$""),"""")"),"-15")</f>
        <v>-15</v>
      </c>
      <c r="M150" s="16"/>
      <c r="N150" s="18">
        <f>countif(ConstantsUnits!C:C,F150)</f>
        <v>1</v>
      </c>
      <c r="O150" s="16" t="str">
        <f>VLOOKUP(A150,ConstantsUnits!A:A,1,false)</f>
        <v>inverse meter-atomic mass unit relationship</v>
      </c>
    </row>
    <row r="151">
      <c r="A151" s="1" t="s">
        <v>580</v>
      </c>
      <c r="B151" s="1" t="s">
        <v>2479</v>
      </c>
      <c r="C151" s="1" t="s">
        <v>2480</v>
      </c>
      <c r="D151" s="1" t="s">
        <v>70</v>
      </c>
      <c r="E151" s="15"/>
      <c r="F151" s="16" t="str">
        <f>ifna(VLOOKUP($A151,ConstantsUnits!$A:$C,3,false),"")</f>
        <v>InverseMeterElectronVoltRelationship</v>
      </c>
      <c r="G151" s="17" t="str">
        <f t="shared" si="1"/>
        <v>1.239841930e-6</v>
      </c>
      <c r="H151" s="17">
        <f t="shared" si="2"/>
        <v>0.00000123984193</v>
      </c>
      <c r="I151" s="17" t="str">
        <f t="shared" si="3"/>
        <v>0.000000027e-6</v>
      </c>
      <c r="J151" s="17">
        <f t="shared" si="4"/>
        <v>0</v>
      </c>
      <c r="K151" s="17" t="b">
        <f t="shared" si="5"/>
        <v>0</v>
      </c>
      <c r="L151" s="16" t="str">
        <f>IFERROR(__xludf.DUMMYFUNCTION("if(regexmatch(B151,""e(.*)$""),regexextract(B151,""e(.*)$""),"""")"),"-6")</f>
        <v>-6</v>
      </c>
      <c r="M151" s="16"/>
      <c r="N151" s="18">
        <f>countif(ConstantsUnits!C:C,F151)</f>
        <v>1</v>
      </c>
      <c r="O151" s="16" t="str">
        <f>VLOOKUP(A151,ConstantsUnits!A:A,1,false)</f>
        <v>inverse meter-electron volt relationship</v>
      </c>
    </row>
    <row r="152">
      <c r="A152" s="1" t="s">
        <v>583</v>
      </c>
      <c r="B152" s="1" t="s">
        <v>2481</v>
      </c>
      <c r="C152" s="1" t="s">
        <v>2482</v>
      </c>
      <c r="D152" s="1" t="s">
        <v>74</v>
      </c>
      <c r="E152" s="15"/>
      <c r="F152" s="16" t="str">
        <f>ifna(VLOOKUP($A152,ConstantsUnits!$A:$C,3,false),"")</f>
        <v>InverseMeterHartreeRelationship</v>
      </c>
      <c r="G152" s="17" t="str">
        <f t="shared" si="1"/>
        <v>4.556335252755e-8</v>
      </c>
      <c r="H152" s="17">
        <f t="shared" si="2"/>
        <v>0.00000004556335253</v>
      </c>
      <c r="I152" s="17" t="str">
        <f t="shared" si="3"/>
        <v>0.000000000023e-8</v>
      </c>
      <c r="J152" s="17">
        <f t="shared" si="4"/>
        <v>0</v>
      </c>
      <c r="K152" s="17" t="b">
        <f t="shared" si="5"/>
        <v>0</v>
      </c>
      <c r="L152" s="16" t="str">
        <f>IFERROR(__xludf.DUMMYFUNCTION("if(regexmatch(B152,""e(.*)$""),regexextract(B152,""e(.*)$""),"""")"),"-8")</f>
        <v>-8</v>
      </c>
      <c r="M152" s="16"/>
      <c r="N152" s="18">
        <f>countif(ConstantsUnits!C:C,F152)</f>
        <v>1</v>
      </c>
      <c r="O152" s="16" t="str">
        <f>VLOOKUP(A152,ConstantsUnits!A:A,1,false)</f>
        <v>inverse meter-hartree relationship</v>
      </c>
    </row>
    <row r="153">
      <c r="A153" s="1" t="s">
        <v>586</v>
      </c>
      <c r="B153" s="1" t="s">
        <v>1445</v>
      </c>
      <c r="C153" s="1" t="s">
        <v>1232</v>
      </c>
      <c r="D153" s="1" t="s">
        <v>79</v>
      </c>
      <c r="E153" s="15"/>
      <c r="F153" s="16" t="str">
        <f>ifna(VLOOKUP($A153,ConstantsUnits!$A:$C,3,false),"")</f>
        <v>InverseMeterHertzRelationship</v>
      </c>
      <c r="G153" s="17" t="str">
        <f t="shared" si="1"/>
        <v>299792458</v>
      </c>
      <c r="H153" s="17">
        <f t="shared" si="2"/>
        <v>299792458</v>
      </c>
      <c r="I153" s="17" t="str">
        <f t="shared" si="3"/>
        <v>(exact)</v>
      </c>
      <c r="J153" s="17" t="str">
        <f t="shared" si="4"/>
        <v/>
      </c>
      <c r="K153" s="17" t="b">
        <f t="shared" si="5"/>
        <v>0</v>
      </c>
      <c r="L153" s="16" t="str">
        <f>IFERROR(__xludf.DUMMYFUNCTION("if(regexmatch(B153,""e(.*)$""),regexextract(B153,""e(.*)$""),"""")"),"")</f>
        <v/>
      </c>
      <c r="M153" s="16"/>
      <c r="N153" s="18">
        <f>countif(ConstantsUnits!C:C,F153)</f>
        <v>1</v>
      </c>
      <c r="O153" s="16" t="str">
        <f>VLOOKUP(A153,ConstantsUnits!A:A,1,false)</f>
        <v>inverse meter-hertz relationship</v>
      </c>
    </row>
    <row r="154">
      <c r="A154" s="1" t="s">
        <v>589</v>
      </c>
      <c r="B154" s="1" t="s">
        <v>2483</v>
      </c>
      <c r="C154" s="1" t="s">
        <v>2484</v>
      </c>
      <c r="D154" s="1" t="s">
        <v>41</v>
      </c>
      <c r="E154" s="15"/>
      <c r="F154" s="16" t="str">
        <f>ifna(VLOOKUP($A154,ConstantsUnits!$A:$C,3,false),"")</f>
        <v>InverseMeterJouleRelationship</v>
      </c>
      <c r="G154" s="17" t="str">
        <f t="shared" si="1"/>
        <v>1.986445684e-25</v>
      </c>
      <c r="H154" s="17">
        <f t="shared" si="2"/>
        <v>0</v>
      </c>
      <c r="I154" s="17" t="str">
        <f t="shared" si="3"/>
        <v>0.000000088e-25</v>
      </c>
      <c r="J154" s="17">
        <f t="shared" si="4"/>
        <v>0</v>
      </c>
      <c r="K154" s="17" t="b">
        <f t="shared" si="5"/>
        <v>0</v>
      </c>
      <c r="L154" s="16" t="str">
        <f>IFERROR(__xludf.DUMMYFUNCTION("if(regexmatch(B154,""e(.*)$""),regexextract(B154,""e(.*)$""),"""")"),"-25")</f>
        <v>-25</v>
      </c>
      <c r="M154" s="16"/>
      <c r="N154" s="18">
        <f>countif(ConstantsUnits!C:C,F154)</f>
        <v>1</v>
      </c>
      <c r="O154" s="16" t="str">
        <f>VLOOKUP(A154,ConstantsUnits!A:A,1,false)</f>
        <v>inverse meter-joule relationship</v>
      </c>
    </row>
    <row r="155">
      <c r="A155" s="1" t="s">
        <v>592</v>
      </c>
      <c r="B155" s="1" t="s">
        <v>2485</v>
      </c>
      <c r="C155" s="1" t="s">
        <v>2486</v>
      </c>
      <c r="D155" s="1" t="s">
        <v>91</v>
      </c>
      <c r="E155" s="15"/>
      <c r="F155" s="16" t="str">
        <f>ifna(VLOOKUP($A155,ConstantsUnits!$A:$C,3,false),"")</f>
        <v>InverseMeterKelvinRelationship</v>
      </c>
      <c r="G155" s="17" t="str">
        <f t="shared" si="1"/>
        <v>1.4387770e-2</v>
      </c>
      <c r="H155" s="17">
        <f t="shared" si="2"/>
        <v>0.01438777</v>
      </c>
      <c r="I155" s="17" t="str">
        <f t="shared" si="3"/>
        <v>0.0000013e-2</v>
      </c>
      <c r="J155" s="17">
        <f t="shared" si="4"/>
        <v>0.000000013</v>
      </c>
      <c r="K155" s="17" t="b">
        <f t="shared" si="5"/>
        <v>0</v>
      </c>
      <c r="L155" s="16" t="str">
        <f>IFERROR(__xludf.DUMMYFUNCTION("if(regexmatch(B155,""e(.*)$""),regexextract(B155,""e(.*)$""),"""")"),"-2")</f>
        <v>-2</v>
      </c>
      <c r="M155" s="16"/>
      <c r="N155" s="18">
        <f>countif(ConstantsUnits!C:C,F155)</f>
        <v>1</v>
      </c>
      <c r="O155" s="16" t="str">
        <f>VLOOKUP(A155,ConstantsUnits!A:A,1,false)</f>
        <v>inverse meter-kelvin relationship</v>
      </c>
    </row>
    <row r="156">
      <c r="A156" s="1" t="s">
        <v>595</v>
      </c>
      <c r="B156" s="1" t="s">
        <v>2487</v>
      </c>
      <c r="C156" s="1" t="s">
        <v>2488</v>
      </c>
      <c r="D156" s="1" t="s">
        <v>38</v>
      </c>
      <c r="E156" s="15"/>
      <c r="F156" s="16" t="str">
        <f>ifna(VLOOKUP($A156,ConstantsUnits!$A:$C,3,false),"")</f>
        <v>InverseMeterKilogramRelationship</v>
      </c>
      <c r="G156" s="17" t="str">
        <f t="shared" si="1"/>
        <v>2.210218902e-42</v>
      </c>
      <c r="H156" s="17">
        <f t="shared" si="2"/>
        <v>0</v>
      </c>
      <c r="I156" s="17" t="str">
        <f t="shared" si="3"/>
        <v>0.000000098e-42</v>
      </c>
      <c r="J156" s="17">
        <f t="shared" si="4"/>
        <v>0</v>
      </c>
      <c r="K156" s="17" t="b">
        <f t="shared" si="5"/>
        <v>0</v>
      </c>
      <c r="L156" s="16" t="str">
        <f>IFERROR(__xludf.DUMMYFUNCTION("if(regexmatch(B156,""e(.*)$""),regexextract(B156,""e(.*)$""),"""")"),"-42")</f>
        <v>-42</v>
      </c>
      <c r="M156" s="16"/>
      <c r="N156" s="18">
        <f>countif(ConstantsUnits!C:C,F156)</f>
        <v>1</v>
      </c>
      <c r="O156" s="16" t="str">
        <f>VLOOKUP(A156,ConstantsUnits!A:A,1,false)</f>
        <v>inverse meter-kilogram relationship</v>
      </c>
    </row>
    <row r="157">
      <c r="A157" s="1" t="s">
        <v>598</v>
      </c>
      <c r="B157" s="1" t="s">
        <v>2489</v>
      </c>
      <c r="C157" s="1" t="s">
        <v>2490</v>
      </c>
      <c r="D157" s="1" t="s">
        <v>252</v>
      </c>
      <c r="E157" s="15"/>
      <c r="F157" s="16" t="str">
        <f>ifna(VLOOKUP($A157,ConstantsUnits!$A:$C,3,false),"")</f>
        <v>InverseOfConductanceQuantum</v>
      </c>
      <c r="G157" s="17" t="str">
        <f t="shared" si="1"/>
        <v>12906.4037217</v>
      </c>
      <c r="H157" s="17">
        <f t="shared" si="2"/>
        <v>12906.40372</v>
      </c>
      <c r="I157" s="17" t="str">
        <f t="shared" si="3"/>
        <v>0.0000042</v>
      </c>
      <c r="J157" s="17">
        <f t="shared" si="4"/>
        <v>0.0000042</v>
      </c>
      <c r="K157" s="17" t="b">
        <f t="shared" si="5"/>
        <v>0</v>
      </c>
      <c r="L157" s="16" t="str">
        <f>IFERROR(__xludf.DUMMYFUNCTION("if(regexmatch(B157,""e(.*)$""),regexextract(B157,""e(.*)$""),"""")"),"")</f>
        <v/>
      </c>
      <c r="M157" s="16"/>
      <c r="N157" s="18">
        <f>countif(ConstantsUnits!C:C,F157)</f>
        <v>1</v>
      </c>
      <c r="O157" s="16" t="str">
        <f>VLOOKUP(A157,ConstantsUnits!A:A,1,false)</f>
        <v>inverse of conductance quantum</v>
      </c>
    </row>
    <row r="158">
      <c r="A158" s="1" t="s">
        <v>601</v>
      </c>
      <c r="B158" s="1" t="s">
        <v>2491</v>
      </c>
      <c r="C158" s="19" t="s">
        <v>2492</v>
      </c>
      <c r="D158" s="1" t="s">
        <v>280</v>
      </c>
      <c r="E158" s="15"/>
      <c r="F158" s="16" t="str">
        <f>ifna(VLOOKUP($A158,ConstantsUnits!$A:$C,3,false),"")</f>
        <v>JosephsonConstant</v>
      </c>
      <c r="G158" s="17" t="str">
        <f t="shared" si="1"/>
        <v>483597.870e9</v>
      </c>
      <c r="H158" s="17">
        <f t="shared" si="2"/>
        <v>483597870000000</v>
      </c>
      <c r="I158" s="17" t="str">
        <f t="shared" si="3"/>
        <v>0.011e9</v>
      </c>
      <c r="J158" s="17">
        <f t="shared" si="4"/>
        <v>11000000</v>
      </c>
      <c r="K158" s="17" t="b">
        <f t="shared" si="5"/>
        <v>0</v>
      </c>
      <c r="L158" s="16" t="str">
        <f>IFERROR(__xludf.DUMMYFUNCTION("if(regexmatch(B158,""e(.*)$""),regexextract(B158,""e(.*)$""),"""")"),"9")</f>
        <v>9</v>
      </c>
      <c r="M158" s="16"/>
      <c r="N158" s="18">
        <f>countif(ConstantsUnits!C:C,F158)</f>
        <v>1</v>
      </c>
      <c r="O158" s="16" t="str">
        <f>VLOOKUP(A158,ConstantsUnits!A:A,1,false)</f>
        <v>Josephson constant</v>
      </c>
    </row>
    <row r="159">
      <c r="A159" s="1" t="s">
        <v>604</v>
      </c>
      <c r="B159" s="1" t="s">
        <v>2493</v>
      </c>
      <c r="C159" s="1" t="s">
        <v>2494</v>
      </c>
      <c r="D159" s="1" t="s">
        <v>48</v>
      </c>
      <c r="E159" s="15"/>
      <c r="F159" s="16" t="str">
        <f>ifna(VLOOKUP($A159,ConstantsUnits!$A:$C,3,false),"")</f>
        <v>JouleAtomicMassUnitRelationship</v>
      </c>
      <c r="G159" s="17" t="str">
        <f t="shared" si="1"/>
        <v>6.70053585e9</v>
      </c>
      <c r="H159" s="17">
        <f t="shared" si="2"/>
        <v>6700535850</v>
      </c>
      <c r="I159" s="17" t="str">
        <f t="shared" si="3"/>
        <v>0.00000030e9</v>
      </c>
      <c r="J159" s="17">
        <f t="shared" si="4"/>
        <v>300</v>
      </c>
      <c r="K159" s="17" t="b">
        <f t="shared" si="5"/>
        <v>0</v>
      </c>
      <c r="L159" s="16" t="str">
        <f>IFERROR(__xludf.DUMMYFUNCTION("if(regexmatch(B159,""e(.*)$""),regexextract(B159,""e(.*)$""),"""")"),"9")</f>
        <v>9</v>
      </c>
      <c r="M159" s="16"/>
      <c r="N159" s="18">
        <f>countif(ConstantsUnits!C:C,F159)</f>
        <v>1</v>
      </c>
      <c r="O159" s="16" t="str">
        <f>VLOOKUP(A159,ConstantsUnits!A:A,1,false)</f>
        <v>joule-atomic mass unit relationship</v>
      </c>
    </row>
    <row r="160">
      <c r="A160" s="1" t="s">
        <v>607</v>
      </c>
      <c r="B160" s="1" t="s">
        <v>2495</v>
      </c>
      <c r="C160" s="1" t="s">
        <v>2496</v>
      </c>
      <c r="D160" s="1" t="s">
        <v>70</v>
      </c>
      <c r="E160" s="15"/>
      <c r="F160" s="16" t="str">
        <f>ifna(VLOOKUP($A160,ConstantsUnits!$A:$C,3,false),"")</f>
        <v>JouleElectronVoltRelationship</v>
      </c>
      <c r="G160" s="17" t="str">
        <f t="shared" si="1"/>
        <v>6.24150934e18</v>
      </c>
      <c r="H160" s="17">
        <f t="shared" si="2"/>
        <v>6.24151E+18</v>
      </c>
      <c r="I160" s="17" t="str">
        <f t="shared" si="3"/>
        <v>0.00000014e18</v>
      </c>
      <c r="J160" s="17">
        <f t="shared" si="4"/>
        <v>140000000000</v>
      </c>
      <c r="K160" s="17" t="b">
        <f t="shared" si="5"/>
        <v>0</v>
      </c>
      <c r="L160" s="16" t="str">
        <f>IFERROR(__xludf.DUMMYFUNCTION("if(regexmatch(B160,""e(.*)$""),regexextract(B160,""e(.*)$""),"""")"),"18")</f>
        <v>18</v>
      </c>
      <c r="M160" s="16"/>
      <c r="N160" s="18">
        <f>countif(ConstantsUnits!C:C,F160)</f>
        <v>1</v>
      </c>
      <c r="O160" s="16" t="str">
        <f>VLOOKUP(A160,ConstantsUnits!A:A,1,false)</f>
        <v>joule-electron volt relationship</v>
      </c>
    </row>
    <row r="161">
      <c r="A161" s="1" t="s">
        <v>610</v>
      </c>
      <c r="B161" s="1" t="s">
        <v>2497</v>
      </c>
      <c r="C161" s="1" t="s">
        <v>2498</v>
      </c>
      <c r="D161" s="1" t="s">
        <v>74</v>
      </c>
      <c r="E161" s="15"/>
      <c r="F161" s="16" t="str">
        <f>ifna(VLOOKUP($A161,ConstantsUnits!$A:$C,3,false),"")</f>
        <v>JouleHartreeRelationship</v>
      </c>
      <c r="G161" s="17" t="str">
        <f t="shared" si="1"/>
        <v>2.29371248e17</v>
      </c>
      <c r="H161" s="17">
        <f t="shared" si="2"/>
        <v>2.29371E+17</v>
      </c>
      <c r="I161" s="17" t="str">
        <f t="shared" si="3"/>
        <v>0.00000010e17</v>
      </c>
      <c r="J161" s="17">
        <f t="shared" si="4"/>
        <v>10000000000</v>
      </c>
      <c r="K161" s="17" t="b">
        <f t="shared" si="5"/>
        <v>0</v>
      </c>
      <c r="L161" s="16" t="str">
        <f>IFERROR(__xludf.DUMMYFUNCTION("if(regexmatch(B161,""e(.*)$""),regexextract(B161,""e(.*)$""),"""")"),"17")</f>
        <v>17</v>
      </c>
      <c r="M161" s="16"/>
      <c r="N161" s="18">
        <f>countif(ConstantsUnits!C:C,F161)</f>
        <v>1</v>
      </c>
      <c r="O161" s="16" t="str">
        <f>VLOOKUP(A161,ConstantsUnits!A:A,1,false)</f>
        <v>joule-hartree relationship</v>
      </c>
    </row>
    <row r="162">
      <c r="A162" s="1" t="s">
        <v>613</v>
      </c>
      <c r="B162" s="1" t="s">
        <v>2499</v>
      </c>
      <c r="C162" s="1" t="s">
        <v>2500</v>
      </c>
      <c r="D162" s="1" t="s">
        <v>79</v>
      </c>
      <c r="E162" s="15"/>
      <c r="F162" s="16" t="str">
        <f>ifna(VLOOKUP($A162,ConstantsUnits!$A:$C,3,false),"")</f>
        <v>JouleHertzRelationship</v>
      </c>
      <c r="G162" s="17" t="str">
        <f t="shared" si="1"/>
        <v>1.509190311e33</v>
      </c>
      <c r="H162" s="17">
        <f t="shared" si="2"/>
        <v>1.50919E+33</v>
      </c>
      <c r="I162" s="17" t="str">
        <f t="shared" si="3"/>
        <v>0.000000067e33</v>
      </c>
      <c r="J162" s="17">
        <f t="shared" si="4"/>
        <v>6.7E+25</v>
      </c>
      <c r="K162" s="17" t="b">
        <f t="shared" si="5"/>
        <v>0</v>
      </c>
      <c r="L162" s="16" t="str">
        <f>IFERROR(__xludf.DUMMYFUNCTION("if(regexmatch(B162,""e(.*)$""),regexextract(B162,""e(.*)$""),"""")"),"33")</f>
        <v>33</v>
      </c>
      <c r="M162" s="16"/>
      <c r="N162" s="18">
        <f>countif(ConstantsUnits!C:C,F162)</f>
        <v>1</v>
      </c>
      <c r="O162" s="16" t="str">
        <f>VLOOKUP(A162,ConstantsUnits!A:A,1,false)</f>
        <v>joule-hertz relationship</v>
      </c>
    </row>
    <row r="163">
      <c r="A163" s="1" t="s">
        <v>616</v>
      </c>
      <c r="B163" s="1" t="s">
        <v>2501</v>
      </c>
      <c r="C163" s="1" t="s">
        <v>2502</v>
      </c>
      <c r="D163" s="1" t="s">
        <v>83</v>
      </c>
      <c r="E163" s="15"/>
      <c r="F163" s="16" t="str">
        <f>ifna(VLOOKUP($A163,ConstantsUnits!$A:$C,3,false),"")</f>
        <v>JouleInverseMeterRelationship</v>
      </c>
      <c r="G163" s="17" t="str">
        <f t="shared" si="1"/>
        <v>5.03411701e24</v>
      </c>
      <c r="H163" s="17">
        <f t="shared" si="2"/>
        <v>5.03412E+24</v>
      </c>
      <c r="I163" s="17" t="str">
        <f t="shared" si="3"/>
        <v>0.00000022e24</v>
      </c>
      <c r="J163" s="17">
        <f t="shared" si="4"/>
        <v>2.2E+17</v>
      </c>
      <c r="K163" s="17" t="b">
        <f t="shared" si="5"/>
        <v>0</v>
      </c>
      <c r="L163" s="16" t="str">
        <f>IFERROR(__xludf.DUMMYFUNCTION("if(regexmatch(B163,""e(.*)$""),regexextract(B163,""e(.*)$""),"""")"),"24")</f>
        <v>24</v>
      </c>
      <c r="M163" s="16"/>
      <c r="N163" s="18">
        <f>countif(ConstantsUnits!C:C,F163)</f>
        <v>1</v>
      </c>
      <c r="O163" s="16" t="str">
        <f>VLOOKUP(A163,ConstantsUnits!A:A,1,false)</f>
        <v>joule-inverse meter relationship</v>
      </c>
    </row>
    <row r="164">
      <c r="A164" s="1" t="s">
        <v>619</v>
      </c>
      <c r="B164" s="1" t="s">
        <v>2503</v>
      </c>
      <c r="C164" s="1" t="s">
        <v>2504</v>
      </c>
      <c r="D164" s="1" t="s">
        <v>91</v>
      </c>
      <c r="E164" s="15"/>
      <c r="F164" s="16" t="str">
        <f>ifna(VLOOKUP($A164,ConstantsUnits!$A:$C,3,false),"")</f>
        <v>JouleKelvinRelationship</v>
      </c>
      <c r="G164" s="17" t="str">
        <f t="shared" si="1"/>
        <v>7.2429716e22</v>
      </c>
      <c r="H164" s="17">
        <f t="shared" si="2"/>
        <v>7.24297E+22</v>
      </c>
      <c r="I164" s="17" t="str">
        <f t="shared" si="3"/>
        <v>0.0000066e22</v>
      </c>
      <c r="J164" s="17">
        <f t="shared" si="4"/>
        <v>6.6E+16</v>
      </c>
      <c r="K164" s="17" t="b">
        <f t="shared" si="5"/>
        <v>0</v>
      </c>
      <c r="L164" s="16" t="str">
        <f>IFERROR(__xludf.DUMMYFUNCTION("if(regexmatch(B164,""e(.*)$""),regexextract(B164,""e(.*)$""),"""")"),"22")</f>
        <v>22</v>
      </c>
      <c r="M164" s="16"/>
      <c r="N164" s="18">
        <f>countif(ConstantsUnits!C:C,F164)</f>
        <v>1</v>
      </c>
      <c r="O164" s="16" t="str">
        <f>VLOOKUP(A164,ConstantsUnits!A:A,1,false)</f>
        <v>joule-kelvin relationship</v>
      </c>
    </row>
    <row r="165">
      <c r="A165" s="1" t="s">
        <v>622</v>
      </c>
      <c r="B165" s="1" t="s">
        <v>1459</v>
      </c>
      <c r="C165" s="1" t="s">
        <v>1232</v>
      </c>
      <c r="D165" s="1" t="s">
        <v>38</v>
      </c>
      <c r="E165" s="15"/>
      <c r="F165" s="16" t="str">
        <f>ifna(VLOOKUP($A165,ConstantsUnits!$A:$C,3,false),"")</f>
        <v>JouleKilogramRelationship</v>
      </c>
      <c r="G165" s="17" t="str">
        <f t="shared" si="1"/>
        <v>1.112650056e-17</v>
      </c>
      <c r="H165" s="17">
        <f t="shared" si="2"/>
        <v>0</v>
      </c>
      <c r="I165" s="17" t="str">
        <f t="shared" si="3"/>
        <v>(exact)</v>
      </c>
      <c r="J165" s="17" t="str">
        <f t="shared" si="4"/>
        <v/>
      </c>
      <c r="K165" s="17" t="b">
        <f t="shared" si="5"/>
        <v>1</v>
      </c>
      <c r="L165" s="16" t="str">
        <f>IFERROR(__xludf.DUMMYFUNCTION("if(regexmatch(B165,""e(.*)$""),regexextract(B165,""e(.*)$""),"""")"),"-17")</f>
        <v>-17</v>
      </c>
      <c r="M165" s="16"/>
      <c r="N165" s="18">
        <f>countif(ConstantsUnits!C:C,F165)</f>
        <v>1</v>
      </c>
      <c r="O165" s="16" t="str">
        <f>VLOOKUP(A165,ConstantsUnits!A:A,1,false)</f>
        <v>joule-kilogram relationship</v>
      </c>
    </row>
    <row r="166">
      <c r="A166" s="1" t="s">
        <v>625</v>
      </c>
      <c r="B166" s="1" t="s">
        <v>2505</v>
      </c>
      <c r="C166" s="1" t="s">
        <v>2506</v>
      </c>
      <c r="D166" s="1" t="s">
        <v>48</v>
      </c>
      <c r="E166" s="15"/>
      <c r="F166" s="16" t="str">
        <f>ifna(VLOOKUP($A166,ConstantsUnits!$A:$C,3,false),"")</f>
        <v>KelvinAtomicMassUnitRelationship</v>
      </c>
      <c r="G166" s="17" t="str">
        <f t="shared" si="1"/>
        <v>9.2510868e-14</v>
      </c>
      <c r="H166" s="17">
        <f t="shared" si="2"/>
        <v>0</v>
      </c>
      <c r="I166" s="17" t="str">
        <f t="shared" si="3"/>
        <v>0.0000084e-14</v>
      </c>
      <c r="J166" s="17">
        <f t="shared" si="4"/>
        <v>0</v>
      </c>
      <c r="K166" s="17" t="b">
        <f t="shared" si="5"/>
        <v>0</v>
      </c>
      <c r="L166" s="16" t="str">
        <f>IFERROR(__xludf.DUMMYFUNCTION("if(regexmatch(B166,""e(.*)$""),regexextract(B166,""e(.*)$""),"""")"),"-14")</f>
        <v>-14</v>
      </c>
      <c r="M166" s="16"/>
      <c r="N166" s="18">
        <f>countif(ConstantsUnits!C:C,F166)</f>
        <v>1</v>
      </c>
      <c r="O166" s="16" t="str">
        <f>VLOOKUP(A166,ConstantsUnits!A:A,1,false)</f>
        <v>kelvin-atomic mass unit relationship</v>
      </c>
    </row>
    <row r="167">
      <c r="A167" s="1" t="s">
        <v>628</v>
      </c>
      <c r="B167" s="1" t="s">
        <v>2337</v>
      </c>
      <c r="C167" s="1" t="s">
        <v>2338</v>
      </c>
      <c r="D167" s="1" t="s">
        <v>70</v>
      </c>
      <c r="E167" s="15"/>
      <c r="F167" s="16" t="str">
        <f>ifna(VLOOKUP($A167,ConstantsUnits!$A:$C,3,false),"")</f>
        <v>KelvinElectronVoltRelationship</v>
      </c>
      <c r="G167" s="17" t="str">
        <f t="shared" si="1"/>
        <v>8.6173324e-5</v>
      </c>
      <c r="H167" s="17">
        <f t="shared" si="2"/>
        <v>0.000086173324</v>
      </c>
      <c r="I167" s="17" t="str">
        <f t="shared" si="3"/>
        <v>0.0000078e-5</v>
      </c>
      <c r="J167" s="17">
        <f t="shared" si="4"/>
        <v>0</v>
      </c>
      <c r="K167" s="17" t="b">
        <f t="shared" si="5"/>
        <v>0</v>
      </c>
      <c r="L167" s="16" t="str">
        <f>IFERROR(__xludf.DUMMYFUNCTION("if(regexmatch(B167,""e(.*)$""),regexextract(B167,""e(.*)$""),"""")"),"-5")</f>
        <v>-5</v>
      </c>
      <c r="M167" s="16"/>
      <c r="N167" s="18">
        <f>countif(ConstantsUnits!C:C,F167)</f>
        <v>1</v>
      </c>
      <c r="O167" s="16" t="str">
        <f>VLOOKUP(A167,ConstantsUnits!A:A,1,false)</f>
        <v>kelvin-electron volt relationship</v>
      </c>
    </row>
    <row r="168">
      <c r="A168" s="1" t="s">
        <v>631</v>
      </c>
      <c r="B168" s="1" t="s">
        <v>2507</v>
      </c>
      <c r="C168" s="1" t="s">
        <v>2508</v>
      </c>
      <c r="D168" s="1" t="s">
        <v>74</v>
      </c>
      <c r="E168" s="15"/>
      <c r="F168" s="16" t="str">
        <f>ifna(VLOOKUP($A168,ConstantsUnits!$A:$C,3,false),"")</f>
        <v>KelvinHartreeRelationship</v>
      </c>
      <c r="G168" s="17" t="str">
        <f t="shared" si="1"/>
        <v>3.1668114e-6</v>
      </c>
      <c r="H168" s="17">
        <f t="shared" si="2"/>
        <v>0.0000031668114</v>
      </c>
      <c r="I168" s="17" t="str">
        <f t="shared" si="3"/>
        <v>0.0000029e-6</v>
      </c>
      <c r="J168" s="17">
        <f t="shared" si="4"/>
        <v>0</v>
      </c>
      <c r="K168" s="17" t="b">
        <f t="shared" si="5"/>
        <v>0</v>
      </c>
      <c r="L168" s="16" t="str">
        <f>IFERROR(__xludf.DUMMYFUNCTION("if(regexmatch(B168,""e(.*)$""),regexextract(B168,""e(.*)$""),"""")"),"-6")</f>
        <v>-6</v>
      </c>
      <c r="M168" s="16"/>
      <c r="N168" s="18">
        <f>countif(ConstantsUnits!C:C,F168)</f>
        <v>1</v>
      </c>
      <c r="O168" s="16" t="str">
        <f>VLOOKUP(A168,ConstantsUnits!A:A,1,false)</f>
        <v>kelvin-hartree relationship</v>
      </c>
    </row>
    <row r="169">
      <c r="A169" s="1" t="s">
        <v>634</v>
      </c>
      <c r="B169" s="1" t="s">
        <v>2339</v>
      </c>
      <c r="C169" s="1" t="s">
        <v>2340</v>
      </c>
      <c r="D169" s="1" t="s">
        <v>79</v>
      </c>
      <c r="E169" s="15"/>
      <c r="F169" s="16" t="str">
        <f>ifna(VLOOKUP($A169,ConstantsUnits!$A:$C,3,false),"")</f>
        <v>KelvinHertzRelationship</v>
      </c>
      <c r="G169" s="17" t="str">
        <f t="shared" si="1"/>
        <v>2.0836618e10</v>
      </c>
      <c r="H169" s="17">
        <f t="shared" si="2"/>
        <v>20836618000</v>
      </c>
      <c r="I169" s="17" t="str">
        <f t="shared" si="3"/>
        <v>0.0000019e10</v>
      </c>
      <c r="J169" s="17">
        <f t="shared" si="4"/>
        <v>19000</v>
      </c>
      <c r="K169" s="17" t="b">
        <f t="shared" si="5"/>
        <v>0</v>
      </c>
      <c r="L169" s="16" t="str">
        <f>IFERROR(__xludf.DUMMYFUNCTION("if(regexmatch(B169,""e(.*)$""),regexextract(B169,""e(.*)$""),"""")"),"10")</f>
        <v>10</v>
      </c>
      <c r="M169" s="16"/>
      <c r="N169" s="18">
        <f>countif(ConstantsUnits!C:C,F169)</f>
        <v>1</v>
      </c>
      <c r="O169" s="16" t="str">
        <f>VLOOKUP(A169,ConstantsUnits!A:A,1,false)</f>
        <v>kelvin-hertz relationship</v>
      </c>
    </row>
    <row r="170">
      <c r="A170" s="1" t="s">
        <v>637</v>
      </c>
      <c r="B170" s="1" t="s">
        <v>2341</v>
      </c>
      <c r="C170" s="1" t="s">
        <v>2342</v>
      </c>
      <c r="D170" s="1" t="s">
        <v>83</v>
      </c>
      <c r="E170" s="15"/>
      <c r="F170" s="16" t="str">
        <f>ifna(VLOOKUP($A170,ConstantsUnits!$A:$C,3,false),"")</f>
        <v>KelvinInverseMeterRelationship</v>
      </c>
      <c r="G170" s="17" t="str">
        <f t="shared" si="1"/>
        <v>69.503476</v>
      </c>
      <c r="H170" s="17">
        <f t="shared" si="2"/>
        <v>69.503476</v>
      </c>
      <c r="I170" s="17" t="str">
        <f t="shared" si="3"/>
        <v>0.000063</v>
      </c>
      <c r="J170" s="17">
        <f t="shared" si="4"/>
        <v>0.000063</v>
      </c>
      <c r="K170" s="17" t="b">
        <f t="shared" si="5"/>
        <v>0</v>
      </c>
      <c r="L170" s="16" t="str">
        <f>IFERROR(__xludf.DUMMYFUNCTION("if(regexmatch(B170,""e(.*)$""),regexextract(B170,""e(.*)$""),"""")"),"")</f>
        <v/>
      </c>
      <c r="M170" s="16"/>
      <c r="N170" s="18">
        <f>countif(ConstantsUnits!C:C,F170)</f>
        <v>1</v>
      </c>
      <c r="O170" s="16" t="str">
        <f>VLOOKUP(A170,ConstantsUnits!A:A,1,false)</f>
        <v>kelvin-inverse meter relationship</v>
      </c>
    </row>
    <row r="171">
      <c r="A171" s="1" t="s">
        <v>640</v>
      </c>
      <c r="B171" s="1" t="s">
        <v>2335</v>
      </c>
      <c r="C171" s="1" t="s">
        <v>2336</v>
      </c>
      <c r="D171" s="1" t="s">
        <v>41</v>
      </c>
      <c r="E171" s="15"/>
      <c r="F171" s="16" t="str">
        <f>ifna(VLOOKUP($A171,ConstantsUnits!$A:$C,3,false),"")</f>
        <v>KelvinJouleRelationship</v>
      </c>
      <c r="G171" s="17" t="str">
        <f t="shared" si="1"/>
        <v>1.3806488e-23</v>
      </c>
      <c r="H171" s="17">
        <f t="shared" si="2"/>
        <v>0</v>
      </c>
      <c r="I171" s="17" t="str">
        <f t="shared" si="3"/>
        <v>0.0000013e-23</v>
      </c>
      <c r="J171" s="17">
        <f t="shared" si="4"/>
        <v>0</v>
      </c>
      <c r="K171" s="17" t="b">
        <f t="shared" si="5"/>
        <v>0</v>
      </c>
      <c r="L171" s="16" t="str">
        <f>IFERROR(__xludf.DUMMYFUNCTION("if(regexmatch(B171,""e(.*)$""),regexextract(B171,""e(.*)$""),"""")"),"-23")</f>
        <v>-23</v>
      </c>
      <c r="M171" s="16"/>
      <c r="N171" s="18">
        <f>countif(ConstantsUnits!C:C,F171)</f>
        <v>1</v>
      </c>
      <c r="O171" s="16" t="str">
        <f>VLOOKUP(A171,ConstantsUnits!A:A,1,false)</f>
        <v>kelvin-joule relationship</v>
      </c>
    </row>
    <row r="172">
      <c r="A172" s="1" t="s">
        <v>643</v>
      </c>
      <c r="B172" s="1" t="s">
        <v>2509</v>
      </c>
      <c r="C172" s="1" t="s">
        <v>2510</v>
      </c>
      <c r="D172" s="1" t="s">
        <v>38</v>
      </c>
      <c r="E172" s="15"/>
      <c r="F172" s="16" t="str">
        <f>ifna(VLOOKUP($A172,ConstantsUnits!$A:$C,3,false),"")</f>
        <v>KelvinKilogramRelationship</v>
      </c>
      <c r="G172" s="17" t="str">
        <f t="shared" si="1"/>
        <v>1.5361790e-40</v>
      </c>
      <c r="H172" s="17">
        <f t="shared" si="2"/>
        <v>0</v>
      </c>
      <c r="I172" s="17" t="str">
        <f t="shared" si="3"/>
        <v>0.0000014e-40</v>
      </c>
      <c r="J172" s="17">
        <f t="shared" si="4"/>
        <v>0</v>
      </c>
      <c r="K172" s="17" t="b">
        <f t="shared" si="5"/>
        <v>0</v>
      </c>
      <c r="L172" s="16" t="str">
        <f>IFERROR(__xludf.DUMMYFUNCTION("if(regexmatch(B172,""e(.*)$""),regexextract(B172,""e(.*)$""),"""")"),"-40")</f>
        <v>-40</v>
      </c>
      <c r="M172" s="16"/>
      <c r="N172" s="18">
        <f>countif(ConstantsUnits!C:C,F172)</f>
        <v>1</v>
      </c>
      <c r="O172" s="16" t="str">
        <f>VLOOKUP(A172,ConstantsUnits!A:A,1,false)</f>
        <v>kelvin-kilogram relationship</v>
      </c>
    </row>
    <row r="173">
      <c r="A173" s="1" t="s">
        <v>646</v>
      </c>
      <c r="B173" s="1" t="s">
        <v>2511</v>
      </c>
      <c r="C173" s="1" t="s">
        <v>2512</v>
      </c>
      <c r="D173" s="1" t="s">
        <v>48</v>
      </c>
      <c r="E173" s="15"/>
      <c r="F173" s="16" t="str">
        <f>ifna(VLOOKUP($A173,ConstantsUnits!$A:$C,3,false),"")</f>
        <v>KilogramAtomicMassUnitRelationship</v>
      </c>
      <c r="G173" s="17" t="str">
        <f t="shared" si="1"/>
        <v>6.02214129e26</v>
      </c>
      <c r="H173" s="17">
        <f t="shared" si="2"/>
        <v>6.02214E+26</v>
      </c>
      <c r="I173" s="17" t="str">
        <f t="shared" si="3"/>
        <v>0.00000027e26</v>
      </c>
      <c r="J173" s="17">
        <f t="shared" si="4"/>
        <v>2.7E+19</v>
      </c>
      <c r="K173" s="17" t="b">
        <f t="shared" si="5"/>
        <v>0</v>
      </c>
      <c r="L173" s="16" t="str">
        <f>IFERROR(__xludf.DUMMYFUNCTION("if(regexmatch(B173,""e(.*)$""),regexextract(B173,""e(.*)$""),"""")"),"26")</f>
        <v>26</v>
      </c>
      <c r="M173" s="16"/>
      <c r="N173" s="18">
        <f>countif(ConstantsUnits!C:C,F173)</f>
        <v>1</v>
      </c>
      <c r="O173" s="16" t="str">
        <f>VLOOKUP(A173,ConstantsUnits!A:A,1,false)</f>
        <v>kilogram-atomic mass unit relationship</v>
      </c>
    </row>
    <row r="174">
      <c r="A174" s="1" t="s">
        <v>649</v>
      </c>
      <c r="B174" s="1" t="s">
        <v>2513</v>
      </c>
      <c r="C174" s="1" t="s">
        <v>2514</v>
      </c>
      <c r="D174" s="1" t="s">
        <v>70</v>
      </c>
      <c r="E174" s="15"/>
      <c r="F174" s="16" t="str">
        <f>ifna(VLOOKUP($A174,ConstantsUnits!$A:$C,3,false),"")</f>
        <v>KilogramElectronVoltRelationship</v>
      </c>
      <c r="G174" s="17" t="str">
        <f t="shared" si="1"/>
        <v>5.60958885e35</v>
      </c>
      <c r="H174" s="17">
        <f t="shared" si="2"/>
        <v>5.60959E+35</v>
      </c>
      <c r="I174" s="17" t="str">
        <f t="shared" si="3"/>
        <v>0.00000012e35</v>
      </c>
      <c r="J174" s="17">
        <f t="shared" si="4"/>
        <v>1.2E+28</v>
      </c>
      <c r="K174" s="17" t="b">
        <f t="shared" si="5"/>
        <v>0</v>
      </c>
      <c r="L174" s="16" t="str">
        <f>IFERROR(__xludf.DUMMYFUNCTION("if(regexmatch(B174,""e(.*)$""),regexextract(B174,""e(.*)$""),"""")"),"35")</f>
        <v>35</v>
      </c>
      <c r="M174" s="16"/>
      <c r="N174" s="18">
        <f>countif(ConstantsUnits!C:C,F174)</f>
        <v>1</v>
      </c>
      <c r="O174" s="16" t="str">
        <f>VLOOKUP(A174,ConstantsUnits!A:A,1,false)</f>
        <v>kilogram-electron volt relationship</v>
      </c>
    </row>
    <row r="175">
      <c r="A175" s="1" t="s">
        <v>652</v>
      </c>
      <c r="B175" s="1" t="s">
        <v>2515</v>
      </c>
      <c r="C175" s="1" t="s">
        <v>2516</v>
      </c>
      <c r="D175" s="1" t="s">
        <v>74</v>
      </c>
      <c r="E175" s="15"/>
      <c r="F175" s="16" t="str">
        <f>ifna(VLOOKUP($A175,ConstantsUnits!$A:$C,3,false),"")</f>
        <v>KilogramHartreeRelationship</v>
      </c>
      <c r="G175" s="17" t="str">
        <f t="shared" si="1"/>
        <v>2.061485968e34</v>
      </c>
      <c r="H175" s="17">
        <f t="shared" si="2"/>
        <v>2.06149E+34</v>
      </c>
      <c r="I175" s="17" t="str">
        <f t="shared" si="3"/>
        <v>0.000000091e34</v>
      </c>
      <c r="J175" s="17">
        <f t="shared" si="4"/>
        <v>9.1E+26</v>
      </c>
      <c r="K175" s="17" t="b">
        <f t="shared" si="5"/>
        <v>0</v>
      </c>
      <c r="L175" s="16" t="str">
        <f>IFERROR(__xludf.DUMMYFUNCTION("if(regexmatch(B175,""e(.*)$""),regexextract(B175,""e(.*)$""),"""")"),"34")</f>
        <v>34</v>
      </c>
      <c r="M175" s="16"/>
      <c r="N175" s="18">
        <f>countif(ConstantsUnits!C:C,F175)</f>
        <v>1</v>
      </c>
      <c r="O175" s="16" t="str">
        <f>VLOOKUP(A175,ConstantsUnits!A:A,1,false)</f>
        <v>kilogram-hartree relationship</v>
      </c>
    </row>
    <row r="176">
      <c r="A176" s="1" t="s">
        <v>655</v>
      </c>
      <c r="B176" s="1" t="s">
        <v>2517</v>
      </c>
      <c r="C176" s="1" t="s">
        <v>2518</v>
      </c>
      <c r="D176" s="1" t="s">
        <v>79</v>
      </c>
      <c r="E176" s="15"/>
      <c r="F176" s="16" t="str">
        <f>ifna(VLOOKUP($A176,ConstantsUnits!$A:$C,3,false),"")</f>
        <v>KilogramHertzRelationship</v>
      </c>
      <c r="G176" s="17" t="str">
        <f t="shared" si="1"/>
        <v>1.356392608e50</v>
      </c>
      <c r="H176" s="17">
        <f t="shared" si="2"/>
        <v>1.35639E+50</v>
      </c>
      <c r="I176" s="17" t="str">
        <f t="shared" si="3"/>
        <v>0.000000060e50</v>
      </c>
      <c r="J176" s="17">
        <f t="shared" si="4"/>
        <v>6E+42</v>
      </c>
      <c r="K176" s="17" t="b">
        <f t="shared" si="5"/>
        <v>0</v>
      </c>
      <c r="L176" s="16" t="str">
        <f>IFERROR(__xludf.DUMMYFUNCTION("if(regexmatch(B176,""e(.*)$""),regexextract(B176,""e(.*)$""),"""")"),"50")</f>
        <v>50</v>
      </c>
      <c r="M176" s="16"/>
      <c r="N176" s="18">
        <f>countif(ConstantsUnits!C:C,F176)</f>
        <v>1</v>
      </c>
      <c r="O176" s="16" t="str">
        <f>VLOOKUP(A176,ConstantsUnits!A:A,1,false)</f>
        <v>kilogram-hertz relationship</v>
      </c>
    </row>
    <row r="177">
      <c r="A177" s="1" t="s">
        <v>658</v>
      </c>
      <c r="B177" s="1" t="s">
        <v>2519</v>
      </c>
      <c r="C177" s="1" t="s">
        <v>2520</v>
      </c>
      <c r="D177" s="1" t="s">
        <v>83</v>
      </c>
      <c r="E177" s="15"/>
      <c r="F177" s="16" t="str">
        <f>ifna(VLOOKUP($A177,ConstantsUnits!$A:$C,3,false),"")</f>
        <v>KilogramInverseMeterRelationship</v>
      </c>
      <c r="G177" s="17" t="str">
        <f t="shared" si="1"/>
        <v>4.52443873e41</v>
      </c>
      <c r="H177" s="17">
        <f t="shared" si="2"/>
        <v>4.52444E+41</v>
      </c>
      <c r="I177" s="17" t="str">
        <f t="shared" si="3"/>
        <v>0.00000020e41</v>
      </c>
      <c r="J177" s="17">
        <f t="shared" si="4"/>
        <v>2E+34</v>
      </c>
      <c r="K177" s="17" t="b">
        <f t="shared" si="5"/>
        <v>0</v>
      </c>
      <c r="L177" s="16" t="str">
        <f>IFERROR(__xludf.DUMMYFUNCTION("if(regexmatch(B177,""e(.*)$""),regexextract(B177,""e(.*)$""),"""")"),"41")</f>
        <v>41</v>
      </c>
      <c r="M177" s="16"/>
      <c r="N177" s="18">
        <f>countif(ConstantsUnits!C:C,F177)</f>
        <v>1</v>
      </c>
      <c r="O177" s="16" t="str">
        <f>VLOOKUP(A177,ConstantsUnits!A:A,1,false)</f>
        <v>kilogram-inverse meter relationship</v>
      </c>
    </row>
    <row r="178">
      <c r="A178" s="1" t="s">
        <v>661</v>
      </c>
      <c r="B178" s="1" t="s">
        <v>1472</v>
      </c>
      <c r="C178" s="1" t="s">
        <v>1232</v>
      </c>
      <c r="D178" s="1" t="s">
        <v>41</v>
      </c>
      <c r="E178" s="15"/>
      <c r="F178" s="16" t="str">
        <f>ifna(VLOOKUP($A178,ConstantsUnits!$A:$C,3,false),"")</f>
        <v>KilogramJouleRelationship</v>
      </c>
      <c r="G178" s="17" t="str">
        <f t="shared" si="1"/>
        <v>8.987551787e16</v>
      </c>
      <c r="H178" s="17">
        <f t="shared" si="2"/>
        <v>8.98755E+16</v>
      </c>
      <c r="I178" s="17" t="str">
        <f t="shared" si="3"/>
        <v>(exact)</v>
      </c>
      <c r="J178" s="17" t="str">
        <f t="shared" si="4"/>
        <v/>
      </c>
      <c r="K178" s="17" t="b">
        <f t="shared" si="5"/>
        <v>1</v>
      </c>
      <c r="L178" s="16" t="str">
        <f>IFERROR(__xludf.DUMMYFUNCTION("if(regexmatch(B178,""e(.*)$""),regexextract(B178,""e(.*)$""),"""")"),"16")</f>
        <v>16</v>
      </c>
      <c r="M178" s="16"/>
      <c r="N178" s="18">
        <f>countif(ConstantsUnits!C:C,F178)</f>
        <v>1</v>
      </c>
      <c r="O178" s="16" t="str">
        <f>VLOOKUP(A178,ConstantsUnits!A:A,1,false)</f>
        <v>kilogram-joule relationship</v>
      </c>
    </row>
    <row r="179">
      <c r="A179" s="1" t="s">
        <v>664</v>
      </c>
      <c r="B179" s="1" t="s">
        <v>2521</v>
      </c>
      <c r="C179" s="1" t="s">
        <v>2522</v>
      </c>
      <c r="D179" s="1" t="s">
        <v>91</v>
      </c>
      <c r="E179" s="15"/>
      <c r="F179" s="16" t="str">
        <f>ifna(VLOOKUP($A179,ConstantsUnits!$A:$C,3,false),"")</f>
        <v>KilogramKelvinRelationship</v>
      </c>
      <c r="G179" s="17" t="str">
        <f t="shared" si="1"/>
        <v>6.5096582e39</v>
      </c>
      <c r="H179" s="17">
        <f t="shared" si="2"/>
        <v>6.50966E+39</v>
      </c>
      <c r="I179" s="17" t="str">
        <f t="shared" si="3"/>
        <v>0.0000059e39</v>
      </c>
      <c r="J179" s="17">
        <f t="shared" si="4"/>
        <v>5.9E+33</v>
      </c>
      <c r="K179" s="17" t="b">
        <f t="shared" si="5"/>
        <v>0</v>
      </c>
      <c r="L179" s="16" t="str">
        <f>IFERROR(__xludf.DUMMYFUNCTION("if(regexmatch(B179,""e(.*)$""),regexextract(B179,""e(.*)$""),"""")"),"39")</f>
        <v>39</v>
      </c>
      <c r="M179" s="16"/>
      <c r="N179" s="18">
        <f>countif(ConstantsUnits!C:C,F179)</f>
        <v>1</v>
      </c>
      <c r="O179" s="16" t="str">
        <f>VLOOKUP(A179,ConstantsUnits!A:A,1,false)</f>
        <v>kilogram-kelvin relationship</v>
      </c>
    </row>
    <row r="180">
      <c r="A180" s="1" t="s">
        <v>667</v>
      </c>
      <c r="B180" s="1" t="s">
        <v>2009</v>
      </c>
      <c r="C180" s="1" t="s">
        <v>2010</v>
      </c>
      <c r="D180" s="1" t="s">
        <v>59</v>
      </c>
      <c r="E180" s="15"/>
      <c r="F180" s="16" t="str">
        <f>ifna(VLOOKUP($A180,ConstantsUnits!$A:$C,3,false),"")</f>
        <v>LatticeParameterOfSilicon</v>
      </c>
      <c r="G180" s="17" t="str">
        <f t="shared" si="1"/>
        <v>543.1020504e-12</v>
      </c>
      <c r="H180" s="17">
        <f t="shared" si="2"/>
        <v>0.0000000005431020504</v>
      </c>
      <c r="I180" s="17" t="str">
        <f t="shared" si="3"/>
        <v>0.0000089e-12</v>
      </c>
      <c r="J180" s="17">
        <f t="shared" si="4"/>
        <v>0</v>
      </c>
      <c r="K180" s="17" t="b">
        <f t="shared" si="5"/>
        <v>0</v>
      </c>
      <c r="L180" s="16" t="str">
        <f>IFERROR(__xludf.DUMMYFUNCTION("if(regexmatch(B180,""e(.*)$""),regexextract(B180,""e(.*)$""),"""")"),"-12")</f>
        <v>-12</v>
      </c>
      <c r="M180" s="16"/>
      <c r="N180" s="18">
        <f>countif(ConstantsUnits!C:C,F180)</f>
        <v>1</v>
      </c>
      <c r="O180" s="16" t="str">
        <f>VLOOKUP(A180,ConstantsUnits!A:A,1,false)</f>
        <v>lattice parameter of silicon</v>
      </c>
    </row>
    <row r="181">
      <c r="A181" s="1" t="s">
        <v>673</v>
      </c>
      <c r="B181" s="1" t="s">
        <v>2523</v>
      </c>
      <c r="C181" s="1" t="s">
        <v>2524</v>
      </c>
      <c r="D181" s="1" t="s">
        <v>674</v>
      </c>
      <c r="E181" s="15"/>
      <c r="F181" s="16" t="str">
        <f>ifna(VLOOKUP($A181,ConstantsUnits!$A:$C,3,false),"")</f>
        <v>LoschmidtConstant273K100Kpa</v>
      </c>
      <c r="G181" s="17" t="str">
        <f t="shared" si="1"/>
        <v>2.6516462e25</v>
      </c>
      <c r="H181" s="17">
        <f t="shared" si="2"/>
        <v>2.65165E+25</v>
      </c>
      <c r="I181" s="17" t="str">
        <f t="shared" si="3"/>
        <v>0.0000024e25</v>
      </c>
      <c r="J181" s="17">
        <f t="shared" si="4"/>
        <v>2.4E+19</v>
      </c>
      <c r="K181" s="17" t="b">
        <f t="shared" si="5"/>
        <v>0</v>
      </c>
      <c r="L181" s="16" t="str">
        <f>IFERROR(__xludf.DUMMYFUNCTION("if(regexmatch(B181,""e(.*)$""),regexextract(B181,""e(.*)$""),"""")"),"25")</f>
        <v>25</v>
      </c>
      <c r="M181" s="16"/>
      <c r="N181" s="18">
        <f>countif(ConstantsUnits!C:C,F181)</f>
        <v>1</v>
      </c>
      <c r="O181" s="16" t="str">
        <f>VLOOKUP(A181,ConstantsUnits!A:A,1,false)</f>
        <v>Loschmidt constant (273.15 K, 100 kPa)</v>
      </c>
    </row>
    <row r="182">
      <c r="A182" s="1" t="s">
        <v>678</v>
      </c>
      <c r="B182" s="1" t="s">
        <v>2525</v>
      </c>
      <c r="C182" s="1" t="s">
        <v>2524</v>
      </c>
      <c r="D182" s="1" t="s">
        <v>674</v>
      </c>
      <c r="E182" s="15"/>
      <c r="F182" s="16" t="str">
        <f>ifna(VLOOKUP($A182,ConstantsUnits!$A:$C,3,false),"")</f>
        <v>LoschmidtConstant273K101Kpa</v>
      </c>
      <c r="G182" s="17" t="str">
        <f t="shared" si="1"/>
        <v>2.6867805e25</v>
      </c>
      <c r="H182" s="17">
        <f t="shared" si="2"/>
        <v>2.68678E+25</v>
      </c>
      <c r="I182" s="17" t="str">
        <f t="shared" si="3"/>
        <v>0.0000024e25</v>
      </c>
      <c r="J182" s="17">
        <f t="shared" si="4"/>
        <v>2.4E+19</v>
      </c>
      <c r="K182" s="17" t="b">
        <f t="shared" si="5"/>
        <v>0</v>
      </c>
      <c r="L182" s="16" t="str">
        <f>IFERROR(__xludf.DUMMYFUNCTION("if(regexmatch(B182,""e(.*)$""),regexextract(B182,""e(.*)$""),"""")"),"25")</f>
        <v>25</v>
      </c>
      <c r="M182" s="16"/>
      <c r="N182" s="18">
        <f>countif(ConstantsUnits!C:C,F182)</f>
        <v>1</v>
      </c>
      <c r="O182" s="16" t="str">
        <f>VLOOKUP(A182,ConstantsUnits!A:A,1,false)</f>
        <v>Loschmidt constant (273.15 K, 101.325 kPa)</v>
      </c>
    </row>
    <row r="183">
      <c r="A183" s="1" t="s">
        <v>2014</v>
      </c>
      <c r="B183" s="1" t="s">
        <v>2015</v>
      </c>
      <c r="C183" s="1" t="s">
        <v>1232</v>
      </c>
      <c r="D183" s="1" t="s">
        <v>1166</v>
      </c>
      <c r="E183" s="15"/>
      <c r="F183" s="1" t="s">
        <v>684</v>
      </c>
      <c r="G183" s="17" t="str">
        <f t="shared" si="1"/>
        <v>12.566370614e-7</v>
      </c>
      <c r="H183" s="17">
        <f t="shared" si="2"/>
        <v>0.000001256637061</v>
      </c>
      <c r="I183" s="17" t="str">
        <f t="shared" si="3"/>
        <v>(exact)</v>
      </c>
      <c r="J183" s="17" t="str">
        <f t="shared" si="4"/>
        <v/>
      </c>
      <c r="K183" s="17" t="b">
        <f t="shared" si="5"/>
        <v>1</v>
      </c>
      <c r="L183" s="16" t="str">
        <f>IFERROR(__xludf.DUMMYFUNCTION("if(regexmatch(B183,""e(.*)$""),regexextract(B183,""e(.*)$""),"""")"),"-7")</f>
        <v>-7</v>
      </c>
      <c r="M183" s="16"/>
      <c r="N183" s="18">
        <f>countif(ConstantsUnits!C:C,F183)</f>
        <v>1</v>
      </c>
      <c r="O183" s="16" t="str">
        <f>VLOOKUP(A183,ConstantsUnits!A:A,1,false)</f>
        <v>#N/A</v>
      </c>
    </row>
    <row r="184">
      <c r="A184" s="1" t="s">
        <v>686</v>
      </c>
      <c r="B184" s="1" t="s">
        <v>2526</v>
      </c>
      <c r="C184" s="1" t="s">
        <v>2527</v>
      </c>
      <c r="D184" s="1" t="s">
        <v>687</v>
      </c>
      <c r="E184" s="15"/>
      <c r="F184" s="16" t="str">
        <f>ifna(VLOOKUP($A184,ConstantsUnits!$A:$C,3,false),"")</f>
        <v>MagneticFluxQuantum</v>
      </c>
      <c r="G184" s="17" t="str">
        <f t="shared" si="1"/>
        <v>2.067833758e-15</v>
      </c>
      <c r="H184" s="17">
        <f t="shared" si="2"/>
        <v>0</v>
      </c>
      <c r="I184" s="17" t="str">
        <f t="shared" si="3"/>
        <v>0.000000046e-15</v>
      </c>
      <c r="J184" s="17">
        <f t="shared" si="4"/>
        <v>0</v>
      </c>
      <c r="K184" s="17" t="b">
        <f t="shared" si="5"/>
        <v>0</v>
      </c>
      <c r="L184" s="16" t="str">
        <f>IFERROR(__xludf.DUMMYFUNCTION("if(regexmatch(B184,""e(.*)$""),regexextract(B184,""e(.*)$""),"""")"),"-15")</f>
        <v>-15</v>
      </c>
      <c r="M184" s="16"/>
      <c r="N184" s="18">
        <f>countif(ConstantsUnits!C:C,F184)</f>
        <v>1</v>
      </c>
      <c r="O184" s="16" t="str">
        <f>VLOOKUP(A184,ConstantsUnits!A:A,1,false)</f>
        <v>mag. flux quantum</v>
      </c>
    </row>
    <row r="185">
      <c r="A185" s="1" t="s">
        <v>690</v>
      </c>
      <c r="B185" s="1" t="s">
        <v>2528</v>
      </c>
      <c r="C185" s="1" t="s">
        <v>2529</v>
      </c>
      <c r="D185" s="1" t="s">
        <v>691</v>
      </c>
      <c r="E185" s="15"/>
      <c r="F185" s="16" t="str">
        <f>ifna(VLOOKUP($A185,ConstantsUnits!$A:$C,3,false),"")</f>
        <v>MolarGasConstant</v>
      </c>
      <c r="G185" s="17" t="str">
        <f t="shared" si="1"/>
        <v>8.3144621</v>
      </c>
      <c r="H185" s="17">
        <f t="shared" si="2"/>
        <v>8.3144621</v>
      </c>
      <c r="I185" s="17" t="str">
        <f t="shared" si="3"/>
        <v>0.0000075</v>
      </c>
      <c r="J185" s="17">
        <f t="shared" si="4"/>
        <v>0.0000075</v>
      </c>
      <c r="K185" s="17" t="b">
        <f t="shared" si="5"/>
        <v>0</v>
      </c>
      <c r="L185" s="16" t="str">
        <f>IFERROR(__xludf.DUMMYFUNCTION("if(regexmatch(B185,""e(.*)$""),regexextract(B185,""e(.*)$""),"""")"),"")</f>
        <v/>
      </c>
      <c r="M185" s="16"/>
      <c r="N185" s="18">
        <f>countif(ConstantsUnits!C:C,F185)</f>
        <v>1</v>
      </c>
      <c r="O185" s="16" t="str">
        <f>VLOOKUP(A185,ConstantsUnits!A:A,1,false)</f>
        <v>molar gas constant</v>
      </c>
    </row>
    <row r="186">
      <c r="A186" s="1" t="s">
        <v>695</v>
      </c>
      <c r="B186" s="19" t="s">
        <v>2020</v>
      </c>
      <c r="C186" s="1" t="s">
        <v>1232</v>
      </c>
      <c r="D186" s="1" t="s">
        <v>51</v>
      </c>
      <c r="E186" s="15"/>
      <c r="F186" s="16" t="str">
        <f>ifna(VLOOKUP($A186,ConstantsUnits!$A:$C,3,false),"")</f>
        <v>MolarMassConstant</v>
      </c>
      <c r="G186" s="17" t="str">
        <f t="shared" si="1"/>
        <v>1e-3</v>
      </c>
      <c r="H186" s="17">
        <f t="shared" si="2"/>
        <v>0.001</v>
      </c>
      <c r="I186" s="17" t="str">
        <f t="shared" si="3"/>
        <v>(exact)</v>
      </c>
      <c r="J186" s="17" t="str">
        <f t="shared" si="4"/>
        <v/>
      </c>
      <c r="K186" s="17" t="b">
        <f t="shared" si="5"/>
        <v>0</v>
      </c>
      <c r="L186" s="16" t="str">
        <f>IFERROR(__xludf.DUMMYFUNCTION("if(regexmatch(B186,""e(.*)$""),regexextract(B186,""e(.*)$""),"""")"),"-3")</f>
        <v>-3</v>
      </c>
      <c r="M186" s="16"/>
      <c r="N186" s="18">
        <f>countif(ConstantsUnits!C:C,F186)</f>
        <v>1</v>
      </c>
      <c r="O186" s="16" t="str">
        <f>VLOOKUP(A186,ConstantsUnits!A:A,1,false)</f>
        <v>molar mass constant</v>
      </c>
    </row>
    <row r="187">
      <c r="A187" s="1" t="s">
        <v>698</v>
      </c>
      <c r="B187" s="19" t="s">
        <v>2021</v>
      </c>
      <c r="C187" s="1" t="s">
        <v>1232</v>
      </c>
      <c r="D187" s="1" t="s">
        <v>51</v>
      </c>
      <c r="E187" s="15"/>
      <c r="F187" s="16" t="str">
        <f>ifna(VLOOKUP($A187,ConstantsUnits!$A:$C,3,false),"")</f>
        <v>MolarMassOfCarbon12</v>
      </c>
      <c r="G187" s="17" t="str">
        <f t="shared" si="1"/>
        <v>12e-3</v>
      </c>
      <c r="H187" s="17">
        <f t="shared" si="2"/>
        <v>0.012</v>
      </c>
      <c r="I187" s="17" t="str">
        <f t="shared" si="3"/>
        <v>(exact)</v>
      </c>
      <c r="J187" s="17" t="str">
        <f t="shared" si="4"/>
        <v/>
      </c>
      <c r="K187" s="17" t="b">
        <f t="shared" si="5"/>
        <v>0</v>
      </c>
      <c r="L187" s="16" t="str">
        <f>IFERROR(__xludf.DUMMYFUNCTION("if(regexmatch(B187,""e(.*)$""),regexextract(B187,""e(.*)$""),"""")"),"-3")</f>
        <v>-3</v>
      </c>
      <c r="M187" s="16"/>
      <c r="N187" s="18">
        <f>countif(ConstantsUnits!C:C,F187)</f>
        <v>1</v>
      </c>
      <c r="O187" s="16" t="str">
        <f>VLOOKUP(A187,ConstantsUnits!A:A,1,false)</f>
        <v>molar mass of carbon-12</v>
      </c>
    </row>
    <row r="188">
      <c r="A188" s="1" t="s">
        <v>701</v>
      </c>
      <c r="B188" s="1" t="s">
        <v>2530</v>
      </c>
      <c r="C188" s="1" t="s">
        <v>2531</v>
      </c>
      <c r="D188" s="1" t="s">
        <v>2023</v>
      </c>
      <c r="E188" s="15"/>
      <c r="F188" s="16" t="str">
        <f>ifna(VLOOKUP($A188,ConstantsUnits!$A:$C,3,false),"")</f>
        <v>MolarPlanckConstant</v>
      </c>
      <c r="G188" s="17" t="str">
        <f t="shared" si="1"/>
        <v>3.9903127176e-10</v>
      </c>
      <c r="H188" s="17">
        <f t="shared" si="2"/>
        <v>0.0000000003990312718</v>
      </c>
      <c r="I188" s="17" t="str">
        <f t="shared" si="3"/>
        <v>0.0000000028e-10</v>
      </c>
      <c r="J188" s="17">
        <f t="shared" si="4"/>
        <v>0</v>
      </c>
      <c r="K188" s="17" t="b">
        <f t="shared" si="5"/>
        <v>0</v>
      </c>
      <c r="L188" s="16" t="str">
        <f>IFERROR(__xludf.DUMMYFUNCTION("if(regexmatch(B188,""e(.*)$""),regexextract(B188,""e(.*)$""),"""")"),"-10")</f>
        <v>-10</v>
      </c>
      <c r="M188" s="16"/>
      <c r="N188" s="18">
        <f>countif(ConstantsUnits!C:C,F188)</f>
        <v>1</v>
      </c>
      <c r="O188" s="16" t="str">
        <f>VLOOKUP(A188,ConstantsUnits!A:A,1,false)</f>
        <v>molar Planck constant</v>
      </c>
    </row>
    <row r="189">
      <c r="A189" s="1" t="s">
        <v>2024</v>
      </c>
      <c r="B189" s="1" t="s">
        <v>2532</v>
      </c>
      <c r="C189" s="1" t="s">
        <v>2533</v>
      </c>
      <c r="D189" s="1" t="s">
        <v>2027</v>
      </c>
      <c r="E189" s="15"/>
      <c r="F189" s="1" t="s">
        <v>706</v>
      </c>
      <c r="G189" s="17" t="str">
        <f t="shared" si="1"/>
        <v>0.119626565779</v>
      </c>
      <c r="H189" s="17">
        <f t="shared" si="2"/>
        <v>0.1196265658</v>
      </c>
      <c r="I189" s="17" t="str">
        <f t="shared" si="3"/>
        <v>0.000000000084</v>
      </c>
      <c r="J189" s="17">
        <f t="shared" si="4"/>
        <v>0</v>
      </c>
      <c r="K189" s="17" t="b">
        <f t="shared" si="5"/>
        <v>0</v>
      </c>
      <c r="L189" s="16" t="str">
        <f>IFERROR(__xludf.DUMMYFUNCTION("if(regexmatch(B189,""e(.*)$""),regexextract(B189,""e(.*)$""),"""")"),"")</f>
        <v/>
      </c>
      <c r="M189" s="16"/>
      <c r="N189" s="18">
        <f>countif(ConstantsUnits!C:C,F189)</f>
        <v>1</v>
      </c>
      <c r="O189" s="16" t="str">
        <f>VLOOKUP(A189,ConstantsUnits!A:A,1,false)</f>
        <v>#N/A</v>
      </c>
    </row>
    <row r="190">
      <c r="A190" s="1" t="s">
        <v>708</v>
      </c>
      <c r="B190" s="1" t="s">
        <v>2534</v>
      </c>
      <c r="C190" s="1" t="s">
        <v>2535</v>
      </c>
      <c r="D190" s="1" t="s">
        <v>709</v>
      </c>
      <c r="E190" s="15"/>
      <c r="F190" s="16" t="str">
        <f>ifna(VLOOKUP($A190,ConstantsUnits!$A:$C,3,false),"")</f>
        <v>MolarVolumeOfIdealGas273K100Kpa</v>
      </c>
      <c r="G190" s="17" t="str">
        <f t="shared" si="1"/>
        <v>22.710953e-3</v>
      </c>
      <c r="H190" s="17">
        <f t="shared" si="2"/>
        <v>0.022710953</v>
      </c>
      <c r="I190" s="17" t="str">
        <f t="shared" si="3"/>
        <v>0.000021e-3</v>
      </c>
      <c r="J190" s="17">
        <f t="shared" si="4"/>
        <v>0.000000021</v>
      </c>
      <c r="K190" s="17" t="b">
        <f t="shared" si="5"/>
        <v>0</v>
      </c>
      <c r="L190" s="16" t="str">
        <f>IFERROR(__xludf.DUMMYFUNCTION("if(regexmatch(B190,""e(.*)$""),regexextract(B190,""e(.*)$""),"""")"),"-3")</f>
        <v>-3</v>
      </c>
      <c r="M190" s="16"/>
      <c r="N190" s="18">
        <f>countif(ConstantsUnits!C:C,F190)</f>
        <v>1</v>
      </c>
      <c r="O190" s="16" t="str">
        <f>VLOOKUP(A190,ConstantsUnits!A:A,1,false)</f>
        <v>molar volume of ideal gas (273.15 K, 100 kPa)</v>
      </c>
    </row>
    <row r="191">
      <c r="A191" s="1" t="s">
        <v>713</v>
      </c>
      <c r="B191" s="1" t="s">
        <v>2536</v>
      </c>
      <c r="C191" s="1" t="s">
        <v>2537</v>
      </c>
      <c r="D191" s="1" t="s">
        <v>709</v>
      </c>
      <c r="E191" s="15"/>
      <c r="F191" s="16" t="str">
        <f>ifna(VLOOKUP($A191,ConstantsUnits!$A:$C,3,false),"")</f>
        <v>MolarVolumeOfIdealGas273K101Kpa</v>
      </c>
      <c r="G191" s="17" t="str">
        <f t="shared" si="1"/>
        <v>22.413968e-3</v>
      </c>
      <c r="H191" s="17">
        <f t="shared" si="2"/>
        <v>0.022413968</v>
      </c>
      <c r="I191" s="17" t="str">
        <f t="shared" si="3"/>
        <v>0.000020e-3</v>
      </c>
      <c r="J191" s="17">
        <f t="shared" si="4"/>
        <v>0.00000002</v>
      </c>
      <c r="K191" s="17" t="b">
        <f t="shared" si="5"/>
        <v>0</v>
      </c>
      <c r="L191" s="16" t="str">
        <f>IFERROR(__xludf.DUMMYFUNCTION("if(regexmatch(B191,""e(.*)$""),regexextract(B191,""e(.*)$""),"""")"),"-3")</f>
        <v>-3</v>
      </c>
      <c r="M191" s="16"/>
      <c r="N191" s="18">
        <f>countif(ConstantsUnits!C:C,F191)</f>
        <v>1</v>
      </c>
      <c r="O191" s="16" t="str">
        <f>VLOOKUP(A191,ConstantsUnits!A:A,1,false)</f>
        <v>molar volume of ideal gas (273.15 K, 101.325 kPa)</v>
      </c>
    </row>
    <row r="192">
      <c r="A192" s="1" t="s">
        <v>715</v>
      </c>
      <c r="B192" s="1" t="s">
        <v>2538</v>
      </c>
      <c r="C192" s="1" t="s">
        <v>2539</v>
      </c>
      <c r="D192" s="1" t="s">
        <v>709</v>
      </c>
      <c r="E192" s="15"/>
      <c r="F192" s="16" t="str">
        <f>ifna(VLOOKUP($A192,ConstantsUnits!$A:$C,3,false),"")</f>
        <v>MolarVolumeOfSilicon</v>
      </c>
      <c r="G192" s="17" t="str">
        <f t="shared" si="1"/>
        <v>12.05883301e-6</v>
      </c>
      <c r="H192" s="17">
        <f t="shared" si="2"/>
        <v>0.00001205883301</v>
      </c>
      <c r="I192" s="17" t="str">
        <f t="shared" si="3"/>
        <v>0.00000080e-6</v>
      </c>
      <c r="J192" s="17">
        <f t="shared" si="4"/>
        <v>0</v>
      </c>
      <c r="K192" s="17" t="b">
        <f t="shared" si="5"/>
        <v>0</v>
      </c>
      <c r="L192" s="16" t="str">
        <f>IFERROR(__xludf.DUMMYFUNCTION("if(regexmatch(B192,""e(.*)$""),regexextract(B192,""e(.*)$""),"""")"),"-6")</f>
        <v>-6</v>
      </c>
      <c r="M192" s="16"/>
      <c r="N192" s="18">
        <f>countif(ConstantsUnits!C:C,F192)</f>
        <v>1</v>
      </c>
      <c r="O192" s="16" t="str">
        <f>VLOOKUP(A192,ConstantsUnits!A:A,1,false)</f>
        <v>molar volume of silicon</v>
      </c>
    </row>
    <row r="193">
      <c r="A193" s="1" t="s">
        <v>2033</v>
      </c>
      <c r="B193" s="1" t="s">
        <v>1492</v>
      </c>
      <c r="C193" s="1" t="s">
        <v>1493</v>
      </c>
      <c r="D193" s="1" t="s">
        <v>59</v>
      </c>
      <c r="E193" s="15"/>
      <c r="F193" s="1" t="s">
        <v>719</v>
      </c>
      <c r="G193" s="17" t="str">
        <f t="shared" si="1"/>
        <v>1.00209952e-13</v>
      </c>
      <c r="H193" s="17">
        <f t="shared" si="2"/>
        <v>0</v>
      </c>
      <c r="I193" s="17" t="str">
        <f t="shared" si="3"/>
        <v>0.00000053e-13</v>
      </c>
      <c r="J193" s="17">
        <f t="shared" si="4"/>
        <v>0</v>
      </c>
      <c r="K193" s="17" t="b">
        <f t="shared" si="5"/>
        <v>0</v>
      </c>
      <c r="L193" s="16" t="str">
        <f>IFERROR(__xludf.DUMMYFUNCTION("if(regexmatch(B193,""e(.*)$""),regexextract(B193,""e(.*)$""),"""")"),"-13")</f>
        <v>-13</v>
      </c>
      <c r="M193" s="16"/>
      <c r="N193" s="18">
        <f>countif(ConstantsUnits!C:C,F193)</f>
        <v>1</v>
      </c>
      <c r="O193" s="16" t="str">
        <f>VLOOKUP(A193,ConstantsUnits!A:A,1,false)</f>
        <v>#N/A</v>
      </c>
    </row>
    <row r="194">
      <c r="A194" s="1" t="s">
        <v>722</v>
      </c>
      <c r="B194" s="1" t="s">
        <v>2540</v>
      </c>
      <c r="C194" s="1" t="s">
        <v>2541</v>
      </c>
      <c r="D194" s="1" t="s">
        <v>59</v>
      </c>
      <c r="E194" s="15"/>
      <c r="F194" s="16" t="str">
        <f>ifna(VLOOKUP($A194,ConstantsUnits!$A:$C,3,false),"")</f>
        <v>MuonComptonWavelength</v>
      </c>
      <c r="G194" s="17" t="str">
        <f t="shared" si="1"/>
        <v>11.73444103e-15</v>
      </c>
      <c r="H194" s="17">
        <f t="shared" si="2"/>
        <v>0</v>
      </c>
      <c r="I194" s="17" t="str">
        <f t="shared" si="3"/>
        <v>0.00000030e-15</v>
      </c>
      <c r="J194" s="17">
        <f t="shared" si="4"/>
        <v>0</v>
      </c>
      <c r="K194" s="17" t="b">
        <f t="shared" si="5"/>
        <v>0</v>
      </c>
      <c r="L194" s="16" t="str">
        <f>IFERROR(__xludf.DUMMYFUNCTION("if(regexmatch(B194,""e(.*)$""),regexextract(B194,""e(.*)$""),"""")"),"-15")</f>
        <v>-15</v>
      </c>
      <c r="M194" s="16"/>
      <c r="N194" s="18">
        <f>countif(ConstantsUnits!C:C,F194)</f>
        <v>1</v>
      </c>
      <c r="O194" s="16" t="str">
        <f>VLOOKUP(A194,ConstantsUnits!A:A,1,false)</f>
        <v>muon Compton wavelength</v>
      </c>
    </row>
    <row r="195">
      <c r="A195" s="1" t="s">
        <v>2036</v>
      </c>
      <c r="B195" s="1" t="s">
        <v>2542</v>
      </c>
      <c r="C195" s="1" t="s">
        <v>2543</v>
      </c>
      <c r="D195" s="1" t="s">
        <v>59</v>
      </c>
      <c r="E195" s="15"/>
      <c r="F195" s="1" t="s">
        <v>2038</v>
      </c>
      <c r="G195" s="17" t="str">
        <f t="shared" si="1"/>
        <v>1.867594294e-15</v>
      </c>
      <c r="H195" s="17">
        <f t="shared" si="2"/>
        <v>0</v>
      </c>
      <c r="I195" s="17" t="str">
        <f t="shared" si="3"/>
        <v>0.000000047e-15</v>
      </c>
      <c r="J195" s="17">
        <f t="shared" si="4"/>
        <v>0</v>
      </c>
      <c r="K195" s="17" t="b">
        <f t="shared" si="5"/>
        <v>0</v>
      </c>
      <c r="L195" s="16" t="str">
        <f>IFERROR(__xludf.DUMMYFUNCTION("if(regexmatch(B195,""e(.*)$""),regexextract(B195,""e(.*)$""),"""")"),"-15")</f>
        <v>-15</v>
      </c>
      <c r="M195" s="16"/>
      <c r="N195" s="18">
        <f>countif(ConstantsUnits!C:C,F195)</f>
        <v>1</v>
      </c>
      <c r="O195" s="16" t="str">
        <f>VLOOKUP(A195,ConstantsUnits!A:A,1,false)</f>
        <v>#N/A</v>
      </c>
    </row>
    <row r="196">
      <c r="A196" s="1" t="s">
        <v>726</v>
      </c>
      <c r="B196" s="1" t="s">
        <v>2544</v>
      </c>
      <c r="C196" s="1" t="s">
        <v>2404</v>
      </c>
      <c r="E196" s="15"/>
      <c r="F196" s="16" t="str">
        <f>ifna(VLOOKUP($A196,ConstantsUnits!$A:$C,3,false),"")</f>
        <v>MuonElectronMassRatio</v>
      </c>
      <c r="G196" s="17" t="str">
        <f t="shared" si="1"/>
        <v>206.7682843</v>
      </c>
      <c r="H196" s="17">
        <f t="shared" si="2"/>
        <v>206.7682843</v>
      </c>
      <c r="I196" s="17" t="str">
        <f t="shared" si="3"/>
        <v>0.0000052</v>
      </c>
      <c r="J196" s="17">
        <f t="shared" si="4"/>
        <v>0.0000052</v>
      </c>
      <c r="K196" s="17" t="b">
        <f t="shared" si="5"/>
        <v>0</v>
      </c>
      <c r="L196" s="16" t="str">
        <f>IFERROR(__xludf.DUMMYFUNCTION("if(regexmatch(B196,""e(.*)$""),regexextract(B196,""e(.*)$""),"""")"),"")</f>
        <v/>
      </c>
      <c r="M196" s="16"/>
      <c r="N196" s="18">
        <f>countif(ConstantsUnits!C:C,F196)</f>
        <v>1</v>
      </c>
      <c r="O196" s="16" t="str">
        <f>VLOOKUP(A196,ConstantsUnits!A:A,1,false)</f>
        <v>muon-electron mass ratio</v>
      </c>
    </row>
    <row r="197">
      <c r="A197" s="1" t="s">
        <v>729</v>
      </c>
      <c r="B197" s="1" t="s">
        <v>1497</v>
      </c>
      <c r="C197" s="1" t="s">
        <v>1498</v>
      </c>
      <c r="E197" s="15"/>
      <c r="F197" s="16" t="str">
        <f>ifna(VLOOKUP($A197,ConstantsUnits!$A:$C,3,false),"")</f>
        <v>MuonGFactor</v>
      </c>
      <c r="G197" s="17" t="str">
        <f t="shared" si="1"/>
        <v>-2.0023318418</v>
      </c>
      <c r="H197" s="17">
        <f t="shared" si="2"/>
        <v>-2.002331842</v>
      </c>
      <c r="I197" s="17" t="str">
        <f t="shared" si="3"/>
        <v>0.0000000013</v>
      </c>
      <c r="J197" s="17">
        <f t="shared" si="4"/>
        <v>0.0000000013</v>
      </c>
      <c r="K197" s="17" t="b">
        <f t="shared" si="5"/>
        <v>0</v>
      </c>
      <c r="L197" s="16" t="str">
        <f>IFERROR(__xludf.DUMMYFUNCTION("if(regexmatch(B197,""e(.*)$""),regexextract(B197,""e(.*)$""),"""")"),"")</f>
        <v/>
      </c>
      <c r="M197" s="16"/>
      <c r="N197" s="18">
        <f>countif(ConstantsUnits!C:C,F197)</f>
        <v>1</v>
      </c>
      <c r="O197" s="16" t="str">
        <f>VLOOKUP(A197,ConstantsUnits!A:A,1,false)</f>
        <v>muon g factor</v>
      </c>
    </row>
    <row r="198">
      <c r="A198" s="1" t="s">
        <v>732</v>
      </c>
      <c r="B198" s="1" t="s">
        <v>2545</v>
      </c>
      <c r="C198" s="1" t="s">
        <v>2546</v>
      </c>
      <c r="D198" s="1" t="s">
        <v>165</v>
      </c>
      <c r="E198" s="15"/>
      <c r="F198" s="16" t="str">
        <f>ifna(VLOOKUP($A198,ConstantsUnits!$A:$C,3,false),"")</f>
        <v>MuonMagneticMoment</v>
      </c>
      <c r="G198" s="17" t="str">
        <f t="shared" si="1"/>
        <v>-4.49044807e-26</v>
      </c>
      <c r="H198" s="17">
        <f t="shared" si="2"/>
        <v>0</v>
      </c>
      <c r="I198" s="17" t="str">
        <f t="shared" si="3"/>
        <v>0.00000015e-26</v>
      </c>
      <c r="J198" s="17">
        <f t="shared" si="4"/>
        <v>0</v>
      </c>
      <c r="K198" s="17" t="b">
        <f t="shared" si="5"/>
        <v>0</v>
      </c>
      <c r="L198" s="16" t="str">
        <f>IFERROR(__xludf.DUMMYFUNCTION("if(regexmatch(B198,""e(.*)$""),regexextract(B198,""e(.*)$""),"""")"),"-26")</f>
        <v>-26</v>
      </c>
      <c r="M198" s="16"/>
      <c r="N198" s="18">
        <f>countif(ConstantsUnits!C:C,F198)</f>
        <v>1</v>
      </c>
      <c r="O198" s="16" t="str">
        <f>VLOOKUP(A198,ConstantsUnits!A:A,1,false)</f>
        <v>muon mag. mom.</v>
      </c>
    </row>
    <row r="199">
      <c r="A199" s="1" t="s">
        <v>735</v>
      </c>
      <c r="B199" s="1" t="s">
        <v>2547</v>
      </c>
      <c r="C199" s="1" t="s">
        <v>1502</v>
      </c>
      <c r="E199" s="15"/>
      <c r="F199" s="16" t="str">
        <f>ifna(VLOOKUP($A199,ConstantsUnits!$A:$C,3,false),"")</f>
        <v>MuonMagneticMomentAnomaly</v>
      </c>
      <c r="G199" s="17" t="str">
        <f t="shared" si="1"/>
        <v>1.16592091e-3</v>
      </c>
      <c r="H199" s="17">
        <f t="shared" si="2"/>
        <v>0.00116592091</v>
      </c>
      <c r="I199" s="17" t="str">
        <f t="shared" si="3"/>
        <v>0.00000063e-3</v>
      </c>
      <c r="J199" s="17">
        <f t="shared" si="4"/>
        <v>0.00000000063</v>
      </c>
      <c r="K199" s="17" t="b">
        <f t="shared" si="5"/>
        <v>0</v>
      </c>
      <c r="L199" s="16" t="str">
        <f>IFERROR(__xludf.DUMMYFUNCTION("if(regexmatch(B199,""e(.*)$""),regexextract(B199,""e(.*)$""),"""")"),"-3")</f>
        <v>-3</v>
      </c>
      <c r="M199" s="16"/>
      <c r="N199" s="18">
        <f>countif(ConstantsUnits!C:C,F199)</f>
        <v>1</v>
      </c>
      <c r="O199" s="16" t="str">
        <f>VLOOKUP(A199,ConstantsUnits!A:A,1,false)</f>
        <v>muon mag. mom. anomaly</v>
      </c>
    </row>
    <row r="200">
      <c r="A200" s="1" t="s">
        <v>738</v>
      </c>
      <c r="B200" s="1" t="s">
        <v>2548</v>
      </c>
      <c r="C200" s="1" t="s">
        <v>2406</v>
      </c>
      <c r="E200" s="15"/>
      <c r="F200" s="16" t="str">
        <f>ifna(VLOOKUP($A200,ConstantsUnits!$A:$C,3,false),"")</f>
        <v>MuonMagneticMomentToBohrMagnetonRatio</v>
      </c>
      <c r="G200" s="17" t="str">
        <f t="shared" si="1"/>
        <v>-4.84197044e-3</v>
      </c>
      <c r="H200" s="17">
        <f t="shared" si="2"/>
        <v>-0.00484197044</v>
      </c>
      <c r="I200" s="17" t="str">
        <f t="shared" si="3"/>
        <v>0.00000012e-3</v>
      </c>
      <c r="J200" s="17">
        <f t="shared" si="4"/>
        <v>0.00000000012</v>
      </c>
      <c r="K200" s="17" t="b">
        <f t="shared" si="5"/>
        <v>0</v>
      </c>
      <c r="L200" s="16" t="str">
        <f>IFERROR(__xludf.DUMMYFUNCTION("if(regexmatch(B200,""e(.*)$""),regexextract(B200,""e(.*)$""),"""")"),"-3")</f>
        <v>-3</v>
      </c>
      <c r="M200" s="16"/>
      <c r="N200" s="18">
        <f>countif(ConstantsUnits!C:C,F200)</f>
        <v>1</v>
      </c>
      <c r="O200" s="16" t="str">
        <f>VLOOKUP(A200,ConstantsUnits!A:A,1,false)</f>
        <v>muon mag. mom. to Bohr magneton ratio</v>
      </c>
    </row>
    <row r="201">
      <c r="A201" s="1" t="s">
        <v>741</v>
      </c>
      <c r="B201" s="1" t="s">
        <v>2549</v>
      </c>
      <c r="C201" s="1" t="s">
        <v>2550</v>
      </c>
      <c r="E201" s="15"/>
      <c r="F201" s="16" t="str">
        <f>ifna(VLOOKUP($A201,ConstantsUnits!$A:$C,3,false),"")</f>
        <v>MuonMagneticMomentToNuclearMagnetonRatio</v>
      </c>
      <c r="G201" s="17" t="str">
        <f t="shared" si="1"/>
        <v>-8.89059697</v>
      </c>
      <c r="H201" s="17">
        <f t="shared" si="2"/>
        <v>-8.89059697</v>
      </c>
      <c r="I201" s="17" t="str">
        <f t="shared" si="3"/>
        <v>0.00000022</v>
      </c>
      <c r="J201" s="17">
        <f t="shared" si="4"/>
        <v>0.00000022</v>
      </c>
      <c r="K201" s="17" t="b">
        <f t="shared" si="5"/>
        <v>0</v>
      </c>
      <c r="L201" s="16" t="str">
        <f>IFERROR(__xludf.DUMMYFUNCTION("if(regexmatch(B201,""e(.*)$""),regexextract(B201,""e(.*)$""),"""")"),"")</f>
        <v/>
      </c>
      <c r="M201" s="16"/>
      <c r="N201" s="18">
        <f>countif(ConstantsUnits!C:C,F201)</f>
        <v>1</v>
      </c>
      <c r="O201" s="16" t="str">
        <f>VLOOKUP(A201,ConstantsUnits!A:A,1,false)</f>
        <v>muon mag. mom. to nuclear magneton ratio</v>
      </c>
    </row>
    <row r="202">
      <c r="A202" s="1" t="s">
        <v>744</v>
      </c>
      <c r="B202" s="1" t="s">
        <v>2551</v>
      </c>
      <c r="C202" s="1" t="s">
        <v>2552</v>
      </c>
      <c r="D202" s="1" t="s">
        <v>38</v>
      </c>
      <c r="E202" s="15"/>
      <c r="F202" s="16" t="str">
        <f>ifna(VLOOKUP($A202,ConstantsUnits!$A:$C,3,false),"")</f>
        <v>MuonMass</v>
      </c>
      <c r="G202" s="17" t="str">
        <f t="shared" si="1"/>
        <v>1.883531475e-28</v>
      </c>
      <c r="H202" s="17">
        <f t="shared" si="2"/>
        <v>0</v>
      </c>
      <c r="I202" s="17" t="str">
        <f t="shared" si="3"/>
        <v>0.000000096e-28</v>
      </c>
      <c r="J202" s="17">
        <f t="shared" si="4"/>
        <v>0</v>
      </c>
      <c r="K202" s="17" t="b">
        <f t="shared" si="5"/>
        <v>0</v>
      </c>
      <c r="L202" s="16" t="str">
        <f>IFERROR(__xludf.DUMMYFUNCTION("if(regexmatch(B202,""e(.*)$""),regexextract(B202,""e(.*)$""),"""")"),"-28")</f>
        <v>-28</v>
      </c>
      <c r="M202" s="16"/>
      <c r="N202" s="18">
        <f>countif(ConstantsUnits!C:C,F202)</f>
        <v>1</v>
      </c>
      <c r="O202" s="16" t="str">
        <f>VLOOKUP(A202,ConstantsUnits!A:A,1,false)</f>
        <v>muon mass</v>
      </c>
    </row>
    <row r="203">
      <c r="A203" s="1" t="s">
        <v>747</v>
      </c>
      <c r="B203" s="1" t="s">
        <v>2553</v>
      </c>
      <c r="C203" s="1" t="s">
        <v>2554</v>
      </c>
      <c r="D203" s="1" t="s">
        <v>41</v>
      </c>
      <c r="E203" s="15"/>
      <c r="F203" s="16" t="str">
        <f>ifna(VLOOKUP($A203,ConstantsUnits!$A:$C,3,false),"")</f>
        <v>MuonMassEnergyEquivalent</v>
      </c>
      <c r="G203" s="17" t="str">
        <f t="shared" si="1"/>
        <v>1.692833667e-11</v>
      </c>
      <c r="H203" s="17">
        <f t="shared" si="2"/>
        <v>0</v>
      </c>
      <c r="I203" s="17" t="str">
        <f t="shared" si="3"/>
        <v>0.000000086e-11</v>
      </c>
      <c r="J203" s="17">
        <f t="shared" si="4"/>
        <v>0</v>
      </c>
      <c r="K203" s="17" t="b">
        <f t="shared" si="5"/>
        <v>0</v>
      </c>
      <c r="L203" s="16" t="str">
        <f>IFERROR(__xludf.DUMMYFUNCTION("if(regexmatch(B203,""e(.*)$""),regexextract(B203,""e(.*)$""),"""")"),"-11")</f>
        <v>-11</v>
      </c>
      <c r="M203" s="16"/>
      <c r="N203" s="18">
        <f>countif(ConstantsUnits!C:C,F203)</f>
        <v>1</v>
      </c>
      <c r="O203" s="16" t="str">
        <f>VLOOKUP(A203,ConstantsUnits!A:A,1,false)</f>
        <v>muon mass energy equivalent</v>
      </c>
    </row>
    <row r="204">
      <c r="A204" s="1" t="s">
        <v>750</v>
      </c>
      <c r="B204" s="1" t="s">
        <v>2555</v>
      </c>
      <c r="C204" s="1" t="s">
        <v>2556</v>
      </c>
      <c r="D204" s="1" t="s">
        <v>45</v>
      </c>
      <c r="E204" s="15"/>
      <c r="F204" s="16" t="str">
        <f>ifna(VLOOKUP($A204,ConstantsUnits!$A:$C,3,false),"")</f>
        <v>MuonMassEnergyEquivalentInMeV</v>
      </c>
      <c r="G204" s="17" t="str">
        <f t="shared" si="1"/>
        <v>105.6583715</v>
      </c>
      <c r="H204" s="17">
        <f t="shared" si="2"/>
        <v>105.6583715</v>
      </c>
      <c r="I204" s="17" t="str">
        <f t="shared" si="3"/>
        <v>0.0000035</v>
      </c>
      <c r="J204" s="17">
        <f t="shared" si="4"/>
        <v>0.0000035</v>
      </c>
      <c r="K204" s="17" t="b">
        <f t="shared" si="5"/>
        <v>0</v>
      </c>
      <c r="L204" s="16" t="str">
        <f>IFERROR(__xludf.DUMMYFUNCTION("if(regexmatch(B204,""e(.*)$""),regexextract(B204,""e(.*)$""),"""")"),"")</f>
        <v/>
      </c>
      <c r="M204" s="16"/>
      <c r="N204" s="18">
        <f>countif(ConstantsUnits!C:C,F204)</f>
        <v>1</v>
      </c>
      <c r="O204" s="16" t="str">
        <f>VLOOKUP(A204,ConstantsUnits!A:A,1,false)</f>
        <v>muon mass energy equivalent in MeV</v>
      </c>
    </row>
    <row r="205">
      <c r="A205" s="1" t="s">
        <v>752</v>
      </c>
      <c r="B205" s="1" t="s">
        <v>2557</v>
      </c>
      <c r="C205" s="1" t="s">
        <v>2558</v>
      </c>
      <c r="D205" s="1" t="s">
        <v>48</v>
      </c>
      <c r="E205" s="15"/>
      <c r="F205" s="16" t="str">
        <f>ifna(VLOOKUP($A205,ConstantsUnits!$A:$C,3,false),"")</f>
        <v>MuonMassInAtomicMassUnit</v>
      </c>
      <c r="G205" s="17" t="str">
        <f t="shared" si="1"/>
        <v>0.1134289267</v>
      </c>
      <c r="H205" s="17">
        <f t="shared" si="2"/>
        <v>0.1134289267</v>
      </c>
      <c r="I205" s="17" t="str">
        <f t="shared" si="3"/>
        <v>0.0000000029</v>
      </c>
      <c r="J205" s="17">
        <f t="shared" si="4"/>
        <v>0.0000000029</v>
      </c>
      <c r="K205" s="17" t="b">
        <f t="shared" si="5"/>
        <v>0</v>
      </c>
      <c r="L205" s="16" t="str">
        <f>IFERROR(__xludf.DUMMYFUNCTION("if(regexmatch(B205,""e(.*)$""),regexextract(B205,""e(.*)$""),"""")"),"")</f>
        <v/>
      </c>
      <c r="M205" s="16"/>
      <c r="N205" s="18">
        <f>countif(ConstantsUnits!C:C,F205)</f>
        <v>1</v>
      </c>
      <c r="O205" s="16" t="str">
        <f>VLOOKUP(A205,ConstantsUnits!A:A,1,false)</f>
        <v>muon mass in u</v>
      </c>
    </row>
    <row r="206">
      <c r="A206" s="1" t="s">
        <v>755</v>
      </c>
      <c r="B206" s="1" t="s">
        <v>2559</v>
      </c>
      <c r="C206" s="1" t="s">
        <v>2560</v>
      </c>
      <c r="D206" s="1" t="s">
        <v>51</v>
      </c>
      <c r="E206" s="15"/>
      <c r="F206" s="16" t="str">
        <f>ifna(VLOOKUP($A206,ConstantsUnits!$A:$C,3,false),"")</f>
        <v>MuonMolarMass</v>
      </c>
      <c r="G206" s="17" t="str">
        <f t="shared" si="1"/>
        <v>0.1134289267e-3</v>
      </c>
      <c r="H206" s="17">
        <f t="shared" si="2"/>
        <v>0.0001134289267</v>
      </c>
      <c r="I206" s="17" t="str">
        <f t="shared" si="3"/>
        <v>0.0000000029e-3</v>
      </c>
      <c r="J206" s="17">
        <f t="shared" si="4"/>
        <v>0</v>
      </c>
      <c r="K206" s="17" t="b">
        <f t="shared" si="5"/>
        <v>0</v>
      </c>
      <c r="L206" s="16" t="str">
        <f>IFERROR(__xludf.DUMMYFUNCTION("if(regexmatch(B206,""e(.*)$""),regexextract(B206,""e(.*)$""),"""")"),"-3")</f>
        <v>-3</v>
      </c>
      <c r="M206" s="16"/>
      <c r="N206" s="18">
        <f>countif(ConstantsUnits!C:C,F206)</f>
        <v>1</v>
      </c>
      <c r="O206" s="16" t="str">
        <f>VLOOKUP(A206,ConstantsUnits!A:A,1,false)</f>
        <v>muon molar mass</v>
      </c>
    </row>
    <row r="207">
      <c r="A207" s="1" t="s">
        <v>758</v>
      </c>
      <c r="B207" s="1" t="s">
        <v>2561</v>
      </c>
      <c r="C207" s="1" t="s">
        <v>2562</v>
      </c>
      <c r="E207" s="15"/>
      <c r="F207" s="16" t="str">
        <f>ifna(VLOOKUP($A207,ConstantsUnits!$A:$C,3,false),"")</f>
        <v>MuonNeutronMassRatio</v>
      </c>
      <c r="G207" s="17" t="str">
        <f t="shared" si="1"/>
        <v>0.1124545177</v>
      </c>
      <c r="H207" s="17">
        <f t="shared" si="2"/>
        <v>0.1124545177</v>
      </c>
      <c r="I207" s="17" t="str">
        <f t="shared" si="3"/>
        <v>0.0000000028</v>
      </c>
      <c r="J207" s="17">
        <f t="shared" si="4"/>
        <v>0.0000000028</v>
      </c>
      <c r="K207" s="17" t="b">
        <f t="shared" si="5"/>
        <v>0</v>
      </c>
      <c r="L207" s="16" t="str">
        <f>IFERROR(__xludf.DUMMYFUNCTION("if(regexmatch(B207,""e(.*)$""),regexextract(B207,""e(.*)$""),"""")"),"")</f>
        <v/>
      </c>
      <c r="M207" s="16"/>
      <c r="N207" s="18">
        <f>countif(ConstantsUnits!C:C,F207)</f>
        <v>1</v>
      </c>
      <c r="O207" s="16" t="str">
        <f>VLOOKUP(A207,ConstantsUnits!A:A,1,false)</f>
        <v>muon-neutron mass ratio</v>
      </c>
    </row>
    <row r="208">
      <c r="A208" s="1" t="s">
        <v>761</v>
      </c>
      <c r="B208" s="1" t="s">
        <v>2563</v>
      </c>
      <c r="C208" s="1" t="s">
        <v>2178</v>
      </c>
      <c r="E208" s="15"/>
      <c r="F208" s="16" t="str">
        <f>ifna(VLOOKUP($A208,ConstantsUnits!$A:$C,3,false),"")</f>
        <v>MuonProtonMagneticMomentRatio</v>
      </c>
      <c r="G208" s="17" t="str">
        <f t="shared" si="1"/>
        <v>-3.183345107</v>
      </c>
      <c r="H208" s="17">
        <f t="shared" si="2"/>
        <v>-3.183345107</v>
      </c>
      <c r="I208" s="17" t="str">
        <f t="shared" si="3"/>
        <v>0.000000084</v>
      </c>
      <c r="J208" s="17">
        <f t="shared" si="4"/>
        <v>0.000000084</v>
      </c>
      <c r="K208" s="17" t="b">
        <f t="shared" si="5"/>
        <v>0</v>
      </c>
      <c r="L208" s="16" t="str">
        <f>IFERROR(__xludf.DUMMYFUNCTION("if(regexmatch(B208,""e(.*)$""),regexextract(B208,""e(.*)$""),"""")"),"")</f>
        <v/>
      </c>
      <c r="M208" s="16"/>
      <c r="N208" s="18">
        <f>countif(ConstantsUnits!C:C,F208)</f>
        <v>1</v>
      </c>
      <c r="O208" s="16" t="str">
        <f>VLOOKUP(A208,ConstantsUnits!A:A,1,false)</f>
        <v>muon-proton mag. mom. ratio</v>
      </c>
    </row>
    <row r="209">
      <c r="A209" s="1" t="s">
        <v>764</v>
      </c>
      <c r="B209" s="1" t="s">
        <v>2564</v>
      </c>
      <c r="C209" s="1" t="s">
        <v>2562</v>
      </c>
      <c r="E209" s="15"/>
      <c r="F209" s="16" t="str">
        <f>ifna(VLOOKUP($A209,ConstantsUnits!$A:$C,3,false),"")</f>
        <v>MuonProtonMassRatio</v>
      </c>
      <c r="G209" s="17" t="str">
        <f t="shared" si="1"/>
        <v>0.1126095272</v>
      </c>
      <c r="H209" s="17">
        <f t="shared" si="2"/>
        <v>0.1126095272</v>
      </c>
      <c r="I209" s="17" t="str">
        <f t="shared" si="3"/>
        <v>0.0000000028</v>
      </c>
      <c r="J209" s="17">
        <f t="shared" si="4"/>
        <v>0.0000000028</v>
      </c>
      <c r="K209" s="17" t="b">
        <f t="shared" si="5"/>
        <v>0</v>
      </c>
      <c r="L209" s="16" t="str">
        <f>IFERROR(__xludf.DUMMYFUNCTION("if(regexmatch(B209,""e(.*)$""),regexextract(B209,""e(.*)$""),"""")"),"")</f>
        <v/>
      </c>
      <c r="M209" s="16"/>
      <c r="N209" s="18">
        <f>countif(ConstantsUnits!C:C,F209)</f>
        <v>1</v>
      </c>
      <c r="O209" s="16" t="str">
        <f>VLOOKUP(A209,ConstantsUnits!A:A,1,false)</f>
        <v>muon-proton mass ratio</v>
      </c>
    </row>
    <row r="210">
      <c r="A210" s="1" t="s">
        <v>767</v>
      </c>
      <c r="B210" s="1" t="s">
        <v>2054</v>
      </c>
      <c r="C210" s="1" t="s">
        <v>2055</v>
      </c>
      <c r="E210" s="15"/>
      <c r="F210" s="16" t="str">
        <f>ifna(VLOOKUP($A210,ConstantsUnits!$A:$C,3,false),"")</f>
        <v>MuonTauMassRatio</v>
      </c>
      <c r="G210" s="17" t="str">
        <f t="shared" si="1"/>
        <v>5.94649e-2</v>
      </c>
      <c r="H210" s="17">
        <f t="shared" si="2"/>
        <v>0.0594649</v>
      </c>
      <c r="I210" s="17" t="str">
        <f t="shared" si="3"/>
        <v>0.00054e-2</v>
      </c>
      <c r="J210" s="17">
        <f t="shared" si="4"/>
        <v>0.0000054</v>
      </c>
      <c r="K210" s="17" t="b">
        <f t="shared" si="5"/>
        <v>0</v>
      </c>
      <c r="L210" s="16" t="str">
        <f>IFERROR(__xludf.DUMMYFUNCTION("if(regexmatch(B210,""e(.*)$""),regexextract(B210,""e(.*)$""),"""")"),"-2")</f>
        <v>-2</v>
      </c>
      <c r="M210" s="16"/>
      <c r="N210" s="18">
        <f>countif(ConstantsUnits!C:C,F210)</f>
        <v>1</v>
      </c>
      <c r="O210" s="16" t="str">
        <f>VLOOKUP(A210,ConstantsUnits!A:A,1,false)</f>
        <v>muon-tau mass ratio</v>
      </c>
    </row>
    <row r="211">
      <c r="A211" s="1" t="s">
        <v>770</v>
      </c>
      <c r="B211" s="1" t="s">
        <v>2284</v>
      </c>
      <c r="C211" s="1" t="s">
        <v>2285</v>
      </c>
      <c r="D211" s="1" t="s">
        <v>108</v>
      </c>
      <c r="E211" s="15"/>
      <c r="F211" s="16" t="str">
        <f>ifna(VLOOKUP($A211,ConstantsUnits!$A:$C,3,false),"")</f>
        <v>NaturalUnitOfAction</v>
      </c>
      <c r="G211" s="17" t="str">
        <f t="shared" si="1"/>
        <v>1.054571726e-34</v>
      </c>
      <c r="H211" s="17">
        <f t="shared" si="2"/>
        <v>0</v>
      </c>
      <c r="I211" s="17" t="str">
        <f t="shared" si="3"/>
        <v>0.000000047e-34</v>
      </c>
      <c r="J211" s="17">
        <f t="shared" si="4"/>
        <v>0</v>
      </c>
      <c r="K211" s="17" t="b">
        <f t="shared" si="5"/>
        <v>0</v>
      </c>
      <c r="L211" s="16" t="str">
        <f>IFERROR(__xludf.DUMMYFUNCTION("if(regexmatch(B211,""e(.*)$""),regexextract(B211,""e(.*)$""),"""")"),"-34")</f>
        <v>-34</v>
      </c>
      <c r="M211" s="16"/>
      <c r="N211" s="18">
        <f>countif(ConstantsUnits!C:C,F211)</f>
        <v>1</v>
      </c>
      <c r="O211" s="16" t="str">
        <f>VLOOKUP(A211,ConstantsUnits!A:A,1,false)</f>
        <v>natural unit of action</v>
      </c>
    </row>
    <row r="212">
      <c r="A212" s="1" t="s">
        <v>773</v>
      </c>
      <c r="B212" s="1" t="s">
        <v>2565</v>
      </c>
      <c r="C212" s="1" t="s">
        <v>2566</v>
      </c>
      <c r="D212" s="1" t="s">
        <v>774</v>
      </c>
      <c r="E212" s="15"/>
      <c r="F212" s="16" t="str">
        <f>ifna(VLOOKUP($A212,ConstantsUnits!$A:$C,3,false),"")</f>
        <v>NaturalUnitOfActionInEVS</v>
      </c>
      <c r="G212" s="17" t="str">
        <f t="shared" si="1"/>
        <v>6.58211928e-16</v>
      </c>
      <c r="H212" s="17">
        <f t="shared" si="2"/>
        <v>0</v>
      </c>
      <c r="I212" s="17" t="str">
        <f t="shared" si="3"/>
        <v>0.00000015e-16</v>
      </c>
      <c r="J212" s="17">
        <f t="shared" si="4"/>
        <v>0</v>
      </c>
      <c r="K212" s="17" t="b">
        <f t="shared" si="5"/>
        <v>0</v>
      </c>
      <c r="L212" s="16" t="str">
        <f>IFERROR(__xludf.DUMMYFUNCTION("if(regexmatch(B212,""e(.*)$""),regexextract(B212,""e(.*)$""),"""")"),"-16")</f>
        <v>-16</v>
      </c>
      <c r="M212" s="16"/>
      <c r="N212" s="18">
        <f>countif(ConstantsUnits!C:C,F212)</f>
        <v>1</v>
      </c>
      <c r="O212" s="16" t="str">
        <f>VLOOKUP(A212,ConstantsUnits!A:A,1,false)</f>
        <v>natural unit of action in eV s</v>
      </c>
    </row>
    <row r="213">
      <c r="A213" s="1" t="s">
        <v>777</v>
      </c>
      <c r="B213" s="1" t="s">
        <v>2396</v>
      </c>
      <c r="C213" s="1" t="s">
        <v>2397</v>
      </c>
      <c r="D213" s="1" t="s">
        <v>41</v>
      </c>
      <c r="E213" s="15"/>
      <c r="F213" s="16" t="str">
        <f>ifna(VLOOKUP($A213,ConstantsUnits!$A:$C,3,false),"")</f>
        <v>NaturalUnitOfEnergy</v>
      </c>
      <c r="G213" s="17" t="str">
        <f t="shared" si="1"/>
        <v>8.18710506e-14</v>
      </c>
      <c r="H213" s="17">
        <f t="shared" si="2"/>
        <v>0</v>
      </c>
      <c r="I213" s="17" t="str">
        <f t="shared" si="3"/>
        <v>0.00000036e-14</v>
      </c>
      <c r="J213" s="17">
        <f t="shared" si="4"/>
        <v>0</v>
      </c>
      <c r="K213" s="17" t="b">
        <f t="shared" si="5"/>
        <v>0</v>
      </c>
      <c r="L213" s="16" t="str">
        <f>IFERROR(__xludf.DUMMYFUNCTION("if(regexmatch(B213,""e(.*)$""),regexextract(B213,""e(.*)$""),"""")"),"-14")</f>
        <v>-14</v>
      </c>
      <c r="M213" s="16"/>
      <c r="N213" s="18">
        <f>countif(ConstantsUnits!C:C,F213)</f>
        <v>1</v>
      </c>
      <c r="O213" s="16" t="str">
        <f>VLOOKUP(A213,ConstantsUnits!A:A,1,false)</f>
        <v>natural unit of energy</v>
      </c>
    </row>
    <row r="214">
      <c r="A214" s="1" t="s">
        <v>780</v>
      </c>
      <c r="B214" s="1" t="s">
        <v>2398</v>
      </c>
      <c r="C214" s="1" t="s">
        <v>2399</v>
      </c>
      <c r="D214" s="1" t="s">
        <v>45</v>
      </c>
      <c r="E214" s="15"/>
      <c r="F214" s="16" t="str">
        <f>ifna(VLOOKUP($A214,ConstantsUnits!$A:$C,3,false),"")</f>
        <v>NaturalUnitOfEnergyInMeV</v>
      </c>
      <c r="G214" s="17" t="str">
        <f t="shared" si="1"/>
        <v>0.510998928</v>
      </c>
      <c r="H214" s="17">
        <f t="shared" si="2"/>
        <v>0.510998928</v>
      </c>
      <c r="I214" s="17" t="str">
        <f t="shared" si="3"/>
        <v>0.000000011</v>
      </c>
      <c r="J214" s="17">
        <f t="shared" si="4"/>
        <v>0.000000011</v>
      </c>
      <c r="K214" s="17" t="b">
        <f t="shared" si="5"/>
        <v>0</v>
      </c>
      <c r="L214" s="16" t="str">
        <f>IFERROR(__xludf.DUMMYFUNCTION("if(regexmatch(B214,""e(.*)$""),regexextract(B214,""e(.*)$""),"""")"),"")</f>
        <v/>
      </c>
      <c r="M214" s="16"/>
      <c r="N214" s="18">
        <f>countif(ConstantsUnits!C:C,F214)</f>
        <v>1</v>
      </c>
      <c r="O214" s="16" t="str">
        <f>VLOOKUP(A214,ConstantsUnits!A:A,1,false)</f>
        <v>natural unit of energy in MeV</v>
      </c>
    </row>
    <row r="215">
      <c r="A215" s="1" t="s">
        <v>782</v>
      </c>
      <c r="B215" s="1" t="s">
        <v>2347</v>
      </c>
      <c r="C215" s="1" t="s">
        <v>2348</v>
      </c>
      <c r="D215" s="1" t="s">
        <v>59</v>
      </c>
      <c r="E215" s="15"/>
      <c r="F215" s="16" t="str">
        <f>ifna(VLOOKUP($A215,ConstantsUnits!$A:$C,3,false),"")</f>
        <v>NaturalUnitOfLength</v>
      </c>
      <c r="G215" s="17" t="str">
        <f t="shared" si="1"/>
        <v>386.15926800e-15</v>
      </c>
      <c r="H215" s="17">
        <f t="shared" si="2"/>
        <v>0</v>
      </c>
      <c r="I215" s="17" t="str">
        <f t="shared" si="3"/>
        <v>0.00000025e-15</v>
      </c>
      <c r="J215" s="17">
        <f t="shared" si="4"/>
        <v>0</v>
      </c>
      <c r="K215" s="17" t="b">
        <f t="shared" si="5"/>
        <v>0</v>
      </c>
      <c r="L215" s="16" t="str">
        <f>IFERROR(__xludf.DUMMYFUNCTION("if(regexmatch(B215,""e(.*)$""),regexextract(B215,""e(.*)$""),"""")"),"-15")</f>
        <v>-15</v>
      </c>
      <c r="M215" s="16"/>
      <c r="N215" s="18">
        <f>countif(ConstantsUnits!C:C,F215)</f>
        <v>1</v>
      </c>
      <c r="O215" s="16" t="str">
        <f>VLOOKUP(A215,ConstantsUnits!A:A,1,false)</f>
        <v>natural unit of length</v>
      </c>
    </row>
    <row r="216">
      <c r="A216" s="1" t="s">
        <v>785</v>
      </c>
      <c r="B216" s="1" t="s">
        <v>2315</v>
      </c>
      <c r="C216" s="1" t="s">
        <v>2316</v>
      </c>
      <c r="D216" s="1" t="s">
        <v>38</v>
      </c>
      <c r="E216" s="15"/>
      <c r="F216" s="16" t="str">
        <f>ifna(VLOOKUP($A216,ConstantsUnits!$A:$C,3,false),"")</f>
        <v>NaturalUnitOfMass</v>
      </c>
      <c r="G216" s="17" t="str">
        <f t="shared" si="1"/>
        <v>9.10938291e-31</v>
      </c>
      <c r="H216" s="17">
        <f t="shared" si="2"/>
        <v>0</v>
      </c>
      <c r="I216" s="17" t="str">
        <f t="shared" si="3"/>
        <v>0.00000040e-31</v>
      </c>
      <c r="J216" s="17">
        <f t="shared" si="4"/>
        <v>0</v>
      </c>
      <c r="K216" s="17" t="b">
        <f t="shared" si="5"/>
        <v>0</v>
      </c>
      <c r="L216" s="16" t="str">
        <f>IFERROR(__xludf.DUMMYFUNCTION("if(regexmatch(B216,""e(.*)$""),regexextract(B216,""e(.*)$""),"""")"),"-31")</f>
        <v>-31</v>
      </c>
      <c r="M216" s="16"/>
      <c r="N216" s="18">
        <f>countif(ConstantsUnits!C:C,F216)</f>
        <v>1</v>
      </c>
      <c r="O216" s="16" t="str">
        <f>VLOOKUP(A216,ConstantsUnits!A:A,1,false)</f>
        <v>natural unit of mass</v>
      </c>
    </row>
    <row r="217">
      <c r="A217" s="1" t="s">
        <v>2058</v>
      </c>
      <c r="B217" s="1" t="s">
        <v>2567</v>
      </c>
      <c r="C217" s="1" t="s">
        <v>2568</v>
      </c>
      <c r="D217" s="1" t="s">
        <v>182</v>
      </c>
      <c r="E217" s="15"/>
      <c r="F217" s="20" t="s">
        <v>789</v>
      </c>
      <c r="G217" s="17" t="str">
        <f t="shared" si="1"/>
        <v>2.73092429e-22</v>
      </c>
      <c r="H217" s="17">
        <f t="shared" si="2"/>
        <v>0</v>
      </c>
      <c r="I217" s="17" t="str">
        <f t="shared" si="3"/>
        <v>0.00000012e-22</v>
      </c>
      <c r="J217" s="17">
        <f t="shared" si="4"/>
        <v>0</v>
      </c>
      <c r="K217" s="17" t="b">
        <f t="shared" si="5"/>
        <v>0</v>
      </c>
      <c r="L217" s="16" t="str">
        <f>IFERROR(__xludf.DUMMYFUNCTION("if(regexmatch(B217,""e(.*)$""),regexextract(B217,""e(.*)$""),"""")"),"-22")</f>
        <v>-22</v>
      </c>
      <c r="M217" s="16"/>
      <c r="N217" s="18">
        <f>countif(ConstantsUnits!C:C,F217)</f>
        <v>1</v>
      </c>
      <c r="O217" s="16" t="str">
        <f>VLOOKUP(A217,ConstantsUnits!A:A,1,false)</f>
        <v>#N/A</v>
      </c>
    </row>
    <row r="218">
      <c r="A218" s="1" t="s">
        <v>2061</v>
      </c>
      <c r="B218" s="1" t="s">
        <v>2398</v>
      </c>
      <c r="C218" s="1" t="s">
        <v>2399</v>
      </c>
      <c r="D218" s="1" t="s">
        <v>792</v>
      </c>
      <c r="E218" s="15"/>
      <c r="F218" s="3" t="s">
        <v>2062</v>
      </c>
      <c r="G218" s="17" t="str">
        <f t="shared" si="1"/>
        <v>0.510998928</v>
      </c>
      <c r="H218" s="17">
        <f t="shared" si="2"/>
        <v>0.510998928</v>
      </c>
      <c r="I218" s="17" t="str">
        <f t="shared" si="3"/>
        <v>0.000000011</v>
      </c>
      <c r="J218" s="17">
        <f t="shared" si="4"/>
        <v>0.000000011</v>
      </c>
      <c r="K218" s="17" t="b">
        <f t="shared" si="5"/>
        <v>0</v>
      </c>
      <c r="L218" s="16" t="str">
        <f>IFERROR(__xludf.DUMMYFUNCTION("if(regexmatch(B218,""e(.*)$""),regexextract(B218,""e(.*)$""),"""")"),"")</f>
        <v/>
      </c>
      <c r="M218" s="16"/>
      <c r="N218" s="18">
        <f>countif(ConstantsUnits!C:C,F218)</f>
        <v>1</v>
      </c>
      <c r="O218" s="16" t="str">
        <f>VLOOKUP(A218,ConstantsUnits!A:A,1,false)</f>
        <v>#N/A</v>
      </c>
    </row>
    <row r="219">
      <c r="A219" s="1" t="s">
        <v>795</v>
      </c>
      <c r="B219" s="1" t="s">
        <v>2569</v>
      </c>
      <c r="C219" s="1" t="s">
        <v>2570</v>
      </c>
      <c r="D219" s="1" t="s">
        <v>192</v>
      </c>
      <c r="E219" s="15"/>
      <c r="F219" s="16" t="str">
        <f>ifna(VLOOKUP($A219,ConstantsUnits!$A:$C,3,false),"")</f>
        <v>NaturalUnitOfTime</v>
      </c>
      <c r="G219" s="17" t="str">
        <f t="shared" si="1"/>
        <v>1.28808866833e-21</v>
      </c>
      <c r="H219" s="17">
        <f t="shared" si="2"/>
        <v>0</v>
      </c>
      <c r="I219" s="17" t="str">
        <f t="shared" si="3"/>
        <v>0.00000000083e-21</v>
      </c>
      <c r="J219" s="17">
        <f t="shared" si="4"/>
        <v>0</v>
      </c>
      <c r="K219" s="17" t="b">
        <f t="shared" si="5"/>
        <v>0</v>
      </c>
      <c r="L219" s="16" t="str">
        <f>IFERROR(__xludf.DUMMYFUNCTION("if(regexmatch(B219,""e(.*)$""),regexextract(B219,""e(.*)$""),"""")"),"-21")</f>
        <v>-21</v>
      </c>
      <c r="M219" s="16"/>
      <c r="N219" s="18">
        <f>countif(ConstantsUnits!C:C,F219)</f>
        <v>1</v>
      </c>
      <c r="O219" s="16" t="str">
        <f>VLOOKUP(A219,ConstantsUnits!A:A,1,false)</f>
        <v>natural unit of time</v>
      </c>
    </row>
    <row r="220">
      <c r="A220" s="1" t="s">
        <v>798</v>
      </c>
      <c r="B220" s="1" t="s">
        <v>1445</v>
      </c>
      <c r="C220" s="1" t="s">
        <v>1232</v>
      </c>
      <c r="D220" s="1" t="s">
        <v>196</v>
      </c>
      <c r="E220" s="15"/>
      <c r="F220" s="16" t="str">
        <f>ifna(VLOOKUP($A220,ConstantsUnits!$A:$C,3,false),"")</f>
        <v>NaturalUnitOfVelocity</v>
      </c>
      <c r="G220" s="17" t="str">
        <f t="shared" si="1"/>
        <v>299792458</v>
      </c>
      <c r="H220" s="17">
        <f t="shared" si="2"/>
        <v>299792458</v>
      </c>
      <c r="I220" s="17" t="str">
        <f t="shared" si="3"/>
        <v>(exact)</v>
      </c>
      <c r="J220" s="17" t="str">
        <f t="shared" si="4"/>
        <v/>
      </c>
      <c r="K220" s="17" t="b">
        <f t="shared" si="5"/>
        <v>0</v>
      </c>
      <c r="L220" s="16" t="str">
        <f>IFERROR(__xludf.DUMMYFUNCTION("if(regexmatch(B220,""e(.*)$""),regexextract(B220,""e(.*)$""),"""")"),"")</f>
        <v/>
      </c>
      <c r="M220" s="16"/>
      <c r="N220" s="18">
        <f>countif(ConstantsUnits!C:C,F220)</f>
        <v>1</v>
      </c>
      <c r="O220" s="16" t="str">
        <f>VLOOKUP(A220,ConstantsUnits!A:A,1,false)</f>
        <v>natural unit of velocity</v>
      </c>
    </row>
    <row r="221">
      <c r="A221" s="1" t="s">
        <v>801</v>
      </c>
      <c r="B221" s="1" t="s">
        <v>2571</v>
      </c>
      <c r="C221" s="1" t="s">
        <v>2572</v>
      </c>
      <c r="D221" s="1" t="s">
        <v>59</v>
      </c>
      <c r="E221" s="15"/>
      <c r="F221" s="16" t="str">
        <f>ifna(VLOOKUP($A221,ConstantsUnits!$A:$C,3,false),"")</f>
        <v>NeutronComptonWavelength</v>
      </c>
      <c r="G221" s="17" t="str">
        <f t="shared" si="1"/>
        <v>1.3195909068e-15</v>
      </c>
      <c r="H221" s="17">
        <f t="shared" si="2"/>
        <v>0</v>
      </c>
      <c r="I221" s="17" t="str">
        <f t="shared" si="3"/>
        <v>0.0000000011e-15</v>
      </c>
      <c r="J221" s="17">
        <f t="shared" si="4"/>
        <v>0</v>
      </c>
      <c r="K221" s="17" t="b">
        <f t="shared" si="5"/>
        <v>0</v>
      </c>
      <c r="L221" s="16" t="str">
        <f>IFERROR(__xludf.DUMMYFUNCTION("if(regexmatch(B221,""e(.*)$""),regexextract(B221,""e(.*)$""),"""")"),"-15")</f>
        <v>-15</v>
      </c>
      <c r="M221" s="16"/>
      <c r="N221" s="18">
        <f>countif(ConstantsUnits!C:C,F221)</f>
        <v>1</v>
      </c>
      <c r="O221" s="16" t="str">
        <f>VLOOKUP(A221,ConstantsUnits!A:A,1,false)</f>
        <v>neutron Compton wavelength</v>
      </c>
    </row>
    <row r="222">
      <c r="A222" s="1" t="s">
        <v>2067</v>
      </c>
      <c r="B222" s="1" t="s">
        <v>2573</v>
      </c>
      <c r="C222" s="1" t="s">
        <v>2574</v>
      </c>
      <c r="D222" s="1" t="s">
        <v>59</v>
      </c>
      <c r="E222" s="15"/>
      <c r="F222" s="3" t="s">
        <v>2070</v>
      </c>
      <c r="G222" s="17" t="str">
        <f t="shared" si="1"/>
        <v>0.21001941568e-15</v>
      </c>
      <c r="H222" s="17">
        <f t="shared" si="2"/>
        <v>0</v>
      </c>
      <c r="I222" s="17" t="str">
        <f t="shared" si="3"/>
        <v>0.00000000017e-15</v>
      </c>
      <c r="J222" s="17">
        <f t="shared" si="4"/>
        <v>0</v>
      </c>
      <c r="K222" s="17" t="b">
        <f t="shared" si="5"/>
        <v>0</v>
      </c>
      <c r="L222" s="16" t="str">
        <f>IFERROR(__xludf.DUMMYFUNCTION("if(regexmatch(B222,""e(.*)$""),regexextract(B222,""e(.*)$""),"""")"),"-15")</f>
        <v>-15</v>
      </c>
      <c r="M222" s="16"/>
      <c r="N222" s="18">
        <f>countif(ConstantsUnits!C:C,F222)</f>
        <v>1</v>
      </c>
      <c r="O222" s="16" t="str">
        <f>VLOOKUP(A222,ConstantsUnits!A:A,1,false)</f>
        <v>#N/A</v>
      </c>
    </row>
    <row r="223">
      <c r="A223" s="1" t="s">
        <v>805</v>
      </c>
      <c r="B223" s="1" t="s">
        <v>1530</v>
      </c>
      <c r="C223" s="1" t="s">
        <v>1531</v>
      </c>
      <c r="E223" s="15"/>
      <c r="F223" s="16" t="str">
        <f>ifna(VLOOKUP($A223,ConstantsUnits!$A:$C,3,false),"")</f>
        <v>NeutronElectronMagneticMomentRatio</v>
      </c>
      <c r="G223" s="17" t="str">
        <f t="shared" si="1"/>
        <v>1.04066882e-3</v>
      </c>
      <c r="H223" s="17">
        <f t="shared" si="2"/>
        <v>0.00104066882</v>
      </c>
      <c r="I223" s="17" t="str">
        <f t="shared" si="3"/>
        <v>0.00000025e-3</v>
      </c>
      <c r="J223" s="17">
        <f t="shared" si="4"/>
        <v>0.00000000025</v>
      </c>
      <c r="K223" s="17" t="b">
        <f t="shared" si="5"/>
        <v>0</v>
      </c>
      <c r="L223" s="16" t="str">
        <f>IFERROR(__xludf.DUMMYFUNCTION("if(regexmatch(B223,""e(.*)$""),regexextract(B223,""e(.*)$""),"""")"),"-3")</f>
        <v>-3</v>
      </c>
      <c r="M223" s="16"/>
      <c r="N223" s="18">
        <f>countif(ConstantsUnits!C:C,F223)</f>
        <v>1</v>
      </c>
      <c r="O223" s="16" t="str">
        <f>VLOOKUP(A223,ConstantsUnits!A:A,1,false)</f>
        <v>neutron-electron mag. mom. ratio</v>
      </c>
    </row>
    <row r="224">
      <c r="A224" s="1" t="s">
        <v>808</v>
      </c>
      <c r="B224" s="1" t="s">
        <v>2575</v>
      </c>
      <c r="C224" s="1" t="s">
        <v>1202</v>
      </c>
      <c r="E224" s="15"/>
      <c r="F224" s="16" t="str">
        <f>ifna(VLOOKUP($A224,ConstantsUnits!$A:$C,3,false),"")</f>
        <v>NeutronElectronMassRatio</v>
      </c>
      <c r="G224" s="17" t="str">
        <f t="shared" si="1"/>
        <v>1838.6836605</v>
      </c>
      <c r="H224" s="17">
        <f t="shared" si="2"/>
        <v>1838.683661</v>
      </c>
      <c r="I224" s="17" t="str">
        <f t="shared" si="3"/>
        <v>0.0000011</v>
      </c>
      <c r="J224" s="17">
        <f t="shared" si="4"/>
        <v>0.0000011</v>
      </c>
      <c r="K224" s="17" t="b">
        <f t="shared" si="5"/>
        <v>0</v>
      </c>
      <c r="L224" s="16" t="str">
        <f>IFERROR(__xludf.DUMMYFUNCTION("if(regexmatch(B224,""e(.*)$""),regexextract(B224,""e(.*)$""),"""")"),"")</f>
        <v/>
      </c>
      <c r="M224" s="16"/>
      <c r="N224" s="18">
        <f>countif(ConstantsUnits!C:C,F224)</f>
        <v>1</v>
      </c>
      <c r="O224" s="16" t="str">
        <f>VLOOKUP(A224,ConstantsUnits!A:A,1,false)</f>
        <v>neutron-electron mass ratio</v>
      </c>
    </row>
    <row r="225">
      <c r="A225" s="1" t="s">
        <v>811</v>
      </c>
      <c r="B225" s="1" t="s">
        <v>1534</v>
      </c>
      <c r="C225" s="1" t="s">
        <v>1535</v>
      </c>
      <c r="E225" s="15"/>
      <c r="F225" s="16" t="str">
        <f>ifna(VLOOKUP($A225,ConstantsUnits!$A:$C,3,false),"")</f>
        <v>NeutronGFactor</v>
      </c>
      <c r="G225" s="17" t="str">
        <f t="shared" si="1"/>
        <v>-3.82608545</v>
      </c>
      <c r="H225" s="17">
        <f t="shared" si="2"/>
        <v>-3.82608545</v>
      </c>
      <c r="I225" s="17" t="str">
        <f t="shared" si="3"/>
        <v>0.00000090</v>
      </c>
      <c r="J225" s="17">
        <f t="shared" si="4"/>
        <v>0.0000009</v>
      </c>
      <c r="K225" s="17" t="b">
        <f t="shared" si="5"/>
        <v>0</v>
      </c>
      <c r="L225" s="16" t="str">
        <f>IFERROR(__xludf.DUMMYFUNCTION("if(regexmatch(B225,""e(.*)$""),regexextract(B225,""e(.*)$""),"""")"),"")</f>
        <v/>
      </c>
      <c r="M225" s="16"/>
      <c r="N225" s="18">
        <f>countif(ConstantsUnits!C:C,F225)</f>
        <v>1</v>
      </c>
      <c r="O225" s="16" t="str">
        <f>VLOOKUP(A225,ConstantsUnits!A:A,1,false)</f>
        <v>neutron g factor</v>
      </c>
    </row>
    <row r="226">
      <c r="A226" s="1" t="s">
        <v>814</v>
      </c>
      <c r="B226" s="1" t="s">
        <v>2576</v>
      </c>
      <c r="C226" s="1" t="s">
        <v>1537</v>
      </c>
      <c r="D226" s="1" t="s">
        <v>361</v>
      </c>
      <c r="E226" s="15"/>
      <c r="F226" s="16" t="str">
        <f>ifna(VLOOKUP($A226,ConstantsUnits!$A:$C,3,false),"")</f>
        <v>NeutronGyromagneticRatio</v>
      </c>
      <c r="G226" s="17" t="str">
        <f t="shared" si="1"/>
        <v>1.83247179e8</v>
      </c>
      <c r="H226" s="17">
        <f t="shared" si="2"/>
        <v>183247179</v>
      </c>
      <c r="I226" s="17" t="str">
        <f t="shared" si="3"/>
        <v>0.00000043e8</v>
      </c>
      <c r="J226" s="17">
        <f t="shared" si="4"/>
        <v>43</v>
      </c>
      <c r="K226" s="17" t="b">
        <f t="shared" si="5"/>
        <v>0</v>
      </c>
      <c r="L226" s="16" t="str">
        <f>IFERROR(__xludf.DUMMYFUNCTION("if(regexmatch(B226,""e(.*)$""),regexextract(B226,""e(.*)$""),"""")"),"8")</f>
        <v>8</v>
      </c>
      <c r="M226" s="16"/>
      <c r="N226" s="18">
        <f>countif(ConstantsUnits!C:C,F226)</f>
        <v>1</v>
      </c>
      <c r="O226" s="16" t="str">
        <f>VLOOKUP(A226,ConstantsUnits!A:A,1,false)</f>
        <v>neutron gyromag. ratio</v>
      </c>
    </row>
    <row r="227">
      <c r="A227" s="1" t="s">
        <v>2073</v>
      </c>
      <c r="B227" s="1" t="s">
        <v>2577</v>
      </c>
      <c r="C227" s="1" t="s">
        <v>1539</v>
      </c>
      <c r="D227" s="1" t="s">
        <v>367</v>
      </c>
      <c r="E227" s="15"/>
      <c r="F227" s="1" t="s">
        <v>2075</v>
      </c>
      <c r="G227" s="17" t="str">
        <f t="shared" si="1"/>
        <v>29.1646943</v>
      </c>
      <c r="H227" s="17">
        <f t="shared" si="2"/>
        <v>29.1646943</v>
      </c>
      <c r="I227" s="17" t="str">
        <f t="shared" si="3"/>
        <v>0.0000069</v>
      </c>
      <c r="J227" s="17">
        <f t="shared" si="4"/>
        <v>0.0000069</v>
      </c>
      <c r="K227" s="17" t="b">
        <f t="shared" si="5"/>
        <v>0</v>
      </c>
      <c r="L227" s="16" t="str">
        <f>IFERROR(__xludf.DUMMYFUNCTION("if(regexmatch(B227,""e(.*)$""),regexextract(B227,""e(.*)$""),"""")"),"")</f>
        <v/>
      </c>
      <c r="M227" s="16"/>
      <c r="N227" s="18">
        <f>countif(ConstantsUnits!C:C,F227)</f>
        <v>1</v>
      </c>
      <c r="O227" s="16" t="str">
        <f>VLOOKUP(A227,ConstantsUnits!A:A,1,false)</f>
        <v>#N/A</v>
      </c>
    </row>
    <row r="228">
      <c r="A228" s="1" t="s">
        <v>821</v>
      </c>
      <c r="B228" s="1" t="s">
        <v>2578</v>
      </c>
      <c r="C228" s="1" t="s">
        <v>2077</v>
      </c>
      <c r="D228" s="1" t="s">
        <v>165</v>
      </c>
      <c r="E228" s="15"/>
      <c r="F228" s="16" t="str">
        <f>ifna(VLOOKUP($A228,ConstantsUnits!$A:$C,3,false),"")</f>
        <v>NeutronMagneticMoment</v>
      </c>
      <c r="G228" s="17" t="str">
        <f t="shared" si="1"/>
        <v>-0.96623647e-26</v>
      </c>
      <c r="H228" s="17">
        <f t="shared" si="2"/>
        <v>0</v>
      </c>
      <c r="I228" s="17" t="str">
        <f t="shared" si="3"/>
        <v>0.00000023e-26</v>
      </c>
      <c r="J228" s="17">
        <f t="shared" si="4"/>
        <v>0</v>
      </c>
      <c r="K228" s="17" t="b">
        <f t="shared" si="5"/>
        <v>0</v>
      </c>
      <c r="L228" s="16" t="str">
        <f>IFERROR(__xludf.DUMMYFUNCTION("if(regexmatch(B228,""e(.*)$""),regexextract(B228,""e(.*)$""),"""")"),"-26")</f>
        <v>-26</v>
      </c>
      <c r="M228" s="16"/>
      <c r="N228" s="18">
        <f>countif(ConstantsUnits!C:C,F228)</f>
        <v>1</v>
      </c>
      <c r="O228" s="16" t="str">
        <f>VLOOKUP(A228,ConstantsUnits!A:A,1,false)</f>
        <v>neutron mag. mom.</v>
      </c>
    </row>
    <row r="229">
      <c r="A229" s="1" t="s">
        <v>824</v>
      </c>
      <c r="B229" s="1" t="s">
        <v>1542</v>
      </c>
      <c r="C229" s="1" t="s">
        <v>1531</v>
      </c>
      <c r="E229" s="15"/>
      <c r="F229" s="16" t="str">
        <f>ifna(VLOOKUP($A229,ConstantsUnits!$A:$C,3,false),"")</f>
        <v>NeutronMagneticMomentToBohrMagnetonRatio</v>
      </c>
      <c r="G229" s="17" t="str">
        <f t="shared" si="1"/>
        <v>-1.04187563e-3</v>
      </c>
      <c r="H229" s="17">
        <f t="shared" si="2"/>
        <v>-0.00104187563</v>
      </c>
      <c r="I229" s="17" t="str">
        <f t="shared" si="3"/>
        <v>0.00000025e-3</v>
      </c>
      <c r="J229" s="17">
        <f t="shared" si="4"/>
        <v>0.00000000025</v>
      </c>
      <c r="K229" s="17" t="b">
        <f t="shared" si="5"/>
        <v>0</v>
      </c>
      <c r="L229" s="16" t="str">
        <f>IFERROR(__xludf.DUMMYFUNCTION("if(regexmatch(B229,""e(.*)$""),regexextract(B229,""e(.*)$""),"""")"),"-3")</f>
        <v>-3</v>
      </c>
      <c r="M229" s="16"/>
      <c r="N229" s="18">
        <f>countif(ConstantsUnits!C:C,F229)</f>
        <v>1</v>
      </c>
      <c r="O229" s="16" t="str">
        <f>VLOOKUP(A229,ConstantsUnits!A:A,1,false)</f>
        <v>neutron mag. mom. to Bohr magneton ratio</v>
      </c>
    </row>
    <row r="230">
      <c r="A230" s="1" t="s">
        <v>827</v>
      </c>
      <c r="B230" s="1" t="s">
        <v>2579</v>
      </c>
      <c r="C230" s="1" t="s">
        <v>1544</v>
      </c>
      <c r="E230" s="15"/>
      <c r="F230" s="16" t="str">
        <f>ifna(VLOOKUP($A230,ConstantsUnits!$A:$C,3,false),"")</f>
        <v>NeutronMagneticMomentToNuclearMagnetonRatio</v>
      </c>
      <c r="G230" s="17" t="str">
        <f t="shared" si="1"/>
        <v>-1.91304272</v>
      </c>
      <c r="H230" s="17">
        <f t="shared" si="2"/>
        <v>-1.91304272</v>
      </c>
      <c r="I230" s="17" t="str">
        <f t="shared" si="3"/>
        <v>0.00000045</v>
      </c>
      <c r="J230" s="17">
        <f t="shared" si="4"/>
        <v>0.00000045</v>
      </c>
      <c r="K230" s="17" t="b">
        <f t="shared" si="5"/>
        <v>0</v>
      </c>
      <c r="L230" s="16" t="str">
        <f>IFERROR(__xludf.DUMMYFUNCTION("if(regexmatch(B230,""e(.*)$""),regexextract(B230,""e(.*)$""),"""")"),"")</f>
        <v/>
      </c>
      <c r="M230" s="16"/>
      <c r="N230" s="18">
        <f>countif(ConstantsUnits!C:C,F230)</f>
        <v>1</v>
      </c>
      <c r="O230" s="16" t="str">
        <f>VLOOKUP(A230,ConstantsUnits!A:A,1,false)</f>
        <v>neutron mag. mom. to nuclear magneton ratio</v>
      </c>
    </row>
    <row r="231">
      <c r="A231" s="1" t="s">
        <v>830</v>
      </c>
      <c r="B231" s="1" t="s">
        <v>2580</v>
      </c>
      <c r="C231" s="1" t="s">
        <v>2581</v>
      </c>
      <c r="D231" s="1" t="s">
        <v>38</v>
      </c>
      <c r="E231" s="15"/>
      <c r="F231" s="16" t="str">
        <f>ifna(VLOOKUP($A231,ConstantsUnits!$A:$C,3,false),"")</f>
        <v>NeutronMass</v>
      </c>
      <c r="G231" s="17" t="str">
        <f t="shared" si="1"/>
        <v>1.674927351e-27</v>
      </c>
      <c r="H231" s="17">
        <f t="shared" si="2"/>
        <v>0</v>
      </c>
      <c r="I231" s="17" t="str">
        <f t="shared" si="3"/>
        <v>0.000000074e-27</v>
      </c>
      <c r="J231" s="17">
        <f t="shared" si="4"/>
        <v>0</v>
      </c>
      <c r="K231" s="17" t="b">
        <f t="shared" si="5"/>
        <v>0</v>
      </c>
      <c r="L231" s="16" t="str">
        <f>IFERROR(__xludf.DUMMYFUNCTION("if(regexmatch(B231,""e(.*)$""),regexextract(B231,""e(.*)$""),"""")"),"-27")</f>
        <v>-27</v>
      </c>
      <c r="M231" s="16"/>
      <c r="N231" s="18">
        <f>countif(ConstantsUnits!C:C,F231)</f>
        <v>1</v>
      </c>
      <c r="O231" s="16" t="str">
        <f>VLOOKUP(A231,ConstantsUnits!A:A,1,false)</f>
        <v>neutron mass</v>
      </c>
    </row>
    <row r="232">
      <c r="A232" s="1" t="s">
        <v>833</v>
      </c>
      <c r="B232" s="1" t="s">
        <v>2582</v>
      </c>
      <c r="C232" s="1" t="s">
        <v>2268</v>
      </c>
      <c r="D232" s="1" t="s">
        <v>41</v>
      </c>
      <c r="E232" s="15"/>
      <c r="F232" s="16" t="str">
        <f>ifna(VLOOKUP($A232,ConstantsUnits!$A:$C,3,false),"")</f>
        <v>NeutronMassEnergyEquivalent</v>
      </c>
      <c r="G232" s="17" t="str">
        <f t="shared" si="1"/>
        <v>1.505349631e-10</v>
      </c>
      <c r="H232" s="17">
        <f t="shared" si="2"/>
        <v>0.0000000001505349631</v>
      </c>
      <c r="I232" s="17" t="str">
        <f t="shared" si="3"/>
        <v>0.000000066e-10</v>
      </c>
      <c r="J232" s="17">
        <f t="shared" si="4"/>
        <v>0</v>
      </c>
      <c r="K232" s="17" t="b">
        <f t="shared" si="5"/>
        <v>0</v>
      </c>
      <c r="L232" s="16" t="str">
        <f>IFERROR(__xludf.DUMMYFUNCTION("if(regexmatch(B232,""e(.*)$""),regexextract(B232,""e(.*)$""),"""")"),"-10")</f>
        <v>-10</v>
      </c>
      <c r="M232" s="16"/>
      <c r="N232" s="18">
        <f>countif(ConstantsUnits!C:C,F232)</f>
        <v>1</v>
      </c>
      <c r="O232" s="16" t="str">
        <f>VLOOKUP(A232,ConstantsUnits!A:A,1,false)</f>
        <v>neutron mass energy equivalent</v>
      </c>
    </row>
    <row r="233">
      <c r="A233" s="1" t="s">
        <v>836</v>
      </c>
      <c r="B233" s="1" t="s">
        <v>2583</v>
      </c>
      <c r="C233" s="1" t="s">
        <v>1640</v>
      </c>
      <c r="D233" s="1" t="s">
        <v>45</v>
      </c>
      <c r="E233" s="15"/>
      <c r="F233" s="16" t="str">
        <f>ifna(VLOOKUP($A233,ConstantsUnits!$A:$C,3,false),"")</f>
        <v>NeutronMassEnergyEquivalentInMeV</v>
      </c>
      <c r="G233" s="17" t="str">
        <f t="shared" si="1"/>
        <v>939.565379</v>
      </c>
      <c r="H233" s="17">
        <f t="shared" si="2"/>
        <v>939.565379</v>
      </c>
      <c r="I233" s="17" t="str">
        <f t="shared" si="3"/>
        <v>0.000021</v>
      </c>
      <c r="J233" s="17">
        <f t="shared" si="4"/>
        <v>0.000021</v>
      </c>
      <c r="K233" s="17" t="b">
        <f t="shared" si="5"/>
        <v>0</v>
      </c>
      <c r="L233" s="16" t="str">
        <f>IFERROR(__xludf.DUMMYFUNCTION("if(regexmatch(B233,""e(.*)$""),regexextract(B233,""e(.*)$""),"""")"),"")</f>
        <v/>
      </c>
      <c r="M233" s="16"/>
      <c r="N233" s="18">
        <f>countif(ConstantsUnits!C:C,F233)</f>
        <v>1</v>
      </c>
      <c r="O233" s="16" t="str">
        <f>VLOOKUP(A233,ConstantsUnits!A:A,1,false)</f>
        <v>neutron mass energy equivalent in MeV</v>
      </c>
    </row>
    <row r="234">
      <c r="A234" s="1" t="s">
        <v>838</v>
      </c>
      <c r="B234" s="1" t="s">
        <v>2584</v>
      </c>
      <c r="C234" s="1" t="s">
        <v>2585</v>
      </c>
      <c r="D234" s="1" t="s">
        <v>48</v>
      </c>
      <c r="E234" s="15"/>
      <c r="F234" s="16" t="str">
        <f>ifna(VLOOKUP($A234,ConstantsUnits!$A:$C,3,false),"")</f>
        <v>NeutronMassInAtomicMassUnit</v>
      </c>
      <c r="G234" s="17" t="str">
        <f t="shared" si="1"/>
        <v>1.00866491600</v>
      </c>
      <c r="H234" s="17">
        <f t="shared" si="2"/>
        <v>1.008664916</v>
      </c>
      <c r="I234" s="17" t="str">
        <f t="shared" si="3"/>
        <v>0.00000000043</v>
      </c>
      <c r="J234" s="17">
        <f t="shared" si="4"/>
        <v>0.00000000043</v>
      </c>
      <c r="K234" s="17" t="b">
        <f t="shared" si="5"/>
        <v>0</v>
      </c>
      <c r="L234" s="16" t="str">
        <f>IFERROR(__xludf.DUMMYFUNCTION("if(regexmatch(B234,""e(.*)$""),regexextract(B234,""e(.*)$""),"""")"),"")</f>
        <v/>
      </c>
      <c r="M234" s="16"/>
      <c r="N234" s="18">
        <f>countif(ConstantsUnits!C:C,F234)</f>
        <v>1</v>
      </c>
      <c r="O234" s="16" t="str">
        <f>VLOOKUP(A234,ConstantsUnits!A:A,1,false)</f>
        <v>neutron mass in u</v>
      </c>
    </row>
    <row r="235">
      <c r="A235" s="1" t="s">
        <v>841</v>
      </c>
      <c r="B235" s="1" t="s">
        <v>2586</v>
      </c>
      <c r="C235" s="1" t="s">
        <v>2587</v>
      </c>
      <c r="D235" s="1" t="s">
        <v>51</v>
      </c>
      <c r="E235" s="15"/>
      <c r="F235" s="16" t="str">
        <f>ifna(VLOOKUP($A235,ConstantsUnits!$A:$C,3,false),"")</f>
        <v>NeutronMolarMass</v>
      </c>
      <c r="G235" s="17" t="str">
        <f t="shared" si="1"/>
        <v>1.00866491600e-3</v>
      </c>
      <c r="H235" s="17">
        <f t="shared" si="2"/>
        <v>0.001008664916</v>
      </c>
      <c r="I235" s="17" t="str">
        <f t="shared" si="3"/>
        <v>0.00000000043e-3</v>
      </c>
      <c r="J235" s="17">
        <f t="shared" si="4"/>
        <v>0</v>
      </c>
      <c r="K235" s="17" t="b">
        <f t="shared" si="5"/>
        <v>0</v>
      </c>
      <c r="L235" s="16" t="str">
        <f>IFERROR(__xludf.DUMMYFUNCTION("if(regexmatch(B235,""e(.*)$""),regexextract(B235,""e(.*)$""),"""")"),"-3")</f>
        <v>-3</v>
      </c>
      <c r="M235" s="16"/>
      <c r="N235" s="18">
        <f>countif(ConstantsUnits!C:C,F235)</f>
        <v>1</v>
      </c>
      <c r="O235" s="16" t="str">
        <f>VLOOKUP(A235,ConstantsUnits!A:A,1,false)</f>
        <v>neutron molar mass</v>
      </c>
    </row>
    <row r="236">
      <c r="A236" s="1" t="s">
        <v>844</v>
      </c>
      <c r="B236" s="1" t="s">
        <v>2588</v>
      </c>
      <c r="C236" s="1" t="s">
        <v>2550</v>
      </c>
      <c r="E236" s="15"/>
      <c r="F236" s="16" t="str">
        <f>ifna(VLOOKUP($A236,ConstantsUnits!$A:$C,3,false),"")</f>
        <v>NeutronMuonMassRatio</v>
      </c>
      <c r="G236" s="17" t="str">
        <f t="shared" si="1"/>
        <v>8.89248400</v>
      </c>
      <c r="H236" s="17">
        <f t="shared" si="2"/>
        <v>8.892484</v>
      </c>
      <c r="I236" s="17" t="str">
        <f t="shared" si="3"/>
        <v>0.00000022</v>
      </c>
      <c r="J236" s="17">
        <f t="shared" si="4"/>
        <v>0.00000022</v>
      </c>
      <c r="K236" s="17" t="b">
        <f t="shared" si="5"/>
        <v>0</v>
      </c>
      <c r="L236" s="16" t="str">
        <f>IFERROR(__xludf.DUMMYFUNCTION("if(regexmatch(B236,""e(.*)$""),regexextract(B236,""e(.*)$""),"""")"),"")</f>
        <v/>
      </c>
      <c r="M236" s="16"/>
      <c r="N236" s="18">
        <f>countif(ConstantsUnits!C:C,F236)</f>
        <v>1</v>
      </c>
      <c r="O236" s="16" t="str">
        <f>VLOOKUP(A236,ConstantsUnits!A:A,1,false)</f>
        <v>neutron-muon mass ratio</v>
      </c>
    </row>
    <row r="237">
      <c r="A237" s="1" t="s">
        <v>847</v>
      </c>
      <c r="B237" s="1" t="s">
        <v>1556</v>
      </c>
      <c r="C237" s="1" t="s">
        <v>1557</v>
      </c>
      <c r="E237" s="15"/>
      <c r="F237" s="16" t="str">
        <f>ifna(VLOOKUP($A237,ConstantsUnits!$A:$C,3,false),"")</f>
        <v>NeutronProtonMagneticMomentRatio</v>
      </c>
      <c r="G237" s="17" t="str">
        <f t="shared" si="1"/>
        <v>-0.68497934</v>
      </c>
      <c r="H237" s="17">
        <f t="shared" si="2"/>
        <v>-0.68497934</v>
      </c>
      <c r="I237" s="17" t="str">
        <f t="shared" si="3"/>
        <v>0.00000016</v>
      </c>
      <c r="J237" s="17">
        <f t="shared" si="4"/>
        <v>0.00000016</v>
      </c>
      <c r="K237" s="17" t="b">
        <f t="shared" si="5"/>
        <v>0</v>
      </c>
      <c r="L237" s="16" t="str">
        <f>IFERROR(__xludf.DUMMYFUNCTION("if(regexmatch(B237,""e(.*)$""),regexextract(B237,""e(.*)$""),"""")"),"")</f>
        <v/>
      </c>
      <c r="M237" s="16"/>
      <c r="N237" s="18">
        <f>countif(ConstantsUnits!C:C,F237)</f>
        <v>1</v>
      </c>
      <c r="O237" s="16" t="str">
        <f>VLOOKUP(A237,ConstantsUnits!A:A,1,false)</f>
        <v>neutron-proton mag. mom. ratio</v>
      </c>
    </row>
    <row r="238">
      <c r="A238" s="1" t="s">
        <v>850</v>
      </c>
      <c r="B238" s="1" t="s">
        <v>2589</v>
      </c>
      <c r="C238" s="1" t="s">
        <v>2590</v>
      </c>
      <c r="E238" s="15"/>
      <c r="F238" s="16" t="str">
        <f>ifna(VLOOKUP($A238,ConstantsUnits!$A:$C,3,false),"")</f>
        <v>Neutron-ProtonMassDifference</v>
      </c>
      <c r="G238" s="17" t="str">
        <f t="shared" si="1"/>
        <v>2.30557392e-30</v>
      </c>
      <c r="H238" s="17">
        <f t="shared" si="2"/>
        <v>0</v>
      </c>
      <c r="I238" s="17" t="str">
        <f t="shared" si="3"/>
        <v>0.00000076e-30</v>
      </c>
      <c r="J238" s="17">
        <f t="shared" si="4"/>
        <v>0</v>
      </c>
      <c r="K238" s="17" t="b">
        <f t="shared" si="5"/>
        <v>0</v>
      </c>
      <c r="L238" s="16" t="str">
        <f>IFERROR(__xludf.DUMMYFUNCTION("if(regexmatch(B238,""e(.*)$""),regexextract(B238,""e(.*)$""),"""")"),"-30")</f>
        <v>-30</v>
      </c>
      <c r="M238" s="16"/>
      <c r="N238" s="18">
        <f>countif(ConstantsUnits!C:C,F238)</f>
        <v>1</v>
      </c>
      <c r="O238" s="16" t="str">
        <f>VLOOKUP(A238,ConstantsUnits!A:A,1,false)</f>
        <v>neutron-proton mass difference</v>
      </c>
    </row>
    <row r="239">
      <c r="A239" s="1" t="s">
        <v>852</v>
      </c>
      <c r="B239" s="1" t="s">
        <v>2591</v>
      </c>
      <c r="C239" s="1" t="s">
        <v>2592</v>
      </c>
      <c r="E239" s="15"/>
      <c r="F239" s="16" t="str">
        <f>ifna(VLOOKUP($A239,ConstantsUnits!$A:$C,3,false),"")</f>
        <v>Neutron-ProtonMassDifferenceEnergyEquivalent</v>
      </c>
      <c r="G239" s="17" t="str">
        <f t="shared" si="1"/>
        <v>2.07214650e-13</v>
      </c>
      <c r="H239" s="17">
        <f t="shared" si="2"/>
        <v>0</v>
      </c>
      <c r="I239" s="17" t="str">
        <f t="shared" si="3"/>
        <v>0.00000068e-13</v>
      </c>
      <c r="J239" s="17">
        <f t="shared" si="4"/>
        <v>0</v>
      </c>
      <c r="K239" s="17" t="b">
        <f t="shared" si="5"/>
        <v>0</v>
      </c>
      <c r="L239" s="16" t="str">
        <f>IFERROR(__xludf.DUMMYFUNCTION("if(regexmatch(B239,""e(.*)$""),regexextract(B239,""e(.*)$""),"""")"),"-13")</f>
        <v>-13</v>
      </c>
      <c r="M239" s="16"/>
      <c r="N239" s="18">
        <f>countif(ConstantsUnits!C:C,F239)</f>
        <v>1</v>
      </c>
      <c r="O239" s="16" t="str">
        <f>VLOOKUP(A239,ConstantsUnits!A:A,1,false)</f>
        <v>neutron-proton mass difference energy equivalent</v>
      </c>
    </row>
    <row r="240">
      <c r="A240" s="1" t="s">
        <v>854</v>
      </c>
      <c r="B240" s="1" t="s">
        <v>2593</v>
      </c>
      <c r="C240" s="1" t="s">
        <v>2594</v>
      </c>
      <c r="E240" s="15"/>
      <c r="F240" s="16" t="str">
        <f>ifna(VLOOKUP($A240,ConstantsUnits!$A:$C,3,false),"")</f>
        <v>Neutron-ProtonMassDifferenceEnergyEquivalentInMev</v>
      </c>
      <c r="G240" s="17" t="str">
        <f t="shared" si="1"/>
        <v>1.29333217</v>
      </c>
      <c r="H240" s="17">
        <f t="shared" si="2"/>
        <v>1.29333217</v>
      </c>
      <c r="I240" s="17" t="str">
        <f t="shared" si="3"/>
        <v>0.00000042</v>
      </c>
      <c r="J240" s="17">
        <f t="shared" si="4"/>
        <v>0.00000042</v>
      </c>
      <c r="K240" s="17" t="b">
        <f t="shared" si="5"/>
        <v>0</v>
      </c>
      <c r="L240" s="16" t="str">
        <f>IFERROR(__xludf.DUMMYFUNCTION("if(regexmatch(B240,""e(.*)$""),regexextract(B240,""e(.*)$""),"""")"),"")</f>
        <v/>
      </c>
      <c r="M240" s="16"/>
      <c r="N240" s="18">
        <f>countif(ConstantsUnits!C:C,F240)</f>
        <v>1</v>
      </c>
      <c r="O240" s="16" t="str">
        <f>VLOOKUP(A240,ConstantsUnits!A:A,1,false)</f>
        <v>neutron-proton mass difference energy equivalent in MeV</v>
      </c>
    </row>
    <row r="241">
      <c r="A241" s="1" t="s">
        <v>855</v>
      </c>
      <c r="B241" s="1" t="s">
        <v>2595</v>
      </c>
      <c r="C241" s="1" t="s">
        <v>1648</v>
      </c>
      <c r="E241" s="15"/>
      <c r="F241" s="16" t="str">
        <f>ifna(VLOOKUP($A241,ConstantsUnits!$A:$C,3,false),"")</f>
        <v>Neutron-ProtonMassDifferenceInU</v>
      </c>
      <c r="G241" s="17" t="str">
        <f t="shared" si="1"/>
        <v>0.00138844919</v>
      </c>
      <c r="H241" s="17">
        <f t="shared" si="2"/>
        <v>0.00138844919</v>
      </c>
      <c r="I241" s="17" t="str">
        <f t="shared" si="3"/>
        <v>0.00000000045</v>
      </c>
      <c r="J241" s="17">
        <f t="shared" si="4"/>
        <v>0.00000000045</v>
      </c>
      <c r="K241" s="17" t="b">
        <f t="shared" si="5"/>
        <v>0</v>
      </c>
      <c r="L241" s="16" t="str">
        <f>IFERROR(__xludf.DUMMYFUNCTION("if(regexmatch(B241,""e(.*)$""),regexextract(B241,""e(.*)$""),"""")"),"")</f>
        <v/>
      </c>
      <c r="M241" s="16"/>
      <c r="N241" s="18">
        <f>countif(ConstantsUnits!C:C,F241)</f>
        <v>1</v>
      </c>
      <c r="O241" s="16" t="str">
        <f>VLOOKUP(A241,ConstantsUnits!A:A,1,false)</f>
        <v>neutron-proton mass difference in u</v>
      </c>
    </row>
    <row r="242">
      <c r="A242" s="1" t="s">
        <v>857</v>
      </c>
      <c r="B242" s="1" t="s">
        <v>2596</v>
      </c>
      <c r="C242" s="1" t="s">
        <v>1648</v>
      </c>
      <c r="E242" s="15"/>
      <c r="F242" s="16" t="str">
        <f>ifna(VLOOKUP($A242,ConstantsUnits!$A:$C,3,false),"")</f>
        <v>NeutronProtonMassRatio</v>
      </c>
      <c r="G242" s="17" t="str">
        <f t="shared" si="1"/>
        <v>1.00137841917</v>
      </c>
      <c r="H242" s="17">
        <f t="shared" si="2"/>
        <v>1.001378419</v>
      </c>
      <c r="I242" s="17" t="str">
        <f t="shared" si="3"/>
        <v>0.00000000045</v>
      </c>
      <c r="J242" s="17">
        <f t="shared" si="4"/>
        <v>0.00000000045</v>
      </c>
      <c r="K242" s="17" t="b">
        <f t="shared" si="5"/>
        <v>0</v>
      </c>
      <c r="L242" s="16" t="str">
        <f>IFERROR(__xludf.DUMMYFUNCTION("if(regexmatch(B242,""e(.*)$""),regexextract(B242,""e(.*)$""),"""")"),"")</f>
        <v/>
      </c>
      <c r="M242" s="16"/>
      <c r="N242" s="18">
        <f>countif(ConstantsUnits!C:C,F242)</f>
        <v>1</v>
      </c>
      <c r="O242" s="16" t="str">
        <f>VLOOKUP(A242,ConstantsUnits!A:A,1,false)</f>
        <v>neutron-proton mass ratio</v>
      </c>
    </row>
    <row r="243">
      <c r="A243" s="1" t="s">
        <v>862</v>
      </c>
      <c r="B243" s="1" t="s">
        <v>2097</v>
      </c>
      <c r="C243" s="1" t="s">
        <v>2098</v>
      </c>
      <c r="E243" s="15"/>
      <c r="F243" s="16" t="str">
        <f>ifna(VLOOKUP($A243,ConstantsUnits!$A:$C,3,false),"")</f>
        <v>NeutronTauMassRatio</v>
      </c>
      <c r="G243" s="17" t="str">
        <f t="shared" si="1"/>
        <v>0.528790</v>
      </c>
      <c r="H243" s="17">
        <f t="shared" si="2"/>
        <v>0.52879</v>
      </c>
      <c r="I243" s="17" t="str">
        <f t="shared" si="3"/>
        <v>0.000048</v>
      </c>
      <c r="J243" s="17">
        <f t="shared" si="4"/>
        <v>0.000048</v>
      </c>
      <c r="K243" s="17" t="b">
        <f t="shared" si="5"/>
        <v>0</v>
      </c>
      <c r="L243" s="16" t="str">
        <f>IFERROR(__xludf.DUMMYFUNCTION("if(regexmatch(B243,""e(.*)$""),regexextract(B243,""e(.*)$""),"""")"),"")</f>
        <v/>
      </c>
      <c r="M243" s="16"/>
      <c r="N243" s="18">
        <f>countif(ConstantsUnits!C:C,F243)</f>
        <v>1</v>
      </c>
      <c r="O243" s="16" t="str">
        <f>VLOOKUP(A243,ConstantsUnits!A:A,1,false)</f>
        <v>neutron-tau mass ratio</v>
      </c>
    </row>
    <row r="244">
      <c r="A244" s="1" t="s">
        <v>865</v>
      </c>
      <c r="B244" s="1" t="s">
        <v>1569</v>
      </c>
      <c r="C244" s="1" t="s">
        <v>1557</v>
      </c>
      <c r="E244" s="15"/>
      <c r="F244" s="16" t="str">
        <f>ifna(VLOOKUP($A244,ConstantsUnits!$A:$C,3,false),"")</f>
        <v>NeutronToShieldedProtonMagneticMomentRatio</v>
      </c>
      <c r="G244" s="17" t="str">
        <f t="shared" si="1"/>
        <v>-0.68499694</v>
      </c>
      <c r="H244" s="17">
        <f t="shared" si="2"/>
        <v>-0.68499694</v>
      </c>
      <c r="I244" s="17" t="str">
        <f t="shared" si="3"/>
        <v>0.00000016</v>
      </c>
      <c r="J244" s="17">
        <f t="shared" si="4"/>
        <v>0.00000016</v>
      </c>
      <c r="K244" s="17" t="b">
        <f t="shared" si="5"/>
        <v>0</v>
      </c>
      <c r="L244" s="16" t="str">
        <f>IFERROR(__xludf.DUMMYFUNCTION("if(regexmatch(B244,""e(.*)$""),regexextract(B244,""e(.*)$""),"""")"),"")</f>
        <v/>
      </c>
      <c r="M244" s="16"/>
      <c r="N244" s="18">
        <f>countif(ConstantsUnits!C:C,F244)</f>
        <v>1</v>
      </c>
      <c r="O244" s="16" t="str">
        <f>VLOOKUP(A244,ConstantsUnits!A:A,1,false)</f>
        <v>neutron to shielded proton mag. mom. ratio</v>
      </c>
    </row>
    <row r="245">
      <c r="A245" s="1" t="s">
        <v>868</v>
      </c>
      <c r="B245" s="1" t="s">
        <v>2597</v>
      </c>
      <c r="C245" s="1" t="s">
        <v>2598</v>
      </c>
      <c r="D245" s="1" t="s">
        <v>869</v>
      </c>
      <c r="E245" s="15"/>
      <c r="F245" s="16" t="str">
        <f>ifna(VLOOKUP($A245,ConstantsUnits!$A:$C,3,false),"")</f>
        <v>NewtonianConstantOfGravitation</v>
      </c>
      <c r="G245" s="17" t="str">
        <f t="shared" si="1"/>
        <v>6.67384e-11</v>
      </c>
      <c r="H245" s="17">
        <f t="shared" si="2"/>
        <v>0</v>
      </c>
      <c r="I245" s="17" t="str">
        <f t="shared" si="3"/>
        <v>0.00080e-11</v>
      </c>
      <c r="J245" s="17">
        <f t="shared" si="4"/>
        <v>0</v>
      </c>
      <c r="K245" s="17" t="b">
        <f t="shared" si="5"/>
        <v>0</v>
      </c>
      <c r="L245" s="16" t="str">
        <f>IFERROR(__xludf.DUMMYFUNCTION("if(regexmatch(B245,""e(.*)$""),regexextract(B245,""e(.*)$""),"""")"),"-11")</f>
        <v>-11</v>
      </c>
      <c r="M245" s="16"/>
      <c r="N245" s="18">
        <f>countif(ConstantsUnits!C:C,F245)</f>
        <v>1</v>
      </c>
      <c r="O245" s="16" t="str">
        <f>VLOOKUP(A245,ConstantsUnits!A:A,1,false)</f>
        <v>Newtonian constant of gravitation</v>
      </c>
    </row>
    <row r="246">
      <c r="A246" s="1" t="s">
        <v>873</v>
      </c>
      <c r="B246" s="1" t="s">
        <v>2599</v>
      </c>
      <c r="C246" s="1" t="s">
        <v>2600</v>
      </c>
      <c r="D246" s="1" t="s">
        <v>874</v>
      </c>
      <c r="E246" s="15"/>
      <c r="F246" s="16" t="str">
        <f>ifna(VLOOKUP($A246,ConstantsUnits!$A:$C,3,false),"")</f>
        <v>NewtonianConstantOfGravitationOverHBarC</v>
      </c>
      <c r="G246" s="17" t="str">
        <f t="shared" si="1"/>
        <v>6.70837e-39</v>
      </c>
      <c r="H246" s="17">
        <f t="shared" si="2"/>
        <v>0</v>
      </c>
      <c r="I246" s="17" t="str">
        <f t="shared" si="3"/>
        <v>0.00080e-39</v>
      </c>
      <c r="J246" s="17">
        <f t="shared" si="4"/>
        <v>0</v>
      </c>
      <c r="K246" s="17" t="b">
        <f t="shared" si="5"/>
        <v>0</v>
      </c>
      <c r="L246" s="16" t="str">
        <f>IFERROR(__xludf.DUMMYFUNCTION("if(regexmatch(B246,""e(.*)$""),regexextract(B246,""e(.*)$""),"""")"),"-39")</f>
        <v>-39</v>
      </c>
      <c r="M246" s="16"/>
      <c r="N246" s="18">
        <f>countif(ConstantsUnits!C:C,F246)</f>
        <v>1</v>
      </c>
      <c r="O246" s="16" t="str">
        <f>VLOOKUP(A246,ConstantsUnits!A:A,1,false)</f>
        <v>Newtonian constant of gravitation over h-bar c</v>
      </c>
    </row>
    <row r="247">
      <c r="A247" s="1" t="s">
        <v>877</v>
      </c>
      <c r="B247" s="1" t="s">
        <v>2601</v>
      </c>
      <c r="C247" s="1" t="s">
        <v>2602</v>
      </c>
      <c r="D247" s="1" t="s">
        <v>165</v>
      </c>
      <c r="E247" s="15"/>
      <c r="F247" s="16" t="str">
        <f>ifna(VLOOKUP($A247,ConstantsUnits!$A:$C,3,false),"")</f>
        <v>NuclearMagneton</v>
      </c>
      <c r="G247" s="17" t="str">
        <f t="shared" si="1"/>
        <v>5.05078353e-27</v>
      </c>
      <c r="H247" s="17">
        <f t="shared" si="2"/>
        <v>0</v>
      </c>
      <c r="I247" s="17" t="str">
        <f t="shared" si="3"/>
        <v>0.00000011e-27</v>
      </c>
      <c r="J247" s="17">
        <f t="shared" si="4"/>
        <v>0</v>
      </c>
      <c r="K247" s="17" t="b">
        <f t="shared" si="5"/>
        <v>0</v>
      </c>
      <c r="L247" s="16" t="str">
        <f>IFERROR(__xludf.DUMMYFUNCTION("if(regexmatch(B247,""e(.*)$""),regexextract(B247,""e(.*)$""),"""")"),"-27")</f>
        <v>-27</v>
      </c>
      <c r="M247" s="16"/>
      <c r="N247" s="18">
        <f>countif(ConstantsUnits!C:C,F247)</f>
        <v>1</v>
      </c>
      <c r="O247" s="16" t="str">
        <f>VLOOKUP(A247,ConstantsUnits!A:A,1,false)</f>
        <v>nuclear magneton</v>
      </c>
    </row>
    <row r="248">
      <c r="A248" s="1" t="s">
        <v>880</v>
      </c>
      <c r="B248" s="1" t="s">
        <v>2603</v>
      </c>
      <c r="C248" s="1" t="s">
        <v>2604</v>
      </c>
      <c r="D248" s="1" t="s">
        <v>209</v>
      </c>
      <c r="E248" s="15"/>
      <c r="F248" s="16" t="str">
        <f>ifna(VLOOKUP($A248,ConstantsUnits!$A:$C,3,false),"")</f>
        <v>NuclearMagnetonInEVPerT</v>
      </c>
      <c r="G248" s="17" t="str">
        <f t="shared" si="1"/>
        <v>3.1524512605e-8</v>
      </c>
      <c r="H248" s="17">
        <f t="shared" si="2"/>
        <v>0.00000003152451261</v>
      </c>
      <c r="I248" s="17" t="str">
        <f t="shared" si="3"/>
        <v>0.0000000022e-8</v>
      </c>
      <c r="J248" s="17">
        <f t="shared" si="4"/>
        <v>0</v>
      </c>
      <c r="K248" s="17" t="b">
        <f t="shared" si="5"/>
        <v>0</v>
      </c>
      <c r="L248" s="16" t="str">
        <f>IFERROR(__xludf.DUMMYFUNCTION("if(regexmatch(B248,""e(.*)$""),regexextract(B248,""e(.*)$""),"""")"),"-8")</f>
        <v>-8</v>
      </c>
      <c r="M248" s="16"/>
      <c r="N248" s="18">
        <f>countif(ConstantsUnits!C:C,F248)</f>
        <v>1</v>
      </c>
      <c r="O248" s="16" t="str">
        <f>VLOOKUP(A248,ConstantsUnits!A:A,1,false)</f>
        <v>nuclear magneton in eV/T</v>
      </c>
    </row>
    <row r="249">
      <c r="A249" s="1" t="s">
        <v>2107</v>
      </c>
      <c r="B249" s="1" t="s">
        <v>2605</v>
      </c>
      <c r="C249" s="1" t="s">
        <v>2606</v>
      </c>
      <c r="D249" s="1" t="s">
        <v>219</v>
      </c>
      <c r="E249" s="15"/>
      <c r="F249" s="1" t="s">
        <v>883</v>
      </c>
      <c r="G249" s="17" t="str">
        <f t="shared" si="1"/>
        <v>2.542623527e-2</v>
      </c>
      <c r="H249" s="17">
        <f t="shared" si="2"/>
        <v>0.02542623527</v>
      </c>
      <c r="I249" s="17" t="str">
        <f t="shared" si="3"/>
        <v>0.000000056e-2</v>
      </c>
      <c r="J249" s="17">
        <f t="shared" si="4"/>
        <v>0.00000000056</v>
      </c>
      <c r="K249" s="17" t="b">
        <f t="shared" si="5"/>
        <v>0</v>
      </c>
      <c r="L249" s="16" t="str">
        <f>IFERROR(__xludf.DUMMYFUNCTION("if(regexmatch(B249,""e(.*)$""),regexextract(B249,""e(.*)$""),"""")"),"-2")</f>
        <v>-2</v>
      </c>
      <c r="M249" s="16"/>
      <c r="N249" s="18">
        <f>countif(ConstantsUnits!C:C,F249)</f>
        <v>1</v>
      </c>
      <c r="O249" s="16" t="str">
        <f>VLOOKUP(A249,ConstantsUnits!A:A,1,false)</f>
        <v>#N/A</v>
      </c>
    </row>
    <row r="250">
      <c r="A250" s="1" t="s">
        <v>885</v>
      </c>
      <c r="B250" s="1" t="s">
        <v>2607</v>
      </c>
      <c r="C250" s="1" t="s">
        <v>2608</v>
      </c>
      <c r="D250" s="1" t="s">
        <v>224</v>
      </c>
      <c r="E250" s="15"/>
      <c r="F250" s="16" t="str">
        <f>ifna(VLOOKUP($A250,ConstantsUnits!$A:$C,3,false),"")</f>
        <v>NuclearMagnetonInKPerT</v>
      </c>
      <c r="G250" s="17" t="str">
        <f t="shared" si="1"/>
        <v>3.6582682e-4</v>
      </c>
      <c r="H250" s="17">
        <f t="shared" si="2"/>
        <v>0.00036582682</v>
      </c>
      <c r="I250" s="17" t="str">
        <f t="shared" si="3"/>
        <v>0.0000033e-4</v>
      </c>
      <c r="J250" s="17">
        <f t="shared" si="4"/>
        <v>0.00000000033</v>
      </c>
      <c r="K250" s="17" t="b">
        <f t="shared" si="5"/>
        <v>0</v>
      </c>
      <c r="L250" s="16" t="str">
        <f>IFERROR(__xludf.DUMMYFUNCTION("if(regexmatch(B250,""e(.*)$""),regexextract(B250,""e(.*)$""),"""")"),"-4")</f>
        <v>-4</v>
      </c>
      <c r="M250" s="16"/>
      <c r="N250" s="18">
        <f>countif(ConstantsUnits!C:C,F250)</f>
        <v>1</v>
      </c>
      <c r="O250" s="16" t="str">
        <f>VLOOKUP(A250,ConstantsUnits!A:A,1,false)</f>
        <v>nuclear magneton in K/T</v>
      </c>
    </row>
    <row r="251">
      <c r="A251" s="1" t="s">
        <v>888</v>
      </c>
      <c r="B251" s="1" t="s">
        <v>2609</v>
      </c>
      <c r="C251" s="1" t="s">
        <v>1779</v>
      </c>
      <c r="D251" s="1" t="s">
        <v>367</v>
      </c>
      <c r="E251" s="15"/>
      <c r="F251" s="16" t="str">
        <f>ifna(VLOOKUP($A251,ConstantsUnits!$A:$C,3,false),"")</f>
        <v>NuclearMagnetonInMHzPerT</v>
      </c>
      <c r="G251" s="17" t="str">
        <f t="shared" si="1"/>
        <v>7.62259357</v>
      </c>
      <c r="H251" s="17">
        <f t="shared" si="2"/>
        <v>7.62259357</v>
      </c>
      <c r="I251" s="17" t="str">
        <f t="shared" si="3"/>
        <v>0.00000017</v>
      </c>
      <c r="J251" s="17">
        <f t="shared" si="4"/>
        <v>0.00000017</v>
      </c>
      <c r="K251" s="17" t="b">
        <f t="shared" si="5"/>
        <v>0</v>
      </c>
      <c r="L251" s="16" t="str">
        <f>IFERROR(__xludf.DUMMYFUNCTION("if(regexmatch(B251,""e(.*)$""),regexextract(B251,""e(.*)$""),"""")"),"")</f>
        <v/>
      </c>
      <c r="M251" s="16"/>
      <c r="N251" s="18">
        <f>countif(ConstantsUnits!C:C,F251)</f>
        <v>1</v>
      </c>
      <c r="O251" s="16" t="str">
        <f>VLOOKUP(A251,ConstantsUnits!A:A,1,false)</f>
        <v>nuclear magneton in MHz/T</v>
      </c>
    </row>
    <row r="252">
      <c r="A252" s="1" t="s">
        <v>891</v>
      </c>
      <c r="B252" s="1" t="s">
        <v>2469</v>
      </c>
      <c r="C252" s="1" t="s">
        <v>2470</v>
      </c>
      <c r="D252" s="1" t="s">
        <v>108</v>
      </c>
      <c r="E252" s="15"/>
      <c r="F252" s="16" t="str">
        <f>ifna(VLOOKUP($A252,ConstantsUnits!$A:$C,3,false),"")</f>
        <v>PlanckConstant</v>
      </c>
      <c r="G252" s="17" t="str">
        <f t="shared" si="1"/>
        <v>6.62606957e-34</v>
      </c>
      <c r="H252" s="17">
        <f t="shared" si="2"/>
        <v>0</v>
      </c>
      <c r="I252" s="17" t="str">
        <f t="shared" si="3"/>
        <v>0.00000029e-34</v>
      </c>
      <c r="J252" s="17">
        <f t="shared" si="4"/>
        <v>0</v>
      </c>
      <c r="K252" s="17" t="b">
        <f t="shared" si="5"/>
        <v>0</v>
      </c>
      <c r="L252" s="16" t="str">
        <f>IFERROR(__xludf.DUMMYFUNCTION("if(regexmatch(B252,""e(.*)$""),regexextract(B252,""e(.*)$""),"""")"),"-34")</f>
        <v>-34</v>
      </c>
      <c r="M252" s="16"/>
      <c r="N252" s="18">
        <f>countif(ConstantsUnits!C:C,F252)</f>
        <v>1</v>
      </c>
      <c r="O252" s="16" t="str">
        <f>VLOOKUP(A252,ConstantsUnits!A:A,1,false)</f>
        <v>Planck constant</v>
      </c>
    </row>
    <row r="253">
      <c r="A253" s="1" t="s">
        <v>2114</v>
      </c>
      <c r="B253" s="1" t="s">
        <v>2465</v>
      </c>
      <c r="C253" s="1" t="s">
        <v>2466</v>
      </c>
      <c r="D253" s="1" t="s">
        <v>774</v>
      </c>
      <c r="E253" s="15"/>
      <c r="F253" s="1" t="s">
        <v>2115</v>
      </c>
      <c r="G253" s="17" t="str">
        <f t="shared" si="1"/>
        <v>4.135667516e-15</v>
      </c>
      <c r="H253" s="17">
        <f t="shared" si="2"/>
        <v>0</v>
      </c>
      <c r="I253" s="17" t="str">
        <f t="shared" si="3"/>
        <v>0.000000091e-15</v>
      </c>
      <c r="J253" s="17">
        <f t="shared" si="4"/>
        <v>0</v>
      </c>
      <c r="K253" s="17" t="b">
        <f t="shared" si="5"/>
        <v>0</v>
      </c>
      <c r="L253" s="16" t="str">
        <f>IFERROR(__xludf.DUMMYFUNCTION("if(regexmatch(B253,""e(.*)$""),regexextract(B253,""e(.*)$""),"""")"),"-15")</f>
        <v>-15</v>
      </c>
      <c r="M253" s="16"/>
      <c r="N253" s="18">
        <f>countif(ConstantsUnits!C:C,F253)</f>
        <v>1</v>
      </c>
      <c r="O253" s="16" t="str">
        <f>VLOOKUP(A253,ConstantsUnits!A:A,1,false)</f>
        <v>#N/A</v>
      </c>
    </row>
    <row r="254">
      <c r="A254" s="1" t="s">
        <v>2116</v>
      </c>
      <c r="B254" s="1" t="s">
        <v>2284</v>
      </c>
      <c r="C254" s="1" t="s">
        <v>2285</v>
      </c>
      <c r="D254" s="1" t="s">
        <v>108</v>
      </c>
      <c r="E254" s="15"/>
      <c r="F254" s="3" t="s">
        <v>2117</v>
      </c>
      <c r="G254" s="17" t="str">
        <f t="shared" si="1"/>
        <v>1.054571726e-34</v>
      </c>
      <c r="H254" s="17">
        <f t="shared" si="2"/>
        <v>0</v>
      </c>
      <c r="I254" s="17" t="str">
        <f t="shared" si="3"/>
        <v>0.000000047e-34</v>
      </c>
      <c r="J254" s="17">
        <f t="shared" si="4"/>
        <v>0</v>
      </c>
      <c r="K254" s="17" t="b">
        <f t="shared" si="5"/>
        <v>0</v>
      </c>
      <c r="L254" s="16" t="str">
        <f>IFERROR(__xludf.DUMMYFUNCTION("if(regexmatch(B254,""e(.*)$""),regexextract(B254,""e(.*)$""),"""")"),"-34")</f>
        <v>-34</v>
      </c>
      <c r="M254" s="16"/>
      <c r="N254" s="18">
        <f>countif(ConstantsUnits!C:C,F254)</f>
        <v>1</v>
      </c>
      <c r="O254" s="16" t="str">
        <f>VLOOKUP(A254,ConstantsUnits!A:A,1,false)</f>
        <v>#N/A</v>
      </c>
    </row>
    <row r="255">
      <c r="A255" s="1" t="s">
        <v>2118</v>
      </c>
      <c r="B255" s="1" t="s">
        <v>2565</v>
      </c>
      <c r="C255" s="1" t="s">
        <v>2566</v>
      </c>
      <c r="D255" s="1" t="s">
        <v>774</v>
      </c>
      <c r="E255" s="15"/>
      <c r="F255" s="3" t="s">
        <v>2119</v>
      </c>
      <c r="G255" s="17" t="str">
        <f t="shared" si="1"/>
        <v>6.58211928e-16</v>
      </c>
      <c r="H255" s="17">
        <f t="shared" si="2"/>
        <v>0</v>
      </c>
      <c r="I255" s="17" t="str">
        <f t="shared" si="3"/>
        <v>0.00000015e-16</v>
      </c>
      <c r="J255" s="17">
        <f t="shared" si="4"/>
        <v>0</v>
      </c>
      <c r="K255" s="17" t="b">
        <f t="shared" si="5"/>
        <v>0</v>
      </c>
      <c r="L255" s="16" t="str">
        <f>IFERROR(__xludf.DUMMYFUNCTION("if(regexmatch(B255,""e(.*)$""),regexextract(B255,""e(.*)$""),"""")"),"-16")</f>
        <v>-16</v>
      </c>
      <c r="M255" s="16"/>
      <c r="N255" s="18">
        <f>countif(ConstantsUnits!C:C,F255)</f>
        <v>1</v>
      </c>
      <c r="O255" s="16" t="str">
        <f>VLOOKUP(A255,ConstantsUnits!A:A,1,false)</f>
        <v>#N/A</v>
      </c>
    </row>
    <row r="256">
      <c r="A256" s="1" t="s">
        <v>2120</v>
      </c>
      <c r="B256" s="1" t="s">
        <v>2610</v>
      </c>
      <c r="C256" s="1" t="s">
        <v>2611</v>
      </c>
      <c r="D256" s="1" t="s">
        <v>999</v>
      </c>
      <c r="E256" s="15"/>
      <c r="F256" s="3" t="s">
        <v>2123</v>
      </c>
      <c r="G256" s="17" t="str">
        <f t="shared" si="1"/>
        <v>197.3269718</v>
      </c>
      <c r="H256" s="17">
        <f t="shared" si="2"/>
        <v>197.3269718</v>
      </c>
      <c r="I256" s="17" t="str">
        <f t="shared" si="3"/>
        <v>0.0000044</v>
      </c>
      <c r="J256" s="17">
        <f t="shared" si="4"/>
        <v>0.0000044</v>
      </c>
      <c r="K256" s="17" t="b">
        <f t="shared" si="5"/>
        <v>0</v>
      </c>
      <c r="L256" s="16" t="str">
        <f>IFERROR(__xludf.DUMMYFUNCTION("if(regexmatch(B256,""e(.*)$""),regexextract(B256,""e(.*)$""),"""")"),"")</f>
        <v/>
      </c>
      <c r="M256" s="16"/>
      <c r="N256" s="18">
        <f>countif(ConstantsUnits!C:C,F256)</f>
        <v>1</v>
      </c>
      <c r="O256" s="16" t="str">
        <f>VLOOKUP(A256,ConstantsUnits!A:A,1,false)</f>
        <v>#N/A</v>
      </c>
    </row>
    <row r="257">
      <c r="A257" s="1" t="s">
        <v>903</v>
      </c>
      <c r="B257" s="1" t="s">
        <v>2612</v>
      </c>
      <c r="C257" s="1" t="s">
        <v>2613</v>
      </c>
      <c r="D257" s="1" t="s">
        <v>59</v>
      </c>
      <c r="E257" s="15"/>
      <c r="F257" s="16" t="str">
        <f>ifna(VLOOKUP($A257,ConstantsUnits!$A:$C,3,false),"")</f>
        <v>PlanckLength</v>
      </c>
      <c r="G257" s="17" t="str">
        <f t="shared" si="1"/>
        <v>1.616199e-35</v>
      </c>
      <c r="H257" s="17">
        <f t="shared" si="2"/>
        <v>0</v>
      </c>
      <c r="I257" s="17" t="str">
        <f t="shared" si="3"/>
        <v>0.000097e-35</v>
      </c>
      <c r="J257" s="17">
        <f t="shared" si="4"/>
        <v>0</v>
      </c>
      <c r="K257" s="17" t="b">
        <f t="shared" si="5"/>
        <v>0</v>
      </c>
      <c r="L257" s="16" t="str">
        <f>IFERROR(__xludf.DUMMYFUNCTION("if(regexmatch(B257,""e(.*)$""),regexextract(B257,""e(.*)$""),"""")"),"-35")</f>
        <v>-35</v>
      </c>
      <c r="M257" s="16"/>
      <c r="N257" s="18">
        <f>countif(ConstantsUnits!C:C,F257)</f>
        <v>1</v>
      </c>
      <c r="O257" s="16" t="str">
        <f>VLOOKUP(A257,ConstantsUnits!A:A,1,false)</f>
        <v>Planck length</v>
      </c>
    </row>
    <row r="258">
      <c r="A258" s="1" t="s">
        <v>906</v>
      </c>
      <c r="B258" s="1" t="s">
        <v>2614</v>
      </c>
      <c r="C258" s="1" t="s">
        <v>2615</v>
      </c>
      <c r="D258" s="1" t="s">
        <v>38</v>
      </c>
      <c r="E258" s="15"/>
      <c r="F258" s="16" t="str">
        <f>ifna(VLOOKUP($A258,ConstantsUnits!$A:$C,3,false),"")</f>
        <v>PlanckMass</v>
      </c>
      <c r="G258" s="17" t="str">
        <f t="shared" si="1"/>
        <v>2.17651e-8</v>
      </c>
      <c r="H258" s="17">
        <f t="shared" si="2"/>
        <v>0.0000000217651</v>
      </c>
      <c r="I258" s="17" t="str">
        <f t="shared" si="3"/>
        <v>0.00013e-8</v>
      </c>
      <c r="J258" s="17">
        <f t="shared" si="4"/>
        <v>0</v>
      </c>
      <c r="K258" s="17" t="b">
        <f t="shared" si="5"/>
        <v>0</v>
      </c>
      <c r="L258" s="16" t="str">
        <f>IFERROR(__xludf.DUMMYFUNCTION("if(regexmatch(B258,""e(.*)$""),regexextract(B258,""e(.*)$""),"""")"),"-8")</f>
        <v>-8</v>
      </c>
      <c r="M258" s="16"/>
      <c r="N258" s="18">
        <f>countif(ConstantsUnits!C:C,F258)</f>
        <v>1</v>
      </c>
      <c r="O258" s="16" t="str">
        <f>VLOOKUP(A258,ConstantsUnits!A:A,1,false)</f>
        <v>Planck mass</v>
      </c>
    </row>
    <row r="259">
      <c r="A259" s="1" t="s">
        <v>909</v>
      </c>
      <c r="B259" s="1" t="s">
        <v>2616</v>
      </c>
      <c r="C259" s="1" t="s">
        <v>2617</v>
      </c>
      <c r="D259" s="1" t="s">
        <v>910</v>
      </c>
      <c r="E259" s="15"/>
      <c r="F259" s="16" t="str">
        <f>ifna(VLOOKUP($A259,ConstantsUnits!$A:$C,3,false),"")</f>
        <v>PlanckMassEnergyEquivalentInGeV</v>
      </c>
      <c r="G259" s="17" t="str">
        <f t="shared" si="1"/>
        <v>1.220932e19</v>
      </c>
      <c r="H259" s="17">
        <f t="shared" si="2"/>
        <v>1.22093E+19</v>
      </c>
      <c r="I259" s="17" t="str">
        <f t="shared" si="3"/>
        <v>0.000073e19</v>
      </c>
      <c r="J259" s="17">
        <f t="shared" si="4"/>
        <v>730000000000000</v>
      </c>
      <c r="K259" s="17" t="b">
        <f t="shared" si="5"/>
        <v>0</v>
      </c>
      <c r="L259" s="16" t="str">
        <f>IFERROR(__xludf.DUMMYFUNCTION("if(regexmatch(B259,""e(.*)$""),regexextract(B259,""e(.*)$""),"""")"),"19")</f>
        <v>19</v>
      </c>
      <c r="M259" s="16"/>
      <c r="N259" s="18">
        <f>countif(ConstantsUnits!C:C,F259)</f>
        <v>1</v>
      </c>
      <c r="O259" s="16" t="str">
        <f>VLOOKUP(A259,ConstantsUnits!A:A,1,false)</f>
        <v>Planck mass energy equivalent in GeV</v>
      </c>
    </row>
    <row r="260">
      <c r="A260" s="1" t="s">
        <v>912</v>
      </c>
      <c r="B260" s="1" t="s">
        <v>2618</v>
      </c>
      <c r="C260" s="1" t="s">
        <v>2619</v>
      </c>
      <c r="D260" s="1" t="s">
        <v>91</v>
      </c>
      <c r="E260" s="15"/>
      <c r="F260" s="16" t="str">
        <f>ifna(VLOOKUP($A260,ConstantsUnits!$A:$C,3,false),"")</f>
        <v>PlanckTemperature</v>
      </c>
      <c r="G260" s="17" t="str">
        <f t="shared" si="1"/>
        <v>1.416833e32</v>
      </c>
      <c r="H260" s="17">
        <f t="shared" si="2"/>
        <v>1.41683E+32</v>
      </c>
      <c r="I260" s="17" t="str">
        <f t="shared" si="3"/>
        <v>0.000085e32</v>
      </c>
      <c r="J260" s="17">
        <f t="shared" si="4"/>
        <v>8.5E+27</v>
      </c>
      <c r="K260" s="17" t="b">
        <f t="shared" si="5"/>
        <v>0</v>
      </c>
      <c r="L260" s="16" t="str">
        <f>IFERROR(__xludf.DUMMYFUNCTION("if(regexmatch(B260,""e(.*)$""),regexextract(B260,""e(.*)$""),"""")"),"32")</f>
        <v>32</v>
      </c>
      <c r="M260" s="16"/>
      <c r="N260" s="18">
        <f>countif(ConstantsUnits!C:C,F260)</f>
        <v>1</v>
      </c>
      <c r="O260" s="16" t="str">
        <f>VLOOKUP(A260,ConstantsUnits!A:A,1,false)</f>
        <v>Planck temperature</v>
      </c>
    </row>
    <row r="261">
      <c r="A261" s="1" t="s">
        <v>916</v>
      </c>
      <c r="B261" s="1" t="s">
        <v>2620</v>
      </c>
      <c r="C261" s="1" t="s">
        <v>2621</v>
      </c>
      <c r="D261" s="1" t="s">
        <v>192</v>
      </c>
      <c r="E261" s="15"/>
      <c r="F261" s="16" t="str">
        <f>ifna(VLOOKUP($A261,ConstantsUnits!$A:$C,3,false),"")</f>
        <v>PlanckTime</v>
      </c>
      <c r="G261" s="17" t="str">
        <f t="shared" si="1"/>
        <v>5.39106e-44</v>
      </c>
      <c r="H261" s="17">
        <f t="shared" si="2"/>
        <v>0</v>
      </c>
      <c r="I261" s="17" t="str">
        <f t="shared" si="3"/>
        <v>0.00032e-44</v>
      </c>
      <c r="J261" s="17">
        <f t="shared" si="4"/>
        <v>0</v>
      </c>
      <c r="K261" s="17" t="b">
        <f t="shared" si="5"/>
        <v>0</v>
      </c>
      <c r="L261" s="16" t="str">
        <f>IFERROR(__xludf.DUMMYFUNCTION("if(regexmatch(B261,""e(.*)$""),regexextract(B261,""e(.*)$""),"""")"),"-44")</f>
        <v>-44</v>
      </c>
      <c r="M261" s="16"/>
      <c r="N261" s="18">
        <f>countif(ConstantsUnits!C:C,F261)</f>
        <v>1</v>
      </c>
      <c r="O261" s="16" t="str">
        <f>VLOOKUP(A261,ConstantsUnits!A:A,1,false)</f>
        <v>Planck time</v>
      </c>
    </row>
    <row r="262">
      <c r="A262" s="1" t="s">
        <v>919</v>
      </c>
      <c r="B262" s="1" t="s">
        <v>2622</v>
      </c>
      <c r="C262" s="1" t="s">
        <v>2623</v>
      </c>
      <c r="D262" s="1" t="s">
        <v>347</v>
      </c>
      <c r="E262" s="15"/>
      <c r="F262" s="16" t="str">
        <f>ifna(VLOOKUP($A262,ConstantsUnits!$A:$C,3,false),"")</f>
        <v>ProtonChargeToMassQuotient</v>
      </c>
      <c r="G262" s="17" t="str">
        <f t="shared" si="1"/>
        <v>9.57883358e7</v>
      </c>
      <c r="H262" s="17">
        <f t="shared" si="2"/>
        <v>95788335.8</v>
      </c>
      <c r="I262" s="17" t="str">
        <f t="shared" si="3"/>
        <v>0.00000021e7</v>
      </c>
      <c r="J262" s="17">
        <f t="shared" si="4"/>
        <v>2.1</v>
      </c>
      <c r="K262" s="17" t="b">
        <f t="shared" si="5"/>
        <v>0</v>
      </c>
      <c r="L262" s="16" t="str">
        <f>IFERROR(__xludf.DUMMYFUNCTION("if(regexmatch(B262,""e(.*)$""),regexextract(B262,""e(.*)$""),"""")"),"7")</f>
        <v>7</v>
      </c>
      <c r="M262" s="16"/>
      <c r="N262" s="18">
        <f>countif(ConstantsUnits!C:C,F262)</f>
        <v>1</v>
      </c>
      <c r="O262" s="16" t="str">
        <f>VLOOKUP(A262,ConstantsUnits!A:A,1,false)</f>
        <v>proton charge to mass quotient</v>
      </c>
    </row>
    <row r="263">
      <c r="A263" s="1" t="s">
        <v>922</v>
      </c>
      <c r="B263" s="1" t="s">
        <v>2624</v>
      </c>
      <c r="C263" s="1" t="s">
        <v>2478</v>
      </c>
      <c r="D263" s="1" t="s">
        <v>59</v>
      </c>
      <c r="E263" s="15"/>
      <c r="F263" s="16" t="str">
        <f>ifna(VLOOKUP($A263,ConstantsUnits!$A:$C,3,false),"")</f>
        <v>ProtonComptonWavelength</v>
      </c>
      <c r="G263" s="17" t="str">
        <f t="shared" si="1"/>
        <v>1.32140985623e-15</v>
      </c>
      <c r="H263" s="17">
        <f t="shared" si="2"/>
        <v>0</v>
      </c>
      <c r="I263" s="17" t="str">
        <f t="shared" si="3"/>
        <v>0.00000000094e-15</v>
      </c>
      <c r="J263" s="17">
        <f t="shared" si="4"/>
        <v>0</v>
      </c>
      <c r="K263" s="17" t="b">
        <f t="shared" si="5"/>
        <v>0</v>
      </c>
      <c r="L263" s="16" t="str">
        <f>IFERROR(__xludf.DUMMYFUNCTION("if(regexmatch(B263,""e(.*)$""),regexextract(B263,""e(.*)$""),"""")"),"-15")</f>
        <v>-15</v>
      </c>
      <c r="M263" s="16"/>
      <c r="N263" s="18">
        <f>countif(ConstantsUnits!C:C,F263)</f>
        <v>1</v>
      </c>
      <c r="O263" s="16" t="str">
        <f>VLOOKUP(A263,ConstantsUnits!A:A,1,false)</f>
        <v>proton Compton wavelength</v>
      </c>
    </row>
    <row r="264">
      <c r="A264" s="1" t="s">
        <v>2137</v>
      </c>
      <c r="B264" s="1" t="s">
        <v>2625</v>
      </c>
      <c r="C264" s="1" t="s">
        <v>2626</v>
      </c>
      <c r="D264" s="1" t="s">
        <v>59</v>
      </c>
      <c r="E264" s="15"/>
      <c r="F264" s="3" t="s">
        <v>2140</v>
      </c>
      <c r="G264" s="17" t="str">
        <f t="shared" si="1"/>
        <v>0.21030891047e-15</v>
      </c>
      <c r="H264" s="17">
        <f t="shared" si="2"/>
        <v>0</v>
      </c>
      <c r="I264" s="17" t="str">
        <f t="shared" si="3"/>
        <v>0.00000000015e-15</v>
      </c>
      <c r="J264" s="17">
        <f t="shared" si="4"/>
        <v>0</v>
      </c>
      <c r="K264" s="17" t="b">
        <f t="shared" si="5"/>
        <v>0</v>
      </c>
      <c r="L264" s="16" t="str">
        <f>IFERROR(__xludf.DUMMYFUNCTION("if(regexmatch(B264,""e(.*)$""),regexextract(B264,""e(.*)$""),"""")"),"-15")</f>
        <v>-15</v>
      </c>
      <c r="M264" s="16"/>
      <c r="N264" s="18">
        <f>countif(ConstantsUnits!C:C,F264)</f>
        <v>1</v>
      </c>
      <c r="O264" s="16" t="str">
        <f>VLOOKUP(A264,ConstantsUnits!A:A,1,false)</f>
        <v>#N/A</v>
      </c>
    </row>
    <row r="265">
      <c r="A265" s="1" t="s">
        <v>926</v>
      </c>
      <c r="B265" s="1" t="s">
        <v>2627</v>
      </c>
      <c r="C265" s="1" t="s">
        <v>2395</v>
      </c>
      <c r="E265" s="15"/>
      <c r="F265" s="16" t="str">
        <f>ifna(VLOOKUP($A265,ConstantsUnits!$A:$C,3,false),"")</f>
        <v>ProtonElectronMassRatio</v>
      </c>
      <c r="G265" s="17" t="str">
        <f t="shared" si="1"/>
        <v>1836.15267245</v>
      </c>
      <c r="H265" s="17">
        <f t="shared" si="2"/>
        <v>1836.152672</v>
      </c>
      <c r="I265" s="17" t="str">
        <f t="shared" si="3"/>
        <v>0.00000075</v>
      </c>
      <c r="J265" s="17">
        <f t="shared" si="4"/>
        <v>0.00000075</v>
      </c>
      <c r="K265" s="17" t="b">
        <f t="shared" si="5"/>
        <v>0</v>
      </c>
      <c r="L265" s="16" t="str">
        <f>IFERROR(__xludf.DUMMYFUNCTION("if(regexmatch(B265,""e(.*)$""),regexextract(B265,""e(.*)$""),"""")"),"")</f>
        <v/>
      </c>
      <c r="M265" s="16"/>
      <c r="N265" s="18">
        <f>countif(ConstantsUnits!C:C,F265)</f>
        <v>1</v>
      </c>
      <c r="O265" s="16" t="str">
        <f>VLOOKUP(A265,ConstantsUnits!A:A,1,false)</f>
        <v>proton-electron mass ratio</v>
      </c>
    </row>
    <row r="266">
      <c r="A266" s="1" t="s">
        <v>929</v>
      </c>
      <c r="B266" s="1" t="s">
        <v>2628</v>
      </c>
      <c r="C266" s="1" t="s">
        <v>2629</v>
      </c>
      <c r="E266" s="15"/>
      <c r="F266" s="16" t="str">
        <f>ifna(VLOOKUP($A266,ConstantsUnits!$A:$C,3,false),"")</f>
        <v>ProtonGFactor</v>
      </c>
      <c r="G266" s="17" t="str">
        <f t="shared" si="1"/>
        <v>5.585694713</v>
      </c>
      <c r="H266" s="17">
        <f t="shared" si="2"/>
        <v>5.585694713</v>
      </c>
      <c r="I266" s="17" t="str">
        <f t="shared" si="3"/>
        <v>0.000000046</v>
      </c>
      <c r="J266" s="17">
        <f t="shared" si="4"/>
        <v>0.000000046</v>
      </c>
      <c r="K266" s="17" t="b">
        <f t="shared" si="5"/>
        <v>0</v>
      </c>
      <c r="L266" s="16" t="str">
        <f>IFERROR(__xludf.DUMMYFUNCTION("if(regexmatch(B266,""e(.*)$""),regexextract(B266,""e(.*)$""),"""")"),"")</f>
        <v/>
      </c>
      <c r="M266" s="16"/>
      <c r="N266" s="18">
        <f>countif(ConstantsUnits!C:C,F266)</f>
        <v>1</v>
      </c>
      <c r="O266" s="16" t="str">
        <f>VLOOKUP(A266,ConstantsUnits!A:A,1,false)</f>
        <v>proton g factor</v>
      </c>
    </row>
    <row r="267">
      <c r="A267" s="1" t="s">
        <v>932</v>
      </c>
      <c r="B267" s="1" t="s">
        <v>2630</v>
      </c>
      <c r="C267" s="1" t="s">
        <v>2631</v>
      </c>
      <c r="D267" s="1" t="s">
        <v>361</v>
      </c>
      <c r="E267" s="15"/>
      <c r="F267" s="16" t="str">
        <f>ifna(VLOOKUP($A267,ConstantsUnits!$A:$C,3,false),"")</f>
        <v>ProtonGyromagneticRatio</v>
      </c>
      <c r="G267" s="17" t="str">
        <f t="shared" si="1"/>
        <v>2.675222005e8</v>
      </c>
      <c r="H267" s="17">
        <f t="shared" si="2"/>
        <v>267522200.5</v>
      </c>
      <c r="I267" s="17" t="str">
        <f t="shared" si="3"/>
        <v>0.000000063e8</v>
      </c>
      <c r="J267" s="17">
        <f t="shared" si="4"/>
        <v>6.3</v>
      </c>
      <c r="K267" s="17" t="b">
        <f t="shared" si="5"/>
        <v>0</v>
      </c>
      <c r="L267" s="16" t="str">
        <f>IFERROR(__xludf.DUMMYFUNCTION("if(regexmatch(B267,""e(.*)$""),regexextract(B267,""e(.*)$""),"""")"),"8")</f>
        <v>8</v>
      </c>
      <c r="M267" s="16"/>
      <c r="N267" s="18">
        <f>countif(ConstantsUnits!C:C,F267)</f>
        <v>1</v>
      </c>
      <c r="O267" s="16" t="str">
        <f>VLOOKUP(A267,ConstantsUnits!A:A,1,false)</f>
        <v>proton gyromag. ratio</v>
      </c>
    </row>
    <row r="268">
      <c r="A268" s="1" t="s">
        <v>2146</v>
      </c>
      <c r="B268" s="1" t="s">
        <v>2632</v>
      </c>
      <c r="C268" s="1" t="s">
        <v>2332</v>
      </c>
      <c r="D268" s="1" t="s">
        <v>367</v>
      </c>
      <c r="E268" s="15"/>
      <c r="F268" s="3" t="s">
        <v>2148</v>
      </c>
      <c r="G268" s="17" t="str">
        <f t="shared" si="1"/>
        <v>42.5774806</v>
      </c>
      <c r="H268" s="17">
        <f t="shared" si="2"/>
        <v>42.5774806</v>
      </c>
      <c r="I268" s="17" t="str">
        <f t="shared" si="3"/>
        <v>0.0000010</v>
      </c>
      <c r="J268" s="17">
        <f t="shared" si="4"/>
        <v>0.000001</v>
      </c>
      <c r="K268" s="17" t="b">
        <f t="shared" si="5"/>
        <v>0</v>
      </c>
      <c r="L268" s="16" t="str">
        <f>IFERROR(__xludf.DUMMYFUNCTION("if(regexmatch(B268,""e(.*)$""),regexextract(B268,""e(.*)$""),"""")"),"")</f>
        <v/>
      </c>
      <c r="M268" s="16"/>
      <c r="N268" s="18">
        <f>countif(ConstantsUnits!C:C,F268)</f>
        <v>1</v>
      </c>
      <c r="O268" s="16" t="str">
        <f>VLOOKUP(A268,ConstantsUnits!A:A,1,false)</f>
        <v>#N/A</v>
      </c>
    </row>
    <row r="269">
      <c r="A269" s="1" t="s">
        <v>938</v>
      </c>
      <c r="B269" s="1" t="s">
        <v>2633</v>
      </c>
      <c r="C269" s="1" t="s">
        <v>2634</v>
      </c>
      <c r="D269" s="1" t="s">
        <v>165</v>
      </c>
      <c r="E269" s="15"/>
      <c r="F269" s="16" t="str">
        <f>ifna(VLOOKUP($A269,ConstantsUnits!$A:$C,3,false),"")</f>
        <v>ProtonMagneticMoment</v>
      </c>
      <c r="G269" s="17" t="str">
        <f t="shared" si="1"/>
        <v>1.410606743e-26</v>
      </c>
      <c r="H269" s="17">
        <f t="shared" si="2"/>
        <v>0</v>
      </c>
      <c r="I269" s="17" t="str">
        <f t="shared" si="3"/>
        <v>0.000000033e-26</v>
      </c>
      <c r="J269" s="17">
        <f t="shared" si="4"/>
        <v>0</v>
      </c>
      <c r="K269" s="17" t="b">
        <f t="shared" si="5"/>
        <v>0</v>
      </c>
      <c r="L269" s="16" t="str">
        <f>IFERROR(__xludf.DUMMYFUNCTION("if(regexmatch(B269,""e(.*)$""),regexextract(B269,""e(.*)$""),"""")"),"-26")</f>
        <v>-26</v>
      </c>
      <c r="M269" s="16"/>
      <c r="N269" s="18">
        <f>countif(ConstantsUnits!C:C,F269)</f>
        <v>1</v>
      </c>
      <c r="O269" s="16" t="str">
        <f>VLOOKUP(A269,ConstantsUnits!A:A,1,false)</f>
        <v>proton mag. mom.</v>
      </c>
    </row>
    <row r="270">
      <c r="A270" s="1" t="s">
        <v>941</v>
      </c>
      <c r="B270" s="1" t="s">
        <v>2635</v>
      </c>
      <c r="C270" s="1" t="s">
        <v>2636</v>
      </c>
      <c r="E270" s="15"/>
      <c r="F270" s="16" t="str">
        <f>ifna(VLOOKUP($A270,ConstantsUnits!$A:$C,3,false),"")</f>
        <v>ProtonMagneticMomentToBohrMagnetonRatio</v>
      </c>
      <c r="G270" s="17" t="str">
        <f t="shared" si="1"/>
        <v>1.521032210e-3</v>
      </c>
      <c r="H270" s="17">
        <f t="shared" si="2"/>
        <v>0.00152103221</v>
      </c>
      <c r="I270" s="17" t="str">
        <f t="shared" si="3"/>
        <v>0.000000012e-3</v>
      </c>
      <c r="J270" s="17">
        <f t="shared" si="4"/>
        <v>0</v>
      </c>
      <c r="K270" s="17" t="b">
        <f t="shared" si="5"/>
        <v>0</v>
      </c>
      <c r="L270" s="16" t="str">
        <f>IFERROR(__xludf.DUMMYFUNCTION("if(regexmatch(B270,""e(.*)$""),regexextract(B270,""e(.*)$""),"""")"),"-3")</f>
        <v>-3</v>
      </c>
      <c r="M270" s="16"/>
      <c r="N270" s="18">
        <f>countif(ConstantsUnits!C:C,F270)</f>
        <v>1</v>
      </c>
      <c r="O270" s="16" t="str">
        <f>VLOOKUP(A270,ConstantsUnits!A:A,1,false)</f>
        <v>proton mag. mom. to Bohr magneton ratio</v>
      </c>
    </row>
    <row r="271">
      <c r="A271" s="1" t="s">
        <v>944</v>
      </c>
      <c r="B271" s="1" t="s">
        <v>2637</v>
      </c>
      <c r="C271" s="1" t="s">
        <v>2638</v>
      </c>
      <c r="E271" s="15"/>
      <c r="F271" s="16" t="str">
        <f>ifna(VLOOKUP($A271,ConstantsUnits!$A:$C,3,false),"")</f>
        <v>ProtonMagneticMomentToNuclearMagnetonRatio</v>
      </c>
      <c r="G271" s="17" t="str">
        <f t="shared" si="1"/>
        <v>2.792847356</v>
      </c>
      <c r="H271" s="17">
        <f t="shared" si="2"/>
        <v>2.792847356</v>
      </c>
      <c r="I271" s="17" t="str">
        <f t="shared" si="3"/>
        <v>0.000000023</v>
      </c>
      <c r="J271" s="17">
        <f t="shared" si="4"/>
        <v>0.000000023</v>
      </c>
      <c r="K271" s="17" t="b">
        <f t="shared" si="5"/>
        <v>0</v>
      </c>
      <c r="L271" s="16" t="str">
        <f>IFERROR(__xludf.DUMMYFUNCTION("if(regexmatch(B271,""e(.*)$""),regexextract(B271,""e(.*)$""),"""")"),"")</f>
        <v/>
      </c>
      <c r="M271" s="16"/>
      <c r="N271" s="18">
        <f>countif(ConstantsUnits!C:C,F271)</f>
        <v>1</v>
      </c>
      <c r="O271" s="16" t="str">
        <f>VLOOKUP(A271,ConstantsUnits!A:A,1,false)</f>
        <v>proton mag. mom. to nuclear magneton ratio</v>
      </c>
    </row>
    <row r="272">
      <c r="A272" s="1" t="s">
        <v>947</v>
      </c>
      <c r="B272" s="19" t="s">
        <v>2639</v>
      </c>
      <c r="C272" s="19" t="s">
        <v>2640</v>
      </c>
      <c r="E272" s="15"/>
      <c r="F272" s="16" t="str">
        <f>ifna(VLOOKUP($A272,ConstantsUnits!$A:$C,3,false),"")</f>
        <v>ProtonMagneticShieldingCorrection</v>
      </c>
      <c r="G272" s="17" t="str">
        <f t="shared" si="1"/>
        <v>25.694e-6</v>
      </c>
      <c r="H272" s="17">
        <f t="shared" si="2"/>
        <v>0.000025694</v>
      </c>
      <c r="I272" s="17" t="str">
        <f t="shared" si="3"/>
        <v>0.014e-6</v>
      </c>
      <c r="J272" s="17">
        <f t="shared" si="4"/>
        <v>0.000000014</v>
      </c>
      <c r="K272" s="17" t="b">
        <f t="shared" si="5"/>
        <v>0</v>
      </c>
      <c r="L272" s="16" t="str">
        <f>IFERROR(__xludf.DUMMYFUNCTION("if(regexmatch(B272,""e(.*)$""),regexextract(B272,""e(.*)$""),"""")"),"-6")</f>
        <v>-6</v>
      </c>
      <c r="M272" s="16"/>
      <c r="N272" s="18">
        <f>countif(ConstantsUnits!C:C,F272)</f>
        <v>1</v>
      </c>
      <c r="O272" s="16" t="str">
        <f>VLOOKUP(A272,ConstantsUnits!A:A,1,false)</f>
        <v>proton mag. shielding correction</v>
      </c>
    </row>
    <row r="273">
      <c r="A273" s="1" t="s">
        <v>949</v>
      </c>
      <c r="B273" s="1" t="s">
        <v>2641</v>
      </c>
      <c r="C273" s="1" t="s">
        <v>2581</v>
      </c>
      <c r="D273" s="1" t="s">
        <v>38</v>
      </c>
      <c r="E273" s="15"/>
      <c r="F273" s="16" t="str">
        <f>ifna(VLOOKUP($A273,ConstantsUnits!$A:$C,3,false),"")</f>
        <v>ProtonMass</v>
      </c>
      <c r="G273" s="17" t="str">
        <f t="shared" si="1"/>
        <v>1.672621777e-27</v>
      </c>
      <c r="H273" s="17">
        <f t="shared" si="2"/>
        <v>0</v>
      </c>
      <c r="I273" s="17" t="str">
        <f t="shared" si="3"/>
        <v>0.000000074e-27</v>
      </c>
      <c r="J273" s="17">
        <f t="shared" si="4"/>
        <v>0</v>
      </c>
      <c r="K273" s="17" t="b">
        <f t="shared" si="5"/>
        <v>0</v>
      </c>
      <c r="L273" s="16" t="str">
        <f>IFERROR(__xludf.DUMMYFUNCTION("if(regexmatch(B273,""e(.*)$""),regexextract(B273,""e(.*)$""),"""")"),"-27")</f>
        <v>-27</v>
      </c>
      <c r="M273" s="16"/>
      <c r="N273" s="18">
        <f>countif(ConstantsUnits!C:C,F273)</f>
        <v>1</v>
      </c>
      <c r="O273" s="16" t="str">
        <f>VLOOKUP(A273,ConstantsUnits!A:A,1,false)</f>
        <v>proton mass</v>
      </c>
    </row>
    <row r="274">
      <c r="A274" s="1" t="s">
        <v>953</v>
      </c>
      <c r="B274" s="1" t="s">
        <v>2642</v>
      </c>
      <c r="C274" s="1" t="s">
        <v>2268</v>
      </c>
      <c r="D274" s="1" t="s">
        <v>41</v>
      </c>
      <c r="E274" s="15"/>
      <c r="F274" s="16" t="str">
        <f>ifna(VLOOKUP($A274,ConstantsUnits!$A:$C,3,false),"")</f>
        <v>ProtonMassEnergyEquivalent</v>
      </c>
      <c r="G274" s="17" t="str">
        <f t="shared" si="1"/>
        <v>1.503277484e-10</v>
      </c>
      <c r="H274" s="17">
        <f t="shared" si="2"/>
        <v>0.0000000001503277484</v>
      </c>
      <c r="I274" s="17" t="str">
        <f t="shared" si="3"/>
        <v>0.000000066e-10</v>
      </c>
      <c r="J274" s="17">
        <f t="shared" si="4"/>
        <v>0</v>
      </c>
      <c r="K274" s="17" t="b">
        <f t="shared" si="5"/>
        <v>0</v>
      </c>
      <c r="L274" s="16" t="str">
        <f>IFERROR(__xludf.DUMMYFUNCTION("if(regexmatch(B274,""e(.*)$""),regexextract(B274,""e(.*)$""),"""")"),"-10")</f>
        <v>-10</v>
      </c>
      <c r="M274" s="16"/>
      <c r="N274" s="18">
        <f>countif(ConstantsUnits!C:C,F274)</f>
        <v>1</v>
      </c>
      <c r="O274" s="16" t="str">
        <f>VLOOKUP(A274,ConstantsUnits!A:A,1,false)</f>
        <v>proton mass energy equivalent</v>
      </c>
    </row>
    <row r="275">
      <c r="A275" s="1" t="s">
        <v>955</v>
      </c>
      <c r="B275" s="1" t="s">
        <v>2643</v>
      </c>
      <c r="C275" s="1" t="s">
        <v>1640</v>
      </c>
      <c r="D275" s="1" t="s">
        <v>45</v>
      </c>
      <c r="E275" s="15"/>
      <c r="F275" s="16" t="str">
        <f>ifna(VLOOKUP($A275,ConstantsUnits!$A:$C,3,false),"")</f>
        <v>ProtonMassEnergyEquivalentInMeV</v>
      </c>
      <c r="G275" s="17" t="str">
        <f t="shared" si="1"/>
        <v>938.272046</v>
      </c>
      <c r="H275" s="17">
        <f t="shared" si="2"/>
        <v>938.272046</v>
      </c>
      <c r="I275" s="17" t="str">
        <f t="shared" si="3"/>
        <v>0.000021</v>
      </c>
      <c r="J275" s="17">
        <f t="shared" si="4"/>
        <v>0.000021</v>
      </c>
      <c r="K275" s="17" t="b">
        <f t="shared" si="5"/>
        <v>0</v>
      </c>
      <c r="L275" s="16" t="str">
        <f>IFERROR(__xludf.DUMMYFUNCTION("if(regexmatch(B275,""e(.*)$""),regexextract(B275,""e(.*)$""),"""")"),"")</f>
        <v/>
      </c>
      <c r="M275" s="16"/>
      <c r="N275" s="18">
        <f>countif(ConstantsUnits!C:C,F275)</f>
        <v>1</v>
      </c>
      <c r="O275" s="16" t="str">
        <f>VLOOKUP(A275,ConstantsUnits!A:A,1,false)</f>
        <v>proton mass energy equivalent in MeV</v>
      </c>
    </row>
    <row r="276">
      <c r="A276" s="1" t="s">
        <v>957</v>
      </c>
      <c r="B276" s="1" t="s">
        <v>2644</v>
      </c>
      <c r="C276" s="1" t="s">
        <v>2645</v>
      </c>
      <c r="D276" s="1" t="s">
        <v>48</v>
      </c>
      <c r="E276" s="15"/>
      <c r="F276" s="16" t="str">
        <f>ifna(VLOOKUP($A276,ConstantsUnits!$A:$C,3,false),"")</f>
        <v>ProtonMassInAtomicMassUnit</v>
      </c>
      <c r="G276" s="17" t="str">
        <f t="shared" si="1"/>
        <v>1.007276466812</v>
      </c>
      <c r="H276" s="17">
        <f t="shared" si="2"/>
        <v>1.007276467</v>
      </c>
      <c r="I276" s="17" t="str">
        <f t="shared" si="3"/>
        <v>0.000000000090</v>
      </c>
      <c r="J276" s="17">
        <f t="shared" si="4"/>
        <v>0</v>
      </c>
      <c r="K276" s="17" t="b">
        <f t="shared" si="5"/>
        <v>0</v>
      </c>
      <c r="L276" s="16" t="str">
        <f>IFERROR(__xludf.DUMMYFUNCTION("if(regexmatch(B276,""e(.*)$""),regexextract(B276,""e(.*)$""),"""")"),"")</f>
        <v/>
      </c>
      <c r="M276" s="16"/>
      <c r="N276" s="18">
        <f>countif(ConstantsUnits!C:C,F276)</f>
        <v>1</v>
      </c>
      <c r="O276" s="16" t="str">
        <f>VLOOKUP(A276,ConstantsUnits!A:A,1,false)</f>
        <v>proton mass in u</v>
      </c>
    </row>
    <row r="277">
      <c r="A277" s="1" t="s">
        <v>959</v>
      </c>
      <c r="B277" s="1" t="s">
        <v>2646</v>
      </c>
      <c r="C277" s="1" t="s">
        <v>2647</v>
      </c>
      <c r="D277" s="1" t="s">
        <v>51</v>
      </c>
      <c r="E277" s="15"/>
      <c r="F277" s="16" t="str">
        <f>ifna(VLOOKUP($A277,ConstantsUnits!$A:$C,3,false),"")</f>
        <v>ProtonMolarMass</v>
      </c>
      <c r="G277" s="17" t="str">
        <f t="shared" si="1"/>
        <v>1.007276466812e-3</v>
      </c>
      <c r="H277" s="17">
        <f t="shared" si="2"/>
        <v>0.001007276467</v>
      </c>
      <c r="I277" s="17" t="str">
        <f t="shared" si="3"/>
        <v>0.000000000090e-3</v>
      </c>
      <c r="J277" s="17">
        <f t="shared" si="4"/>
        <v>0</v>
      </c>
      <c r="K277" s="17" t="b">
        <f t="shared" si="5"/>
        <v>0</v>
      </c>
      <c r="L277" s="16" t="str">
        <f>IFERROR(__xludf.DUMMYFUNCTION("if(regexmatch(B277,""e(.*)$""),regexextract(B277,""e(.*)$""),"""")"),"-3")</f>
        <v>-3</v>
      </c>
      <c r="M277" s="16"/>
      <c r="N277" s="18">
        <f>countif(ConstantsUnits!C:C,F277)</f>
        <v>1</v>
      </c>
      <c r="O277" s="16" t="str">
        <f>VLOOKUP(A277,ConstantsUnits!A:A,1,false)</f>
        <v>proton molar mass</v>
      </c>
    </row>
    <row r="278">
      <c r="A278" s="1" t="s">
        <v>962</v>
      </c>
      <c r="B278" s="1" t="s">
        <v>2648</v>
      </c>
      <c r="C278" s="1" t="s">
        <v>2550</v>
      </c>
      <c r="E278" s="15"/>
      <c r="F278" s="16" t="str">
        <f>ifna(VLOOKUP($A278,ConstantsUnits!$A:$C,3,false),"")</f>
        <v>ProtonMuonMassRatio</v>
      </c>
      <c r="G278" s="17" t="str">
        <f t="shared" si="1"/>
        <v>8.88024331</v>
      </c>
      <c r="H278" s="17">
        <f t="shared" si="2"/>
        <v>8.88024331</v>
      </c>
      <c r="I278" s="17" t="str">
        <f t="shared" si="3"/>
        <v>0.00000022</v>
      </c>
      <c r="J278" s="17">
        <f t="shared" si="4"/>
        <v>0.00000022</v>
      </c>
      <c r="K278" s="17" t="b">
        <f t="shared" si="5"/>
        <v>0</v>
      </c>
      <c r="L278" s="16" t="str">
        <f>IFERROR(__xludf.DUMMYFUNCTION("if(regexmatch(B278,""e(.*)$""),regexextract(B278,""e(.*)$""),"""")"),"")</f>
        <v/>
      </c>
      <c r="M278" s="16"/>
      <c r="N278" s="18">
        <f>countif(ConstantsUnits!C:C,F278)</f>
        <v>1</v>
      </c>
      <c r="O278" s="16" t="str">
        <f>VLOOKUP(A278,ConstantsUnits!A:A,1,false)</f>
        <v>proton-muon mass ratio</v>
      </c>
    </row>
    <row r="279">
      <c r="A279" s="1" t="s">
        <v>965</v>
      </c>
      <c r="B279" s="1" t="s">
        <v>2649</v>
      </c>
      <c r="C279" s="1" t="s">
        <v>1622</v>
      </c>
      <c r="E279" s="15"/>
      <c r="F279" s="16" t="str">
        <f>ifna(VLOOKUP($A279,ConstantsUnits!$A:$C,3,false),"")</f>
        <v>ProtonNeutronMagneticMomentRatio</v>
      </c>
      <c r="G279" s="17" t="str">
        <f t="shared" si="1"/>
        <v>-1.45989806</v>
      </c>
      <c r="H279" s="17">
        <f t="shared" si="2"/>
        <v>-1.45989806</v>
      </c>
      <c r="I279" s="17" t="str">
        <f t="shared" si="3"/>
        <v>0.00000034</v>
      </c>
      <c r="J279" s="17">
        <f t="shared" si="4"/>
        <v>0.00000034</v>
      </c>
      <c r="K279" s="17" t="b">
        <f t="shared" si="5"/>
        <v>0</v>
      </c>
      <c r="L279" s="16" t="str">
        <f>IFERROR(__xludf.DUMMYFUNCTION("if(regexmatch(B279,""e(.*)$""),regexextract(B279,""e(.*)$""),"""")"),"")</f>
        <v/>
      </c>
      <c r="M279" s="16"/>
      <c r="N279" s="18">
        <f>countif(ConstantsUnits!C:C,F279)</f>
        <v>1</v>
      </c>
      <c r="O279" s="16" t="str">
        <f>VLOOKUP(A279,ConstantsUnits!A:A,1,false)</f>
        <v>proton-neutron mag. mom. ratio</v>
      </c>
    </row>
    <row r="280">
      <c r="A280" s="1" t="s">
        <v>968</v>
      </c>
      <c r="B280" s="1" t="s">
        <v>2650</v>
      </c>
      <c r="C280" s="1" t="s">
        <v>1648</v>
      </c>
      <c r="E280" s="15"/>
      <c r="F280" s="16" t="str">
        <f>ifna(VLOOKUP($A280,ConstantsUnits!$A:$C,3,false),"")</f>
        <v>ProtonNeutronMassRatio</v>
      </c>
      <c r="G280" s="17" t="str">
        <f t="shared" si="1"/>
        <v>0.99862347826</v>
      </c>
      <c r="H280" s="17">
        <f t="shared" si="2"/>
        <v>0.9986234783</v>
      </c>
      <c r="I280" s="17" t="str">
        <f t="shared" si="3"/>
        <v>0.00000000045</v>
      </c>
      <c r="J280" s="17">
        <f t="shared" si="4"/>
        <v>0.00000000045</v>
      </c>
      <c r="K280" s="17" t="b">
        <f t="shared" si="5"/>
        <v>0</v>
      </c>
      <c r="L280" s="16" t="str">
        <f>IFERROR(__xludf.DUMMYFUNCTION("if(regexmatch(B280,""e(.*)$""),regexextract(B280,""e(.*)$""),"""")"),"")</f>
        <v/>
      </c>
      <c r="M280" s="16"/>
      <c r="N280" s="18">
        <f>countif(ConstantsUnits!C:C,F280)</f>
        <v>1</v>
      </c>
      <c r="O280" s="16" t="str">
        <f>VLOOKUP(A280,ConstantsUnits!A:A,1,false)</f>
        <v>proton-neutron mass ratio</v>
      </c>
    </row>
    <row r="281">
      <c r="A281" s="1" t="s">
        <v>973</v>
      </c>
      <c r="B281" s="19" t="s">
        <v>2651</v>
      </c>
      <c r="C281" s="19" t="s">
        <v>2652</v>
      </c>
      <c r="D281" s="1" t="s">
        <v>59</v>
      </c>
      <c r="E281" s="15"/>
      <c r="F281" s="16" t="str">
        <f>ifna(VLOOKUP($A281,ConstantsUnits!$A:$C,3,false),"")</f>
        <v>ProtonRmsChargeRadius</v>
      </c>
      <c r="G281" s="17" t="str">
        <f t="shared" si="1"/>
        <v>0.8775e-15</v>
      </c>
      <c r="H281" s="17">
        <f t="shared" si="2"/>
        <v>0</v>
      </c>
      <c r="I281" s="17" t="str">
        <f t="shared" si="3"/>
        <v>0.0051e-15</v>
      </c>
      <c r="J281" s="17">
        <f t="shared" si="4"/>
        <v>0</v>
      </c>
      <c r="K281" s="17" t="b">
        <f t="shared" si="5"/>
        <v>0</v>
      </c>
      <c r="L281" s="16" t="str">
        <f>IFERROR(__xludf.DUMMYFUNCTION("if(regexmatch(B281,""e(.*)$""),regexextract(B281,""e(.*)$""),"""")"),"-15")</f>
        <v>-15</v>
      </c>
      <c r="M281" s="16"/>
      <c r="N281" s="18">
        <f>countif(ConstantsUnits!C:C,F281)</f>
        <v>1</v>
      </c>
      <c r="O281" s="16" t="str">
        <f>VLOOKUP(A281,ConstantsUnits!A:A,1,false)</f>
        <v>proton rms charge radius</v>
      </c>
    </row>
    <row r="282">
      <c r="A282" s="1" t="s">
        <v>976</v>
      </c>
      <c r="B282" s="1" t="s">
        <v>2168</v>
      </c>
      <c r="C282" s="1" t="s">
        <v>2098</v>
      </c>
      <c r="E282" s="15"/>
      <c r="F282" s="16" t="str">
        <f>ifna(VLOOKUP($A282,ConstantsUnits!$A:$C,3,false),"")</f>
        <v>ProtonTauMassRatio</v>
      </c>
      <c r="G282" s="17" t="str">
        <f t="shared" si="1"/>
        <v>0.528063</v>
      </c>
      <c r="H282" s="17">
        <f t="shared" si="2"/>
        <v>0.528063</v>
      </c>
      <c r="I282" s="17" t="str">
        <f t="shared" si="3"/>
        <v>0.000048</v>
      </c>
      <c r="J282" s="17">
        <f t="shared" si="4"/>
        <v>0.000048</v>
      </c>
      <c r="K282" s="17" t="b">
        <f t="shared" si="5"/>
        <v>0</v>
      </c>
      <c r="L282" s="16" t="str">
        <f>IFERROR(__xludf.DUMMYFUNCTION("if(regexmatch(B282,""e(.*)$""),regexextract(B282,""e(.*)$""),"""")"),"")</f>
        <v/>
      </c>
      <c r="M282" s="16"/>
      <c r="N282" s="18">
        <f>countif(ConstantsUnits!C:C,F282)</f>
        <v>1</v>
      </c>
      <c r="O282" s="16" t="str">
        <f>VLOOKUP(A282,ConstantsUnits!A:A,1,false)</f>
        <v>proton-tau mass ratio</v>
      </c>
    </row>
    <row r="283">
      <c r="A283" s="1" t="s">
        <v>979</v>
      </c>
      <c r="B283" s="1" t="s">
        <v>2653</v>
      </c>
      <c r="C283" s="1" t="s">
        <v>2654</v>
      </c>
      <c r="D283" s="1" t="s">
        <v>980</v>
      </c>
      <c r="E283" s="15"/>
      <c r="F283" s="16" t="str">
        <f>ifna(VLOOKUP($A283,ConstantsUnits!$A:$C,3,false),"")</f>
        <v>QuantumOfCirculation</v>
      </c>
      <c r="G283" s="17" t="str">
        <f t="shared" si="1"/>
        <v>3.6369475520e-4</v>
      </c>
      <c r="H283" s="17">
        <f t="shared" si="2"/>
        <v>0.0003636947552</v>
      </c>
      <c r="I283" s="17" t="str">
        <f t="shared" si="3"/>
        <v>0.0000000024e-4</v>
      </c>
      <c r="J283" s="17">
        <f t="shared" si="4"/>
        <v>0</v>
      </c>
      <c r="K283" s="17" t="b">
        <f t="shared" si="5"/>
        <v>0</v>
      </c>
      <c r="L283" s="16" t="str">
        <f>IFERROR(__xludf.DUMMYFUNCTION("if(regexmatch(B283,""e(.*)$""),regexextract(B283,""e(.*)$""),"""")"),"-4")</f>
        <v>-4</v>
      </c>
      <c r="M283" s="16"/>
      <c r="N283" s="18">
        <f>countif(ConstantsUnits!C:C,F283)</f>
        <v>1</v>
      </c>
      <c r="O283" s="16" t="str">
        <f>VLOOKUP(A283,ConstantsUnits!A:A,1,false)</f>
        <v>quantum of circulation</v>
      </c>
    </row>
    <row r="284">
      <c r="A284" s="1" t="s">
        <v>984</v>
      </c>
      <c r="B284" s="1" t="s">
        <v>2655</v>
      </c>
      <c r="C284" s="1" t="s">
        <v>2656</v>
      </c>
      <c r="D284" s="1" t="s">
        <v>980</v>
      </c>
      <c r="E284" s="15"/>
      <c r="F284" s="16" t="str">
        <f>ifna(VLOOKUP($A284,ConstantsUnits!$A:$C,3,false),"")</f>
        <v>QuantumOfCirculationTimes2</v>
      </c>
      <c r="G284" s="17" t="str">
        <f t="shared" si="1"/>
        <v>7.2738951040e-4</v>
      </c>
      <c r="H284" s="17">
        <f t="shared" si="2"/>
        <v>0.0007273895104</v>
      </c>
      <c r="I284" s="17" t="str">
        <f t="shared" si="3"/>
        <v>0.0000000047e-4</v>
      </c>
      <c r="J284" s="17">
        <f t="shared" si="4"/>
        <v>0</v>
      </c>
      <c r="K284" s="17" t="b">
        <f t="shared" si="5"/>
        <v>0</v>
      </c>
      <c r="L284" s="16" t="str">
        <f>IFERROR(__xludf.DUMMYFUNCTION("if(regexmatch(B284,""e(.*)$""),regexextract(B284,""e(.*)$""),"""")"),"-4")</f>
        <v>-4</v>
      </c>
      <c r="M284" s="16"/>
      <c r="N284" s="18">
        <f>countif(ConstantsUnits!C:C,F284)</f>
        <v>1</v>
      </c>
      <c r="O284" s="16" t="str">
        <f>VLOOKUP(A284,ConstantsUnits!A:A,1,false)</f>
        <v>quantum of circulation times 2</v>
      </c>
    </row>
    <row r="285">
      <c r="A285" s="1" t="s">
        <v>1005</v>
      </c>
      <c r="B285" s="1" t="s">
        <v>2657</v>
      </c>
      <c r="C285" s="1" t="s">
        <v>2658</v>
      </c>
      <c r="D285" s="1" t="s">
        <v>83</v>
      </c>
      <c r="E285" s="15"/>
      <c r="F285" s="16" t="str">
        <f>ifna(VLOOKUP($A285,ConstantsUnits!$A:$C,3,false),"")</f>
        <v>RydbergConstant</v>
      </c>
      <c r="G285" s="17" t="str">
        <f t="shared" si="1"/>
        <v>10973731.568539</v>
      </c>
      <c r="H285" s="17">
        <f t="shared" si="2"/>
        <v>10973731.57</v>
      </c>
      <c r="I285" s="17" t="str">
        <f t="shared" si="3"/>
        <v>0.000055</v>
      </c>
      <c r="J285" s="17">
        <f t="shared" si="4"/>
        <v>0.000055</v>
      </c>
      <c r="K285" s="17" t="b">
        <f t="shared" si="5"/>
        <v>0</v>
      </c>
      <c r="L285" s="16" t="str">
        <f>IFERROR(__xludf.DUMMYFUNCTION("if(regexmatch(B285,""e(.*)$""),regexextract(B285,""e(.*)$""),"""")"),"")</f>
        <v/>
      </c>
      <c r="M285" s="16"/>
      <c r="N285" s="18">
        <f>countif(ConstantsUnits!C:C,F285)</f>
        <v>1</v>
      </c>
      <c r="O285" s="16" t="str">
        <f>VLOOKUP(A285,ConstantsUnits!A:A,1,false)</f>
        <v>Rydberg constant</v>
      </c>
    </row>
    <row r="286">
      <c r="A286" s="1" t="s">
        <v>1008</v>
      </c>
      <c r="B286" s="1" t="s">
        <v>2659</v>
      </c>
      <c r="C286" s="1" t="s">
        <v>2660</v>
      </c>
      <c r="D286" s="1" t="s">
        <v>79</v>
      </c>
      <c r="E286" s="15"/>
      <c r="F286" s="16" t="str">
        <f>ifna(VLOOKUP($A286,ConstantsUnits!$A:$C,3,false),"")</f>
        <v>RydbergConstantTimesCInHz</v>
      </c>
      <c r="G286" s="17" t="str">
        <f t="shared" si="1"/>
        <v>3.289841960364e15</v>
      </c>
      <c r="H286" s="17">
        <f t="shared" si="2"/>
        <v>3.28984E+15</v>
      </c>
      <c r="I286" s="17" t="str">
        <f t="shared" si="3"/>
        <v>0.000000000017e15</v>
      </c>
      <c r="J286" s="17">
        <f t="shared" si="4"/>
        <v>17000</v>
      </c>
      <c r="K286" s="17" t="b">
        <f t="shared" si="5"/>
        <v>0</v>
      </c>
      <c r="L286" s="16" t="str">
        <f>IFERROR(__xludf.DUMMYFUNCTION("if(regexmatch(B286,""e(.*)$""),regexextract(B286,""e(.*)$""),"""")"),"15")</f>
        <v>15</v>
      </c>
      <c r="M286" s="16"/>
      <c r="N286" s="18">
        <f>countif(ConstantsUnits!C:C,F286)</f>
        <v>1</v>
      </c>
      <c r="O286" s="16" t="str">
        <f>VLOOKUP(A286,ConstantsUnits!A:A,1,false)</f>
        <v>Rydberg constant times c in Hz</v>
      </c>
    </row>
    <row r="287">
      <c r="A287" s="1" t="s">
        <v>1010</v>
      </c>
      <c r="B287" s="1" t="s">
        <v>2661</v>
      </c>
      <c r="C287" s="1" t="s">
        <v>2662</v>
      </c>
      <c r="D287" s="1" t="s">
        <v>70</v>
      </c>
      <c r="E287" s="15"/>
      <c r="F287" s="16" t="str">
        <f>ifna(VLOOKUP($A287,ConstantsUnits!$A:$C,3,false),"")</f>
        <v>RydbergConstantTimesHcInEV</v>
      </c>
      <c r="G287" s="17" t="str">
        <f t="shared" si="1"/>
        <v>13.60569253</v>
      </c>
      <c r="H287" s="17">
        <f t="shared" si="2"/>
        <v>13.60569253</v>
      </c>
      <c r="I287" s="17" t="str">
        <f t="shared" si="3"/>
        <v>0.00000030</v>
      </c>
      <c r="J287" s="17">
        <f t="shared" si="4"/>
        <v>0.0000003</v>
      </c>
      <c r="K287" s="17" t="b">
        <f t="shared" si="5"/>
        <v>0</v>
      </c>
      <c r="L287" s="16" t="str">
        <f>IFERROR(__xludf.DUMMYFUNCTION("if(regexmatch(B287,""e(.*)$""),regexextract(B287,""e(.*)$""),"""")"),"")</f>
        <v/>
      </c>
      <c r="M287" s="16"/>
      <c r="N287" s="18">
        <f>countif(ConstantsUnits!C:C,F287)</f>
        <v>1</v>
      </c>
      <c r="O287" s="16" t="str">
        <f>VLOOKUP(A287,ConstantsUnits!A:A,1,false)</f>
        <v>Rydberg constant times hc in eV</v>
      </c>
    </row>
    <row r="288">
      <c r="A288" s="1" t="s">
        <v>1012</v>
      </c>
      <c r="B288" s="1" t="s">
        <v>2663</v>
      </c>
      <c r="C288" s="1" t="s">
        <v>2664</v>
      </c>
      <c r="D288" s="1" t="s">
        <v>41</v>
      </c>
      <c r="E288" s="15"/>
      <c r="F288" s="16" t="str">
        <f>ifna(VLOOKUP($A288,ConstantsUnits!$A:$C,3,false),"")</f>
        <v>RydbergConstantTimesHcInJ</v>
      </c>
      <c r="G288" s="17" t="str">
        <f t="shared" si="1"/>
        <v>2.179872171e-18</v>
      </c>
      <c r="H288" s="17">
        <f t="shared" si="2"/>
        <v>0</v>
      </c>
      <c r="I288" s="17" t="str">
        <f t="shared" si="3"/>
        <v>0.000000096e-18</v>
      </c>
      <c r="J288" s="17">
        <f t="shared" si="4"/>
        <v>0</v>
      </c>
      <c r="K288" s="17" t="b">
        <f t="shared" si="5"/>
        <v>0</v>
      </c>
      <c r="L288" s="16" t="str">
        <f>IFERROR(__xludf.DUMMYFUNCTION("if(regexmatch(B288,""e(.*)$""),regexextract(B288,""e(.*)$""),"""")"),"-18")</f>
        <v>-18</v>
      </c>
      <c r="M288" s="16"/>
      <c r="N288" s="18">
        <f>countif(ConstantsUnits!C:C,F288)</f>
        <v>1</v>
      </c>
      <c r="O288" s="16" t="str">
        <f>VLOOKUP(A288,ConstantsUnits!A:A,1,false)</f>
        <v>Rydberg constant times hc in J</v>
      </c>
    </row>
    <row r="289">
      <c r="A289" s="1" t="s">
        <v>1014</v>
      </c>
      <c r="B289" s="1" t="s">
        <v>2665</v>
      </c>
      <c r="C289" s="1" t="s">
        <v>1510</v>
      </c>
      <c r="E289" s="15"/>
      <c r="F289" s="16" t="str">
        <f>ifna(VLOOKUP($A289,ConstantsUnits!$A:$C,3,false),"")</f>
        <v>SackurTetrodeConstant1K100KPa</v>
      </c>
      <c r="G289" s="17" t="str">
        <f t="shared" si="1"/>
        <v>-1.1517078</v>
      </c>
      <c r="H289" s="17">
        <f t="shared" si="2"/>
        <v>-1.1517078</v>
      </c>
      <c r="I289" s="17" t="str">
        <f t="shared" si="3"/>
        <v>0.0000023</v>
      </c>
      <c r="J289" s="17">
        <f t="shared" si="4"/>
        <v>0.0000023</v>
      </c>
      <c r="K289" s="17" t="b">
        <f t="shared" si="5"/>
        <v>0</v>
      </c>
      <c r="L289" s="16" t="str">
        <f>IFERROR(__xludf.DUMMYFUNCTION("if(regexmatch(B289,""e(.*)$""),regexextract(B289,""e(.*)$""),"""")"),"")</f>
        <v/>
      </c>
      <c r="M289" s="16"/>
      <c r="N289" s="18">
        <f>countif(ConstantsUnits!C:C,F289)</f>
        <v>1</v>
      </c>
      <c r="O289" s="16" t="str">
        <f>VLOOKUP(A289,ConstantsUnits!A:A,1,false)</f>
        <v>Sackur-Tetrode constant (1 K, 100 kPa)</v>
      </c>
    </row>
    <row r="290">
      <c r="A290" s="1" t="s">
        <v>1017</v>
      </c>
      <c r="B290" s="1" t="s">
        <v>2666</v>
      </c>
      <c r="C290" s="1" t="s">
        <v>1510</v>
      </c>
      <c r="E290" s="15"/>
      <c r="F290" s="16" t="str">
        <f>ifna(VLOOKUP($A290,ConstantsUnits!$A:$C,3,false),"")</f>
        <v>SackurTetrodeConstant1K101KPa</v>
      </c>
      <c r="G290" s="17" t="str">
        <f t="shared" si="1"/>
        <v>-1.1648708</v>
      </c>
      <c r="H290" s="17">
        <f t="shared" si="2"/>
        <v>-1.1648708</v>
      </c>
      <c r="I290" s="17" t="str">
        <f t="shared" si="3"/>
        <v>0.0000023</v>
      </c>
      <c r="J290" s="17">
        <f t="shared" si="4"/>
        <v>0.0000023</v>
      </c>
      <c r="K290" s="17" t="b">
        <f t="shared" si="5"/>
        <v>0</v>
      </c>
      <c r="L290" s="16" t="str">
        <f>IFERROR(__xludf.DUMMYFUNCTION("if(regexmatch(B290,""e(.*)$""),regexextract(B290,""e(.*)$""),"""")"),"")</f>
        <v/>
      </c>
      <c r="M290" s="16"/>
      <c r="N290" s="18">
        <f>countif(ConstantsUnits!C:C,F290)</f>
        <v>1</v>
      </c>
      <c r="O290" s="16" t="str">
        <f>VLOOKUP(A290,ConstantsUnits!A:A,1,false)</f>
        <v>Sackur-Tetrode constant (1 K, 101.325 kPa)</v>
      </c>
    </row>
    <row r="291">
      <c r="A291" s="1" t="s">
        <v>1019</v>
      </c>
      <c r="B291" s="1" t="s">
        <v>2485</v>
      </c>
      <c r="C291" s="1" t="s">
        <v>2486</v>
      </c>
      <c r="D291" s="1" t="s">
        <v>1020</v>
      </c>
      <c r="E291" s="15"/>
      <c r="F291" s="16" t="str">
        <f>ifna(VLOOKUP($A291,ConstantsUnits!$A:$C,3,false),"")</f>
        <v>SecondRadiationConstant</v>
      </c>
      <c r="G291" s="17" t="str">
        <f t="shared" si="1"/>
        <v>1.4387770e-2</v>
      </c>
      <c r="H291" s="17">
        <f t="shared" si="2"/>
        <v>0.01438777</v>
      </c>
      <c r="I291" s="17" t="str">
        <f t="shared" si="3"/>
        <v>0.0000013e-2</v>
      </c>
      <c r="J291" s="17">
        <f t="shared" si="4"/>
        <v>0.000000013</v>
      </c>
      <c r="K291" s="17" t="b">
        <f t="shared" si="5"/>
        <v>0</v>
      </c>
      <c r="L291" s="16" t="str">
        <f>IFERROR(__xludf.DUMMYFUNCTION("if(regexmatch(B291,""e(.*)$""),regexextract(B291,""e(.*)$""),"""")"),"-2")</f>
        <v>-2</v>
      </c>
      <c r="M291" s="16"/>
      <c r="N291" s="18">
        <f>countif(ConstantsUnits!C:C,F291)</f>
        <v>1</v>
      </c>
      <c r="O291" s="16" t="str">
        <f>VLOOKUP(A291,ConstantsUnits!A:A,1,false)</f>
        <v>second radiation constant</v>
      </c>
    </row>
    <row r="292">
      <c r="A292" s="1" t="s">
        <v>1024</v>
      </c>
      <c r="B292" s="1" t="s">
        <v>2667</v>
      </c>
      <c r="C292" s="1" t="s">
        <v>2668</v>
      </c>
      <c r="D292" s="1" t="s">
        <v>361</v>
      </c>
      <c r="E292" s="15"/>
      <c r="F292" s="16" t="str">
        <f>ifna(VLOOKUP($A292,ConstantsUnits!$A:$C,3,false),"")</f>
        <v>ShieldedHelionGyromagneticRatio</v>
      </c>
      <c r="G292" s="17" t="str">
        <f t="shared" si="1"/>
        <v>2.037894659e8</v>
      </c>
      <c r="H292" s="17">
        <f t="shared" si="2"/>
        <v>203789465.9</v>
      </c>
      <c r="I292" s="17" t="str">
        <f t="shared" si="3"/>
        <v>0.000000051e8</v>
      </c>
      <c r="J292" s="17">
        <f t="shared" si="4"/>
        <v>5.1</v>
      </c>
      <c r="K292" s="17" t="b">
        <f t="shared" si="5"/>
        <v>0</v>
      </c>
      <c r="L292" s="16" t="str">
        <f>IFERROR(__xludf.DUMMYFUNCTION("if(regexmatch(B292,""e(.*)$""),regexextract(B292,""e(.*)$""),"""")"),"8")</f>
        <v>8</v>
      </c>
      <c r="M292" s="16"/>
      <c r="N292" s="18">
        <f>countif(ConstantsUnits!C:C,F292)</f>
        <v>1</v>
      </c>
      <c r="O292" s="16" t="str">
        <f>VLOOKUP(A292,ConstantsUnits!A:A,1,false)</f>
        <v>shielded helion gyromag. ratio</v>
      </c>
    </row>
    <row r="293">
      <c r="A293" s="1" t="s">
        <v>2186</v>
      </c>
      <c r="B293" s="1" t="s">
        <v>2669</v>
      </c>
      <c r="C293" s="1" t="s">
        <v>2670</v>
      </c>
      <c r="D293" s="1" t="s">
        <v>367</v>
      </c>
      <c r="E293" s="15"/>
      <c r="F293" s="3" t="s">
        <v>2189</v>
      </c>
      <c r="G293" s="17" t="str">
        <f t="shared" si="1"/>
        <v>32.43410084</v>
      </c>
      <c r="H293" s="17">
        <f t="shared" si="2"/>
        <v>32.43410084</v>
      </c>
      <c r="I293" s="17" t="str">
        <f t="shared" si="3"/>
        <v>0.00000081</v>
      </c>
      <c r="J293" s="17">
        <f t="shared" si="4"/>
        <v>0.00000081</v>
      </c>
      <c r="K293" s="17" t="b">
        <f t="shared" si="5"/>
        <v>0</v>
      </c>
      <c r="L293" s="16" t="str">
        <f>IFERROR(__xludf.DUMMYFUNCTION("if(regexmatch(B293,""e(.*)$""),regexextract(B293,""e(.*)$""),"""")"),"")</f>
        <v/>
      </c>
      <c r="M293" s="16"/>
      <c r="N293" s="18">
        <f>countif(ConstantsUnits!C:C,F293)</f>
        <v>1</v>
      </c>
      <c r="O293" s="16" t="str">
        <f>VLOOKUP(A293,ConstantsUnits!A:A,1,false)</f>
        <v>#N/A</v>
      </c>
    </row>
    <row r="294">
      <c r="A294" s="1" t="s">
        <v>1030</v>
      </c>
      <c r="B294" s="1" t="s">
        <v>2671</v>
      </c>
      <c r="C294" s="1" t="s">
        <v>2452</v>
      </c>
      <c r="D294" s="1" t="s">
        <v>165</v>
      </c>
      <c r="E294" s="15"/>
      <c r="F294" s="16" t="str">
        <f>ifna(VLOOKUP($A294,ConstantsUnits!$A:$C,3,false),"")</f>
        <v>ShieldedHelionMagneticMoment</v>
      </c>
      <c r="G294" s="17" t="str">
        <f t="shared" si="1"/>
        <v>-1.074553044e-26</v>
      </c>
      <c r="H294" s="17">
        <f t="shared" si="2"/>
        <v>0</v>
      </c>
      <c r="I294" s="17" t="str">
        <f t="shared" si="3"/>
        <v>0.000000027e-26</v>
      </c>
      <c r="J294" s="17">
        <f t="shared" si="4"/>
        <v>0</v>
      </c>
      <c r="K294" s="17" t="b">
        <f t="shared" si="5"/>
        <v>0</v>
      </c>
      <c r="L294" s="16" t="str">
        <f>IFERROR(__xludf.DUMMYFUNCTION("if(regexmatch(B294,""e(.*)$""),regexextract(B294,""e(.*)$""),"""")"),"-26")</f>
        <v>-26</v>
      </c>
      <c r="M294" s="16"/>
      <c r="N294" s="18">
        <f>countif(ConstantsUnits!C:C,F294)</f>
        <v>1</v>
      </c>
      <c r="O294" s="16" t="str">
        <f>VLOOKUP(A294,ConstantsUnits!A:A,1,false)</f>
        <v>shielded helion mag. mom.</v>
      </c>
    </row>
    <row r="295">
      <c r="A295" s="1" t="s">
        <v>1033</v>
      </c>
      <c r="B295" s="1" t="s">
        <v>1655</v>
      </c>
      <c r="C295" s="1" t="s">
        <v>1411</v>
      </c>
      <c r="E295" s="15"/>
      <c r="F295" s="16" t="str">
        <f>ifna(VLOOKUP($A295,ConstantsUnits!$A:$C,3,false),"")</f>
        <v>ShieldedHelionMagneticMomentToBohrMagnetonRatio</v>
      </c>
      <c r="G295" s="17" t="str">
        <f t="shared" si="1"/>
        <v>-1.158671471e-3</v>
      </c>
      <c r="H295" s="17">
        <f t="shared" si="2"/>
        <v>-0.001158671471</v>
      </c>
      <c r="I295" s="17" t="str">
        <f t="shared" si="3"/>
        <v>0.000000014e-3</v>
      </c>
      <c r="J295" s="17">
        <f t="shared" si="4"/>
        <v>0</v>
      </c>
      <c r="K295" s="17" t="b">
        <f t="shared" si="5"/>
        <v>0</v>
      </c>
      <c r="L295" s="16" t="str">
        <f>IFERROR(__xludf.DUMMYFUNCTION("if(regexmatch(B295,""e(.*)$""),regexextract(B295,""e(.*)$""),"""")"),"-3")</f>
        <v>-3</v>
      </c>
      <c r="M295" s="16"/>
      <c r="N295" s="18">
        <f>countif(ConstantsUnits!C:C,F295)</f>
        <v>1</v>
      </c>
      <c r="O295" s="16" t="str">
        <f>VLOOKUP(A295,ConstantsUnits!A:A,1,false)</f>
        <v>shielded helion mag. mom. to Bohr magneton ratio</v>
      </c>
    </row>
    <row r="296">
      <c r="A296" s="1" t="s">
        <v>1036</v>
      </c>
      <c r="B296" s="1" t="s">
        <v>2672</v>
      </c>
      <c r="C296" s="1" t="s">
        <v>1413</v>
      </c>
      <c r="E296" s="15"/>
      <c r="F296" s="16" t="str">
        <f>ifna(VLOOKUP($A296,ConstantsUnits!$A:$C,3,false),"")</f>
        <v>ShieldedHelionMagneticMomentToNuclearMagnetonRatio</v>
      </c>
      <c r="G296" s="17" t="str">
        <f t="shared" si="1"/>
        <v>-2.127497718</v>
      </c>
      <c r="H296" s="17">
        <f t="shared" si="2"/>
        <v>-2.127497718</v>
      </c>
      <c r="I296" s="17" t="str">
        <f t="shared" si="3"/>
        <v>0.000000025</v>
      </c>
      <c r="J296" s="17">
        <f t="shared" si="4"/>
        <v>0.000000025</v>
      </c>
      <c r="K296" s="17" t="b">
        <f t="shared" si="5"/>
        <v>0</v>
      </c>
      <c r="L296" s="16" t="str">
        <f>IFERROR(__xludf.DUMMYFUNCTION("if(regexmatch(B296,""e(.*)$""),regexextract(B296,""e(.*)$""),"""")"),"")</f>
        <v/>
      </c>
      <c r="M296" s="16"/>
      <c r="N296" s="18">
        <f>countif(ConstantsUnits!C:C,F296)</f>
        <v>1</v>
      </c>
      <c r="O296" s="16" t="str">
        <f>VLOOKUP(A296,ConstantsUnits!A:A,1,false)</f>
        <v>shielded helion mag. mom. to nuclear magneton ratio</v>
      </c>
    </row>
    <row r="297">
      <c r="A297" s="1" t="s">
        <v>1039</v>
      </c>
      <c r="B297" s="1" t="s">
        <v>2673</v>
      </c>
      <c r="C297" s="1" t="s">
        <v>2399</v>
      </c>
      <c r="E297" s="15"/>
      <c r="F297" s="16" t="str">
        <f>ifna(VLOOKUP($A297,ConstantsUnits!$A:$C,3,false),"")</f>
        <v>ShieldedHelionToProtonMagneticMomentRatio</v>
      </c>
      <c r="G297" s="17" t="str">
        <f t="shared" si="1"/>
        <v>-0.761766558</v>
      </c>
      <c r="H297" s="17">
        <f t="shared" si="2"/>
        <v>-0.761766558</v>
      </c>
      <c r="I297" s="17" t="str">
        <f t="shared" si="3"/>
        <v>0.000000011</v>
      </c>
      <c r="J297" s="17">
        <f t="shared" si="4"/>
        <v>0.000000011</v>
      </c>
      <c r="K297" s="17" t="b">
        <f t="shared" si="5"/>
        <v>0</v>
      </c>
      <c r="L297" s="16" t="str">
        <f>IFERROR(__xludf.DUMMYFUNCTION("if(regexmatch(B297,""e(.*)$""),regexextract(B297,""e(.*)$""),"""")"),"")</f>
        <v/>
      </c>
      <c r="M297" s="16"/>
      <c r="N297" s="18">
        <f>countif(ConstantsUnits!C:C,F297)</f>
        <v>1</v>
      </c>
      <c r="O297" s="16" t="str">
        <f>VLOOKUP(A297,ConstantsUnits!A:A,1,false)</f>
        <v>shielded helion to proton mag. mom. ratio</v>
      </c>
    </row>
    <row r="298">
      <c r="A298" s="1" t="s">
        <v>1042</v>
      </c>
      <c r="B298" s="1" t="s">
        <v>1659</v>
      </c>
      <c r="C298" s="1" t="s">
        <v>1660</v>
      </c>
      <c r="E298" s="15"/>
      <c r="F298" s="16" t="str">
        <f>ifna(VLOOKUP($A298,ConstantsUnits!$A:$C,3,false),"")</f>
        <v>ShieldedHelionToShieldedProtonMagneticMomentRatio</v>
      </c>
      <c r="G298" s="17" t="str">
        <f t="shared" si="1"/>
        <v>-0.7617861313</v>
      </c>
      <c r="H298" s="17">
        <f t="shared" si="2"/>
        <v>-0.7617861313</v>
      </c>
      <c r="I298" s="17" t="str">
        <f t="shared" si="3"/>
        <v>0.0000000033</v>
      </c>
      <c r="J298" s="17">
        <f t="shared" si="4"/>
        <v>0.0000000033</v>
      </c>
      <c r="K298" s="17" t="b">
        <f t="shared" si="5"/>
        <v>0</v>
      </c>
      <c r="L298" s="16" t="str">
        <f>IFERROR(__xludf.DUMMYFUNCTION("if(regexmatch(B298,""e(.*)$""),regexextract(B298,""e(.*)$""),"""")"),"")</f>
        <v/>
      </c>
      <c r="M298" s="16"/>
      <c r="N298" s="18">
        <f>countif(ConstantsUnits!C:C,F298)</f>
        <v>1</v>
      </c>
      <c r="O298" s="16" t="str">
        <f>VLOOKUP(A298,ConstantsUnits!A:A,1,false)</f>
        <v>shielded helion to shielded proton mag. mom. ratio</v>
      </c>
    </row>
    <row r="299">
      <c r="A299" s="1" t="s">
        <v>1045</v>
      </c>
      <c r="B299" s="1" t="s">
        <v>2674</v>
      </c>
      <c r="C299" s="1" t="s">
        <v>2675</v>
      </c>
      <c r="D299" s="1" t="s">
        <v>361</v>
      </c>
      <c r="E299" s="15"/>
      <c r="F299" s="16" t="str">
        <f>ifna(VLOOKUP($A299,ConstantsUnits!$A:$C,3,false),"")</f>
        <v>ShieldedProtonGyromagneticRatio</v>
      </c>
      <c r="G299" s="17" t="str">
        <f t="shared" si="1"/>
        <v>2.675153268e8</v>
      </c>
      <c r="H299" s="17">
        <f t="shared" si="2"/>
        <v>267515326.8</v>
      </c>
      <c r="I299" s="17" t="str">
        <f t="shared" si="3"/>
        <v>0.000000066e8</v>
      </c>
      <c r="J299" s="17">
        <f t="shared" si="4"/>
        <v>6.6</v>
      </c>
      <c r="K299" s="17" t="b">
        <f t="shared" si="5"/>
        <v>0</v>
      </c>
      <c r="L299" s="16" t="str">
        <f>IFERROR(__xludf.DUMMYFUNCTION("if(regexmatch(B299,""e(.*)$""),regexextract(B299,""e(.*)$""),"""")"),"8")</f>
        <v>8</v>
      </c>
      <c r="M299" s="16"/>
      <c r="N299" s="18">
        <f>countif(ConstantsUnits!C:C,F299)</f>
        <v>1</v>
      </c>
      <c r="O299" s="16" t="str">
        <f>VLOOKUP(A299,ConstantsUnits!A:A,1,false)</f>
        <v>shielded proton gyromag. ratio</v>
      </c>
    </row>
    <row r="300">
      <c r="A300" s="1" t="s">
        <v>2196</v>
      </c>
      <c r="B300" s="1" t="s">
        <v>2676</v>
      </c>
      <c r="C300" s="1" t="s">
        <v>2332</v>
      </c>
      <c r="D300" s="1" t="s">
        <v>367</v>
      </c>
      <c r="E300" s="15"/>
      <c r="F300" s="3" t="s">
        <v>2199</v>
      </c>
      <c r="G300" s="17" t="str">
        <f t="shared" si="1"/>
        <v>42.5763866</v>
      </c>
      <c r="H300" s="17">
        <f t="shared" si="2"/>
        <v>42.5763866</v>
      </c>
      <c r="I300" s="17" t="str">
        <f t="shared" si="3"/>
        <v>0.0000010</v>
      </c>
      <c r="J300" s="17">
        <f t="shared" si="4"/>
        <v>0.000001</v>
      </c>
      <c r="K300" s="17" t="b">
        <f t="shared" si="5"/>
        <v>0</v>
      </c>
      <c r="L300" s="16" t="str">
        <f>IFERROR(__xludf.DUMMYFUNCTION("if(regexmatch(B300,""e(.*)$""),regexextract(B300,""e(.*)$""),"""")"),"")</f>
        <v/>
      </c>
      <c r="M300" s="16"/>
      <c r="N300" s="18">
        <f>countif(ConstantsUnits!C:C,F300)</f>
        <v>1</v>
      </c>
      <c r="O300" s="16" t="str">
        <f>VLOOKUP(A300,ConstantsUnits!A:A,1,false)</f>
        <v>#N/A</v>
      </c>
    </row>
    <row r="301">
      <c r="A301" s="1" t="s">
        <v>1050</v>
      </c>
      <c r="B301" s="1" t="s">
        <v>2677</v>
      </c>
      <c r="C301" s="1" t="s">
        <v>2678</v>
      </c>
      <c r="D301" s="1" t="s">
        <v>165</v>
      </c>
      <c r="E301" s="15"/>
      <c r="F301" s="16" t="str">
        <f>ifna(VLOOKUP($A301,ConstantsUnits!$A:$C,3,false),"")</f>
        <v>ShieldedProtonMagneticMoment</v>
      </c>
      <c r="G301" s="17" t="str">
        <f t="shared" si="1"/>
        <v>1.410570499e-26</v>
      </c>
      <c r="H301" s="17">
        <f t="shared" si="2"/>
        <v>0</v>
      </c>
      <c r="I301" s="17" t="str">
        <f t="shared" si="3"/>
        <v>0.000000035e-26</v>
      </c>
      <c r="J301" s="17">
        <f t="shared" si="4"/>
        <v>0</v>
      </c>
      <c r="K301" s="17" t="b">
        <f t="shared" si="5"/>
        <v>0</v>
      </c>
      <c r="L301" s="16" t="str">
        <f>IFERROR(__xludf.DUMMYFUNCTION("if(regexmatch(B301,""e(.*)$""),regexextract(B301,""e(.*)$""),"""")"),"-26")</f>
        <v>-26</v>
      </c>
      <c r="M301" s="16"/>
      <c r="N301" s="18">
        <f>countif(ConstantsUnits!C:C,F301)</f>
        <v>1</v>
      </c>
      <c r="O301" s="16" t="str">
        <f>VLOOKUP(A301,ConstantsUnits!A:A,1,false)</f>
        <v>shielded proton mag. mom.</v>
      </c>
    </row>
    <row r="302">
      <c r="A302" s="1" t="s">
        <v>1053</v>
      </c>
      <c r="B302" s="1" t="s">
        <v>1666</v>
      </c>
      <c r="C302" s="1" t="s">
        <v>1667</v>
      </c>
      <c r="E302" s="15"/>
      <c r="F302" s="16" t="str">
        <f>ifna(VLOOKUP($A302,ConstantsUnits!$A:$C,3,false),"")</f>
        <v>ShieldedProtonMagneticMomentToBohrMagnetonRatio</v>
      </c>
      <c r="G302" s="17" t="str">
        <f t="shared" si="1"/>
        <v>1.520993128e-3</v>
      </c>
      <c r="H302" s="17">
        <f t="shared" si="2"/>
        <v>0.001520993128</v>
      </c>
      <c r="I302" s="17" t="str">
        <f t="shared" si="3"/>
        <v>0.000000017e-3</v>
      </c>
      <c r="J302" s="17">
        <f t="shared" si="4"/>
        <v>0</v>
      </c>
      <c r="K302" s="17" t="b">
        <f t="shared" si="5"/>
        <v>0</v>
      </c>
      <c r="L302" s="16" t="str">
        <f>IFERROR(__xludf.DUMMYFUNCTION("if(regexmatch(B302,""e(.*)$""),regexextract(B302,""e(.*)$""),"""")"),"-3")</f>
        <v>-3</v>
      </c>
      <c r="M302" s="16"/>
      <c r="N302" s="18">
        <f>countif(ConstantsUnits!C:C,F302)</f>
        <v>1</v>
      </c>
      <c r="O302" s="16" t="str">
        <f>VLOOKUP(A302,ConstantsUnits!A:A,1,false)</f>
        <v>shielded proton mag. mom. to Bohr magneton ratio</v>
      </c>
    </row>
    <row r="303">
      <c r="A303" s="1" t="s">
        <v>1056</v>
      </c>
      <c r="B303" s="1" t="s">
        <v>2679</v>
      </c>
      <c r="C303" s="1" t="s">
        <v>1669</v>
      </c>
      <c r="E303" s="15"/>
      <c r="F303" s="16" t="str">
        <f>ifna(VLOOKUP($A303,ConstantsUnits!$A:$C,3,false),"")</f>
        <v>ShieldedProtonMagneticMomentToNuclearMagnetonRatio</v>
      </c>
      <c r="G303" s="17" t="str">
        <f t="shared" si="1"/>
        <v>2.792775598</v>
      </c>
      <c r="H303" s="17">
        <f t="shared" si="2"/>
        <v>2.792775598</v>
      </c>
      <c r="I303" s="17" t="str">
        <f t="shared" si="3"/>
        <v>0.000000030</v>
      </c>
      <c r="J303" s="17">
        <f t="shared" si="4"/>
        <v>0.00000003</v>
      </c>
      <c r="K303" s="17" t="b">
        <f t="shared" si="5"/>
        <v>0</v>
      </c>
      <c r="L303" s="16" t="str">
        <f>IFERROR(__xludf.DUMMYFUNCTION("if(regexmatch(B303,""e(.*)$""),regexextract(B303,""e(.*)$""),"""")"),"")</f>
        <v/>
      </c>
      <c r="M303" s="16"/>
      <c r="N303" s="18">
        <f>countif(ConstantsUnits!C:C,F303)</f>
        <v>1</v>
      </c>
      <c r="O303" s="16" t="str">
        <f>VLOOKUP(A303,ConstantsUnits!A:A,1,false)</f>
        <v>shielded proton mag. mom. to nuclear magneton ratio</v>
      </c>
    </row>
    <row r="304">
      <c r="A304" s="1" t="s">
        <v>1063</v>
      </c>
      <c r="B304" s="1" t="s">
        <v>1445</v>
      </c>
      <c r="C304" s="1" t="s">
        <v>1232</v>
      </c>
      <c r="D304" s="1" t="s">
        <v>196</v>
      </c>
      <c r="E304" s="15"/>
      <c r="F304" s="16" t="str">
        <f>ifna(VLOOKUP($A304,ConstantsUnits!$A:$C,3,false),"")</f>
        <v>SpeedOfLight_Vacuum</v>
      </c>
      <c r="G304" s="17" t="str">
        <f t="shared" si="1"/>
        <v>299792458</v>
      </c>
      <c r="H304" s="17">
        <f t="shared" si="2"/>
        <v>299792458</v>
      </c>
      <c r="I304" s="17" t="str">
        <f t="shared" si="3"/>
        <v>(exact)</v>
      </c>
      <c r="J304" s="17" t="str">
        <f t="shared" si="4"/>
        <v/>
      </c>
      <c r="K304" s="17" t="b">
        <f t="shared" si="5"/>
        <v>0</v>
      </c>
      <c r="L304" s="16" t="str">
        <f>IFERROR(__xludf.DUMMYFUNCTION("if(regexmatch(B304,""e(.*)$""),regexextract(B304,""e(.*)$""),"""")"),"")</f>
        <v/>
      </c>
      <c r="M304" s="16"/>
      <c r="N304" s="18">
        <f>countif(ConstantsUnits!C:C,F304)</f>
        <v>1</v>
      </c>
      <c r="O304" s="16" t="str">
        <f>VLOOKUP(A304,ConstantsUnits!A:A,1,false)</f>
        <v>speed of light in vacuum</v>
      </c>
    </row>
    <row r="305">
      <c r="A305" s="1" t="s">
        <v>1067</v>
      </c>
      <c r="B305" s="1" t="s">
        <v>1673</v>
      </c>
      <c r="C305" s="1" t="s">
        <v>1232</v>
      </c>
      <c r="D305" s="1" t="s">
        <v>1068</v>
      </c>
      <c r="E305" s="15"/>
      <c r="F305" s="16" t="str">
        <f>ifna(VLOOKUP($A305,ConstantsUnits!$A:$C,3,false),"")</f>
        <v>StandardAccelerationOfGravity</v>
      </c>
      <c r="G305" s="17" t="str">
        <f t="shared" si="1"/>
        <v>9.80665</v>
      </c>
      <c r="H305" s="17">
        <f t="shared" si="2"/>
        <v>9.80665</v>
      </c>
      <c r="I305" s="17" t="str">
        <f t="shared" si="3"/>
        <v>(exact)</v>
      </c>
      <c r="J305" s="17" t="str">
        <f t="shared" si="4"/>
        <v/>
      </c>
      <c r="K305" s="17" t="b">
        <f t="shared" si="5"/>
        <v>0</v>
      </c>
      <c r="L305" s="16" t="str">
        <f>IFERROR(__xludf.DUMMYFUNCTION("if(regexmatch(B305,""e(.*)$""),regexextract(B305,""e(.*)$""),"""")"),"")</f>
        <v/>
      </c>
      <c r="M305" s="16"/>
      <c r="N305" s="18">
        <f>countif(ConstantsUnits!C:C,F305)</f>
        <v>1</v>
      </c>
      <c r="O305" s="16" t="str">
        <f>VLOOKUP(A305,ConstantsUnits!A:A,1,false)</f>
        <v>standard acceleration of gravity</v>
      </c>
    </row>
    <row r="306">
      <c r="A306" s="1" t="s">
        <v>1072</v>
      </c>
      <c r="B306" s="1" t="s">
        <v>1674</v>
      </c>
      <c r="C306" s="1" t="s">
        <v>1232</v>
      </c>
      <c r="D306" s="1" t="s">
        <v>1073</v>
      </c>
      <c r="E306" s="15"/>
      <c r="F306" s="16" t="str">
        <f>ifna(VLOOKUP($A306,ConstantsUnits!$A:$C,3,false),"")</f>
        <v>StandardAtmosphere</v>
      </c>
      <c r="G306" s="17" t="str">
        <f t="shared" si="1"/>
        <v>101325</v>
      </c>
      <c r="H306" s="17">
        <f t="shared" si="2"/>
        <v>101325</v>
      </c>
      <c r="I306" s="17" t="str">
        <f t="shared" si="3"/>
        <v>(exact)</v>
      </c>
      <c r="J306" s="17" t="str">
        <f t="shared" si="4"/>
        <v/>
      </c>
      <c r="K306" s="17" t="b">
        <f t="shared" si="5"/>
        <v>0</v>
      </c>
      <c r="L306" s="16" t="str">
        <f>IFERROR(__xludf.DUMMYFUNCTION("if(regexmatch(B306,""e(.*)$""),regexextract(B306,""e(.*)$""),"""")"),"")</f>
        <v/>
      </c>
      <c r="M306" s="16"/>
      <c r="N306" s="18">
        <f>countif(ConstantsUnits!C:C,F306)</f>
        <v>1</v>
      </c>
      <c r="O306" s="16" t="str">
        <f>VLOOKUP(A306,ConstantsUnits!A:A,1,false)</f>
        <v>standard atmosphere</v>
      </c>
    </row>
    <row r="307">
      <c r="A307" s="1" t="s">
        <v>1077</v>
      </c>
      <c r="B307" s="1" t="s">
        <v>1675</v>
      </c>
      <c r="C307" s="1" t="s">
        <v>1232</v>
      </c>
      <c r="D307" s="1" t="s">
        <v>1073</v>
      </c>
      <c r="E307" s="15"/>
      <c r="F307" s="16" t="str">
        <f>ifna(VLOOKUP($A307,ConstantsUnits!$A:$C,3,false),"")</f>
        <v>Standard-StatePressure</v>
      </c>
      <c r="G307" s="17" t="str">
        <f t="shared" si="1"/>
        <v>100000</v>
      </c>
      <c r="H307" s="17">
        <f t="shared" si="2"/>
        <v>100000</v>
      </c>
      <c r="I307" s="17" t="str">
        <f t="shared" si="3"/>
        <v>(exact)</v>
      </c>
      <c r="J307" s="17" t="str">
        <f t="shared" si="4"/>
        <v/>
      </c>
      <c r="K307" s="17" t="b">
        <f t="shared" si="5"/>
        <v>0</v>
      </c>
      <c r="L307" s="16" t="str">
        <f>IFERROR(__xludf.DUMMYFUNCTION("if(regexmatch(B307,""e(.*)$""),regexextract(B307,""e(.*)$""),"""")"),"")</f>
        <v/>
      </c>
      <c r="M307" s="16"/>
      <c r="N307" s="18">
        <f>countif(ConstantsUnits!C:C,F307)</f>
        <v>1</v>
      </c>
      <c r="O307" s="16" t="str">
        <f>VLOOKUP(A307,ConstantsUnits!A:A,1,false)</f>
        <v>standard-state pressure</v>
      </c>
    </row>
    <row r="308">
      <c r="A308" s="1" t="s">
        <v>1079</v>
      </c>
      <c r="B308" s="1" t="s">
        <v>2680</v>
      </c>
      <c r="C308" s="1" t="s">
        <v>2681</v>
      </c>
      <c r="D308" s="1" t="s">
        <v>1080</v>
      </c>
      <c r="E308" s="15"/>
      <c r="F308" s="16" t="str">
        <f>ifna(VLOOKUP($A308,ConstantsUnits!$A:$C,3,false),"")</f>
        <v>StefanBoltzmannConstant</v>
      </c>
      <c r="G308" s="17" t="str">
        <f t="shared" si="1"/>
        <v>5.670373e-8</v>
      </c>
      <c r="H308" s="17">
        <f t="shared" si="2"/>
        <v>0.00000005670373</v>
      </c>
      <c r="I308" s="17" t="str">
        <f t="shared" si="3"/>
        <v>0.000021e-8</v>
      </c>
      <c r="J308" s="17">
        <f t="shared" si="4"/>
        <v>0</v>
      </c>
      <c r="K308" s="17" t="b">
        <f t="shared" si="5"/>
        <v>0</v>
      </c>
      <c r="L308" s="16" t="str">
        <f>IFERROR(__xludf.DUMMYFUNCTION("if(regexmatch(B308,""e(.*)$""),regexextract(B308,""e(.*)$""),"""")"),"-8")</f>
        <v>-8</v>
      </c>
      <c r="M308" s="16"/>
      <c r="N308" s="18">
        <f>countif(ConstantsUnits!C:C,F308)</f>
        <v>1</v>
      </c>
      <c r="O308" s="16" t="str">
        <f>VLOOKUP(A308,ConstantsUnits!A:A,1,false)</f>
        <v>Stefan-Boltzmann constant</v>
      </c>
    </row>
    <row r="309">
      <c r="A309" s="1" t="s">
        <v>1084</v>
      </c>
      <c r="B309" s="1" t="s">
        <v>2205</v>
      </c>
      <c r="C309" s="1" t="s">
        <v>2206</v>
      </c>
      <c r="D309" s="1" t="s">
        <v>59</v>
      </c>
      <c r="E309" s="15"/>
      <c r="F309" s="16" t="str">
        <f>ifna(VLOOKUP($A309,ConstantsUnits!$A:$C,3,false),"")</f>
        <v>TauComptonWavelength</v>
      </c>
      <c r="G309" s="17" t="str">
        <f t="shared" si="1"/>
        <v>0.697787e-15</v>
      </c>
      <c r="H309" s="17">
        <f t="shared" si="2"/>
        <v>0</v>
      </c>
      <c r="I309" s="17" t="str">
        <f t="shared" si="3"/>
        <v>0.000063e-15</v>
      </c>
      <c r="J309" s="17">
        <f t="shared" si="4"/>
        <v>0</v>
      </c>
      <c r="K309" s="17" t="b">
        <f t="shared" si="5"/>
        <v>0</v>
      </c>
      <c r="L309" s="16" t="str">
        <f>IFERROR(__xludf.DUMMYFUNCTION("if(regexmatch(B309,""e(.*)$""),regexextract(B309,""e(.*)$""),"""")"),"-15")</f>
        <v>-15</v>
      </c>
      <c r="M309" s="16"/>
      <c r="N309" s="18">
        <f>countif(ConstantsUnits!C:C,F309)</f>
        <v>1</v>
      </c>
      <c r="O309" s="16" t="str">
        <f>VLOOKUP(A309,ConstantsUnits!A:A,1,false)</f>
        <v>tau Compton wavelength</v>
      </c>
    </row>
    <row r="310">
      <c r="A310" s="1" t="s">
        <v>2207</v>
      </c>
      <c r="B310" s="1" t="s">
        <v>2208</v>
      </c>
      <c r="C310" s="1" t="s">
        <v>2209</v>
      </c>
      <c r="D310" s="1" t="s">
        <v>59</v>
      </c>
      <c r="E310" s="15"/>
      <c r="F310" s="1" t="s">
        <v>1087</v>
      </c>
      <c r="G310" s="17" t="str">
        <f t="shared" si="1"/>
        <v>0.111056e-15</v>
      </c>
      <c r="H310" s="17">
        <f t="shared" si="2"/>
        <v>0</v>
      </c>
      <c r="I310" s="17" t="str">
        <f t="shared" si="3"/>
        <v>0.000010e-15</v>
      </c>
      <c r="J310" s="17">
        <f t="shared" si="4"/>
        <v>0</v>
      </c>
      <c r="K310" s="17" t="b">
        <f t="shared" si="5"/>
        <v>0</v>
      </c>
      <c r="L310" s="16" t="str">
        <f>IFERROR(__xludf.DUMMYFUNCTION("if(regexmatch(B310,""e(.*)$""),regexextract(B310,""e(.*)$""),"""")"),"-15")</f>
        <v>-15</v>
      </c>
      <c r="M310" s="16"/>
      <c r="N310" s="18">
        <f>countif(ConstantsUnits!C:C,F310)</f>
        <v>1</v>
      </c>
      <c r="O310" s="16" t="str">
        <f>VLOOKUP(A310,ConstantsUnits!A:A,1,false)</f>
        <v>#N/A</v>
      </c>
    </row>
    <row r="311">
      <c r="A311" s="1" t="s">
        <v>1089</v>
      </c>
      <c r="B311" s="19" t="s">
        <v>2210</v>
      </c>
      <c r="C311" s="19" t="s">
        <v>2211</v>
      </c>
      <c r="E311" s="15"/>
      <c r="F311" s="16" t="str">
        <f>ifna(VLOOKUP($A311,ConstantsUnits!$A:$C,3,false),"")</f>
        <v>TauElectronMassRatio</v>
      </c>
      <c r="G311" s="17" t="str">
        <f t="shared" si="1"/>
        <v>3477.15</v>
      </c>
      <c r="H311" s="17">
        <f t="shared" si="2"/>
        <v>3477.15</v>
      </c>
      <c r="I311" s="17" t="str">
        <f t="shared" si="3"/>
        <v>0.31</v>
      </c>
      <c r="J311" s="17">
        <f t="shared" si="4"/>
        <v>0.31</v>
      </c>
      <c r="K311" s="17" t="b">
        <f t="shared" si="5"/>
        <v>0</v>
      </c>
      <c r="L311" s="16" t="str">
        <f>IFERROR(__xludf.DUMMYFUNCTION("if(regexmatch(B311,""e(.*)$""),regexextract(B311,""e(.*)$""),"""")"),"")</f>
        <v/>
      </c>
      <c r="M311" s="16"/>
      <c r="N311" s="18">
        <f>countif(ConstantsUnits!C:C,F311)</f>
        <v>1</v>
      </c>
      <c r="O311" s="16" t="str">
        <f>VLOOKUP(A311,ConstantsUnits!A:A,1,false)</f>
        <v>tau-electron mass ratio</v>
      </c>
    </row>
    <row r="312">
      <c r="A312" s="1" t="s">
        <v>1094</v>
      </c>
      <c r="B312" s="1" t="s">
        <v>2212</v>
      </c>
      <c r="C312" s="1" t="s">
        <v>2213</v>
      </c>
      <c r="D312" s="1" t="s">
        <v>38</v>
      </c>
      <c r="E312" s="15"/>
      <c r="F312" s="16" t="str">
        <f>ifna(VLOOKUP($A312,ConstantsUnits!$A:$C,3,false),"")</f>
        <v>TauMass</v>
      </c>
      <c r="G312" s="17" t="str">
        <f t="shared" si="1"/>
        <v>3.16747e-27</v>
      </c>
      <c r="H312" s="17">
        <f t="shared" si="2"/>
        <v>0</v>
      </c>
      <c r="I312" s="17" t="str">
        <f t="shared" si="3"/>
        <v>0.00029e-27</v>
      </c>
      <c r="J312" s="17">
        <f t="shared" si="4"/>
        <v>0</v>
      </c>
      <c r="K312" s="17" t="b">
        <f t="shared" si="5"/>
        <v>0</v>
      </c>
      <c r="L312" s="16" t="str">
        <f>IFERROR(__xludf.DUMMYFUNCTION("if(regexmatch(B312,""e(.*)$""),regexextract(B312,""e(.*)$""),"""")"),"-27")</f>
        <v>-27</v>
      </c>
      <c r="M312" s="16"/>
      <c r="N312" s="18">
        <f>countif(ConstantsUnits!C:C,F312)</f>
        <v>1</v>
      </c>
      <c r="O312" s="16" t="str">
        <f>VLOOKUP(A312,ConstantsUnits!A:A,1,false)</f>
        <v>tau mass</v>
      </c>
    </row>
    <row r="313">
      <c r="A313" s="1" t="s">
        <v>1097</v>
      </c>
      <c r="B313" s="1" t="s">
        <v>2214</v>
      </c>
      <c r="C313" s="1" t="s">
        <v>2215</v>
      </c>
      <c r="D313" s="1" t="s">
        <v>41</v>
      </c>
      <c r="E313" s="15"/>
      <c r="F313" s="16" t="str">
        <f>ifna(VLOOKUP($A313,ConstantsUnits!$A:$C,3,false),"")</f>
        <v>TauMassEnergyEquivalent</v>
      </c>
      <c r="G313" s="17" t="str">
        <f t="shared" si="1"/>
        <v>2.84678e-10</v>
      </c>
      <c r="H313" s="17">
        <f t="shared" si="2"/>
        <v>0.000000000284678</v>
      </c>
      <c r="I313" s="17" t="str">
        <f t="shared" si="3"/>
        <v>0.00026e-10</v>
      </c>
      <c r="J313" s="17">
        <f t="shared" si="4"/>
        <v>0</v>
      </c>
      <c r="K313" s="17" t="b">
        <f t="shared" si="5"/>
        <v>0</v>
      </c>
      <c r="L313" s="16" t="str">
        <f>IFERROR(__xludf.DUMMYFUNCTION("if(regexmatch(B313,""e(.*)$""),regexextract(B313,""e(.*)$""),"""")"),"-10")</f>
        <v>-10</v>
      </c>
      <c r="M313" s="16"/>
      <c r="N313" s="18">
        <f>countif(ConstantsUnits!C:C,F313)</f>
        <v>1</v>
      </c>
      <c r="O313" s="16" t="str">
        <f>VLOOKUP(A313,ConstantsUnits!A:A,1,false)</f>
        <v>tau mass energy equivalent</v>
      </c>
    </row>
    <row r="314">
      <c r="A314" s="1" t="s">
        <v>2216</v>
      </c>
      <c r="B314" s="19" t="s">
        <v>2217</v>
      </c>
      <c r="C314" s="19" t="s">
        <v>2218</v>
      </c>
      <c r="D314" s="1" t="s">
        <v>45</v>
      </c>
      <c r="E314" s="15"/>
      <c r="F314" s="1" t="s">
        <v>2219</v>
      </c>
      <c r="G314" s="17" t="str">
        <f t="shared" si="1"/>
        <v>1776.82</v>
      </c>
      <c r="H314" s="17">
        <f t="shared" si="2"/>
        <v>1776.82</v>
      </c>
      <c r="I314" s="17" t="str">
        <f t="shared" si="3"/>
        <v>0.16</v>
      </c>
      <c r="J314" s="17">
        <f t="shared" si="4"/>
        <v>0.16</v>
      </c>
      <c r="K314" s="17" t="b">
        <f t="shared" si="5"/>
        <v>0</v>
      </c>
      <c r="L314" s="16" t="str">
        <f>IFERROR(__xludf.DUMMYFUNCTION("if(regexmatch(B314,""e(.*)$""),regexextract(B314,""e(.*)$""),"""")"),"")</f>
        <v/>
      </c>
      <c r="M314" s="16"/>
      <c r="N314" s="18">
        <f>countif(ConstantsUnits!C:C,F314)</f>
        <v>1</v>
      </c>
      <c r="O314" s="16" t="str">
        <f>VLOOKUP(A314,ConstantsUnits!A:A,1,false)</f>
        <v>#N/A</v>
      </c>
    </row>
    <row r="315">
      <c r="A315" s="1" t="s">
        <v>1100</v>
      </c>
      <c r="B315" s="1" t="s">
        <v>2220</v>
      </c>
      <c r="C315" s="1" t="s">
        <v>1727</v>
      </c>
      <c r="D315" s="1" t="s">
        <v>48</v>
      </c>
      <c r="E315" s="15"/>
      <c r="F315" s="16" t="str">
        <f>ifna(VLOOKUP($A315,ConstantsUnits!$A:$C,3,false),"")</f>
        <v>TauMassInAtomicMassUnit</v>
      </c>
      <c r="G315" s="17" t="str">
        <f t="shared" si="1"/>
        <v>1.90749</v>
      </c>
      <c r="H315" s="17">
        <f t="shared" si="2"/>
        <v>1.90749</v>
      </c>
      <c r="I315" s="17" t="str">
        <f t="shared" si="3"/>
        <v>0.00017</v>
      </c>
      <c r="J315" s="17">
        <f t="shared" si="4"/>
        <v>0.00017</v>
      </c>
      <c r="K315" s="17" t="b">
        <f t="shared" si="5"/>
        <v>0</v>
      </c>
      <c r="L315" s="16" t="str">
        <f>IFERROR(__xludf.DUMMYFUNCTION("if(regexmatch(B315,""e(.*)$""),regexextract(B315,""e(.*)$""),"""")"),"")</f>
        <v/>
      </c>
      <c r="M315" s="16"/>
      <c r="N315" s="18">
        <f>countif(ConstantsUnits!C:C,F315)</f>
        <v>1</v>
      </c>
      <c r="O315" s="16" t="str">
        <f>VLOOKUP(A315,ConstantsUnits!A:A,1,false)</f>
        <v>tau mass in u</v>
      </c>
    </row>
    <row r="316">
      <c r="A316" s="1" t="s">
        <v>1102</v>
      </c>
      <c r="B316" s="1" t="s">
        <v>2221</v>
      </c>
      <c r="C316" s="1" t="s">
        <v>2222</v>
      </c>
      <c r="D316" s="1" t="s">
        <v>51</v>
      </c>
      <c r="E316" s="15"/>
      <c r="F316" s="16" t="str">
        <f>ifna(VLOOKUP($A316,ConstantsUnits!$A:$C,3,false),"")</f>
        <v>TauMolarMass</v>
      </c>
      <c r="G316" s="17" t="str">
        <f t="shared" si="1"/>
        <v>1.90749e-3</v>
      </c>
      <c r="H316" s="17">
        <f t="shared" si="2"/>
        <v>0.00190749</v>
      </c>
      <c r="I316" s="17" t="str">
        <f t="shared" si="3"/>
        <v>0.00017e-3</v>
      </c>
      <c r="J316" s="17">
        <f t="shared" si="4"/>
        <v>0.00000017</v>
      </c>
      <c r="K316" s="17" t="b">
        <f t="shared" si="5"/>
        <v>0</v>
      </c>
      <c r="L316" s="16" t="str">
        <f>IFERROR(__xludf.DUMMYFUNCTION("if(regexmatch(B316,""e(.*)$""),regexextract(B316,""e(.*)$""),"""")"),"-3")</f>
        <v>-3</v>
      </c>
      <c r="M316" s="16"/>
      <c r="N316" s="18">
        <f>countif(ConstantsUnits!C:C,F316)</f>
        <v>1</v>
      </c>
      <c r="O316" s="16" t="str">
        <f>VLOOKUP(A316,ConstantsUnits!A:A,1,false)</f>
        <v>tau molar mass</v>
      </c>
    </row>
    <row r="317">
      <c r="A317" s="1" t="s">
        <v>1105</v>
      </c>
      <c r="B317" s="19" t="s">
        <v>2223</v>
      </c>
      <c r="C317" s="19" t="s">
        <v>2224</v>
      </c>
      <c r="E317" s="15"/>
      <c r="F317" s="16" t="str">
        <f>ifna(VLOOKUP($A317,ConstantsUnits!$A:$C,3,false),"")</f>
        <v>TauMuonMassRatio</v>
      </c>
      <c r="G317" s="17" t="str">
        <f t="shared" si="1"/>
        <v>16.8167</v>
      </c>
      <c r="H317" s="17">
        <f t="shared" si="2"/>
        <v>16.8167</v>
      </c>
      <c r="I317" s="17" t="str">
        <f t="shared" si="3"/>
        <v>0.0015</v>
      </c>
      <c r="J317" s="17">
        <f t="shared" si="4"/>
        <v>0.0015</v>
      </c>
      <c r="K317" s="17" t="b">
        <f t="shared" si="5"/>
        <v>0</v>
      </c>
      <c r="L317" s="16" t="str">
        <f>IFERROR(__xludf.DUMMYFUNCTION("if(regexmatch(B317,""e(.*)$""),regexextract(B317,""e(.*)$""),"""")"),"")</f>
        <v/>
      </c>
      <c r="M317" s="16"/>
      <c r="N317" s="18">
        <f>countif(ConstantsUnits!C:C,F317)</f>
        <v>1</v>
      </c>
      <c r="O317" s="16" t="str">
        <f>VLOOKUP(A317,ConstantsUnits!A:A,1,false)</f>
        <v>tau-muon mass ratio</v>
      </c>
    </row>
    <row r="318">
      <c r="A318" s="1" t="s">
        <v>1108</v>
      </c>
      <c r="B318" s="1" t="s">
        <v>2225</v>
      </c>
      <c r="C318" s="1" t="s">
        <v>1727</v>
      </c>
      <c r="E318" s="15"/>
      <c r="F318" s="16" t="str">
        <f>ifna(VLOOKUP($A318,ConstantsUnits!$A:$C,3,false),"")</f>
        <v>TauNeutronMassRatio</v>
      </c>
      <c r="G318" s="17" t="str">
        <f t="shared" si="1"/>
        <v>1.89111</v>
      </c>
      <c r="H318" s="17">
        <f t="shared" si="2"/>
        <v>1.89111</v>
      </c>
      <c r="I318" s="17" t="str">
        <f t="shared" si="3"/>
        <v>0.00017</v>
      </c>
      <c r="J318" s="17">
        <f t="shared" si="4"/>
        <v>0.00017</v>
      </c>
      <c r="K318" s="17" t="b">
        <f t="shared" si="5"/>
        <v>0</v>
      </c>
      <c r="L318" s="16" t="str">
        <f>IFERROR(__xludf.DUMMYFUNCTION("if(regexmatch(B318,""e(.*)$""),regexextract(B318,""e(.*)$""),"""")"),"")</f>
        <v/>
      </c>
      <c r="M318" s="16"/>
      <c r="N318" s="18">
        <f>countif(ConstantsUnits!C:C,F318)</f>
        <v>1</v>
      </c>
      <c r="O318" s="16" t="str">
        <f>VLOOKUP(A318,ConstantsUnits!A:A,1,false)</f>
        <v>tau-neutron mass ratio</v>
      </c>
    </row>
    <row r="319">
      <c r="A319" s="1" t="s">
        <v>1111</v>
      </c>
      <c r="B319" s="1" t="s">
        <v>2226</v>
      </c>
      <c r="C319" s="1" t="s">
        <v>1727</v>
      </c>
      <c r="E319" s="15"/>
      <c r="F319" s="16" t="str">
        <f>ifna(VLOOKUP($A319,ConstantsUnits!$A:$C,3,false),"")</f>
        <v>TauProtonMassRatio</v>
      </c>
      <c r="G319" s="17" t="str">
        <f t="shared" si="1"/>
        <v>1.89372</v>
      </c>
      <c r="H319" s="17">
        <f t="shared" si="2"/>
        <v>1.89372</v>
      </c>
      <c r="I319" s="17" t="str">
        <f t="shared" si="3"/>
        <v>0.00017</v>
      </c>
      <c r="J319" s="17">
        <f t="shared" si="4"/>
        <v>0.00017</v>
      </c>
      <c r="K319" s="17" t="b">
        <f t="shared" si="5"/>
        <v>0</v>
      </c>
      <c r="L319" s="16" t="str">
        <f>IFERROR(__xludf.DUMMYFUNCTION("if(regexmatch(B319,""e(.*)$""),regexextract(B319,""e(.*)$""),"""")"),"")</f>
        <v/>
      </c>
      <c r="M319" s="16"/>
      <c r="N319" s="18">
        <f>countif(ConstantsUnits!C:C,F319)</f>
        <v>1</v>
      </c>
      <c r="O319" s="16" t="str">
        <f>VLOOKUP(A319,ConstantsUnits!A:A,1,false)</f>
        <v>tau-proton mass ratio</v>
      </c>
    </row>
    <row r="320">
      <c r="A320" s="1" t="s">
        <v>1114</v>
      </c>
      <c r="B320" s="1" t="s">
        <v>2682</v>
      </c>
      <c r="C320" s="1" t="s">
        <v>2683</v>
      </c>
      <c r="D320" s="1" t="s">
        <v>1115</v>
      </c>
      <c r="E320" s="15"/>
      <c r="F320" s="16" t="str">
        <f>ifna(VLOOKUP($A320,ConstantsUnits!$A:$C,3,false),"")</f>
        <v>ThomsonCrossSection</v>
      </c>
      <c r="G320" s="17" t="str">
        <f t="shared" si="1"/>
        <v>0.6652458734e-28</v>
      </c>
      <c r="H320" s="17">
        <f t="shared" si="2"/>
        <v>0</v>
      </c>
      <c r="I320" s="17" t="str">
        <f t="shared" si="3"/>
        <v>0.0000000013e-28</v>
      </c>
      <c r="J320" s="17">
        <f t="shared" si="4"/>
        <v>0</v>
      </c>
      <c r="K320" s="17" t="b">
        <f t="shared" si="5"/>
        <v>0</v>
      </c>
      <c r="L320" s="16" t="str">
        <f>IFERROR(__xludf.DUMMYFUNCTION("if(regexmatch(B320,""e(.*)$""),regexextract(B320,""e(.*)$""),"""")"),"-28")</f>
        <v>-28</v>
      </c>
      <c r="M320" s="16"/>
      <c r="N320" s="18">
        <f>countif(ConstantsUnits!C:C,F320)</f>
        <v>1</v>
      </c>
      <c r="O320" s="16" t="str">
        <f>VLOOKUP(A320,ConstantsUnits!A:A,1,false)</f>
        <v>Thomson cross section</v>
      </c>
    </row>
    <row r="321">
      <c r="A321" s="1" t="s">
        <v>1120</v>
      </c>
      <c r="B321" s="1" t="s">
        <v>2684</v>
      </c>
      <c r="C321" s="1" t="s">
        <v>2449</v>
      </c>
      <c r="E321" s="15"/>
      <c r="F321" s="16" t="str">
        <f>ifna(VLOOKUP($A321,ConstantsUnits!$A:$C,3,false),"")</f>
        <v>TritonElectronMassRatio</v>
      </c>
      <c r="G321" s="17" t="str">
        <f t="shared" si="1"/>
        <v>5496.9215267</v>
      </c>
      <c r="H321" s="17">
        <f t="shared" si="2"/>
        <v>5496.921527</v>
      </c>
      <c r="I321" s="17" t="str">
        <f t="shared" si="3"/>
        <v>0.0000050</v>
      </c>
      <c r="J321" s="17">
        <f t="shared" si="4"/>
        <v>0.000005</v>
      </c>
      <c r="K321" s="17" t="b">
        <f t="shared" si="5"/>
        <v>0</v>
      </c>
      <c r="L321" s="16" t="str">
        <f>IFERROR(__xludf.DUMMYFUNCTION("if(regexmatch(B321,""e(.*)$""),regexextract(B321,""e(.*)$""),"""")"),"")</f>
        <v/>
      </c>
      <c r="M321" s="16"/>
      <c r="N321" s="18">
        <f>countif(ConstantsUnits!C:C,F321)</f>
        <v>1</v>
      </c>
      <c r="O321" s="16" t="str">
        <f>VLOOKUP(A321,ConstantsUnits!A:A,1,false)</f>
        <v>triton-electron mass ratio</v>
      </c>
    </row>
    <row r="322">
      <c r="A322" s="1" t="s">
        <v>1123</v>
      </c>
      <c r="B322" s="1" t="s">
        <v>2685</v>
      </c>
      <c r="C322" s="1" t="s">
        <v>2686</v>
      </c>
      <c r="E322" s="15"/>
      <c r="F322" s="16" t="str">
        <f>ifna(VLOOKUP($A322,ConstantsUnits!$A:$C,3,false),"")</f>
        <v>TritonGFactor</v>
      </c>
      <c r="G322" s="17" t="str">
        <f t="shared" si="1"/>
        <v>5.957924896</v>
      </c>
      <c r="H322" s="17">
        <f t="shared" si="2"/>
        <v>5.957924896</v>
      </c>
      <c r="I322" s="17" t="str">
        <f t="shared" si="3"/>
        <v>0.000000076</v>
      </c>
      <c r="J322" s="17">
        <f t="shared" si="4"/>
        <v>0.000000076</v>
      </c>
      <c r="K322" s="17" t="b">
        <f t="shared" si="5"/>
        <v>0</v>
      </c>
      <c r="L322" s="16" t="str">
        <f>IFERROR(__xludf.DUMMYFUNCTION("if(regexmatch(B322,""e(.*)$""),regexextract(B322,""e(.*)$""),"""")"),"")</f>
        <v/>
      </c>
      <c r="M322" s="16"/>
      <c r="N322" s="18">
        <f>countif(ConstantsUnits!C:C,F322)</f>
        <v>1</v>
      </c>
      <c r="O322" s="16" t="str">
        <f>VLOOKUP(A322,ConstantsUnits!A:A,1,false)</f>
        <v>triton g factor</v>
      </c>
    </row>
    <row r="323">
      <c r="A323" s="1" t="s">
        <v>1126</v>
      </c>
      <c r="B323" s="1" t="s">
        <v>2687</v>
      </c>
      <c r="C323" s="1" t="s">
        <v>2688</v>
      </c>
      <c r="D323" s="1" t="s">
        <v>165</v>
      </c>
      <c r="E323" s="15"/>
      <c r="F323" s="16" t="str">
        <f>ifna(VLOOKUP($A323,ConstantsUnits!$A:$C,3,false),"")</f>
        <v>TritonMagneticMoment</v>
      </c>
      <c r="G323" s="17" t="str">
        <f t="shared" si="1"/>
        <v>1.504609447e-26</v>
      </c>
      <c r="H323" s="17">
        <f t="shared" si="2"/>
        <v>0</v>
      </c>
      <c r="I323" s="17" t="str">
        <f t="shared" si="3"/>
        <v>0.000000038e-26</v>
      </c>
      <c r="J323" s="17">
        <f t="shared" si="4"/>
        <v>0</v>
      </c>
      <c r="K323" s="17" t="b">
        <f t="shared" si="5"/>
        <v>0</v>
      </c>
      <c r="L323" s="16" t="str">
        <f>IFERROR(__xludf.DUMMYFUNCTION("if(regexmatch(B323,""e(.*)$""),regexextract(B323,""e(.*)$""),"""")"),"-26")</f>
        <v>-26</v>
      </c>
      <c r="M323" s="16"/>
      <c r="N323" s="18">
        <f>countif(ConstantsUnits!C:C,F323)</f>
        <v>1</v>
      </c>
      <c r="O323" s="16" t="str">
        <f>VLOOKUP(A323,ConstantsUnits!A:A,1,false)</f>
        <v>triton mag. mom.</v>
      </c>
    </row>
    <row r="324">
      <c r="A324" s="1" t="s">
        <v>1129</v>
      </c>
      <c r="B324" s="1" t="s">
        <v>2689</v>
      </c>
      <c r="C324" s="1" t="s">
        <v>2690</v>
      </c>
      <c r="E324" s="15"/>
      <c r="F324" s="16" t="str">
        <f>ifna(VLOOKUP($A324,ConstantsUnits!$A:$C,3,false),"")</f>
        <v>TritonMagneticMomentToBohrMagnetonRatio</v>
      </c>
      <c r="G324" s="17" t="str">
        <f t="shared" si="1"/>
        <v>1.622393657e-3</v>
      </c>
      <c r="H324" s="17">
        <f t="shared" si="2"/>
        <v>0.001622393657</v>
      </c>
      <c r="I324" s="17" t="str">
        <f t="shared" si="3"/>
        <v>0.000000021e-3</v>
      </c>
      <c r="J324" s="17">
        <f t="shared" si="4"/>
        <v>0</v>
      </c>
      <c r="K324" s="17" t="b">
        <f t="shared" si="5"/>
        <v>0</v>
      </c>
      <c r="L324" s="16" t="str">
        <f>IFERROR(__xludf.DUMMYFUNCTION("if(regexmatch(B324,""e(.*)$""),regexextract(B324,""e(.*)$""),"""")"),"-3")</f>
        <v>-3</v>
      </c>
      <c r="M324" s="16"/>
      <c r="N324" s="18">
        <f>countif(ConstantsUnits!C:C,F324)</f>
        <v>1</v>
      </c>
      <c r="O324" s="16" t="str">
        <f>VLOOKUP(A324,ConstantsUnits!A:A,1,false)</f>
        <v>triton mag. mom. to Bohr magneton ratio</v>
      </c>
    </row>
    <row r="325">
      <c r="A325" s="1" t="s">
        <v>1132</v>
      </c>
      <c r="B325" s="1" t="s">
        <v>2691</v>
      </c>
      <c r="C325" s="1" t="s">
        <v>2692</v>
      </c>
      <c r="E325" s="15"/>
      <c r="F325" s="16" t="str">
        <f>ifna(VLOOKUP($A325,ConstantsUnits!$A:$C,3,false),"")</f>
        <v>TritonMagneticMomentToNuclearMagnetonRatio</v>
      </c>
      <c r="G325" s="17" t="str">
        <f t="shared" si="1"/>
        <v>2.978962448</v>
      </c>
      <c r="H325" s="17">
        <f t="shared" si="2"/>
        <v>2.978962448</v>
      </c>
      <c r="I325" s="17" t="str">
        <f t="shared" si="3"/>
        <v>0.000000038</v>
      </c>
      <c r="J325" s="17">
        <f t="shared" si="4"/>
        <v>0.000000038</v>
      </c>
      <c r="K325" s="17" t="b">
        <f t="shared" si="5"/>
        <v>0</v>
      </c>
      <c r="L325" s="16" t="str">
        <f>IFERROR(__xludf.DUMMYFUNCTION("if(regexmatch(B325,""e(.*)$""),regexextract(B325,""e(.*)$""),"""")"),"")</f>
        <v/>
      </c>
      <c r="M325" s="16"/>
      <c r="N325" s="18">
        <f>countif(ConstantsUnits!C:C,F325)</f>
        <v>1</v>
      </c>
      <c r="O325" s="16" t="str">
        <f>VLOOKUP(A325,ConstantsUnits!A:A,1,false)</f>
        <v>triton mag. mom. to nuclear magneton ratio</v>
      </c>
    </row>
    <row r="326">
      <c r="A326" s="1" t="s">
        <v>1135</v>
      </c>
      <c r="B326" s="1" t="s">
        <v>2693</v>
      </c>
      <c r="C326" s="1" t="s">
        <v>2455</v>
      </c>
      <c r="D326" s="1" t="s">
        <v>38</v>
      </c>
      <c r="E326" s="15"/>
      <c r="F326" s="16" t="str">
        <f>ifna(VLOOKUP($A326,ConstantsUnits!$A:$C,3,false),"")</f>
        <v>TritonMass</v>
      </c>
      <c r="G326" s="17" t="str">
        <f t="shared" si="1"/>
        <v>5.00735630e-27</v>
      </c>
      <c r="H326" s="17">
        <f t="shared" si="2"/>
        <v>0</v>
      </c>
      <c r="I326" s="17" t="str">
        <f t="shared" si="3"/>
        <v>0.00000022e-27</v>
      </c>
      <c r="J326" s="17">
        <f t="shared" si="4"/>
        <v>0</v>
      </c>
      <c r="K326" s="17" t="b">
        <f t="shared" si="5"/>
        <v>0</v>
      </c>
      <c r="L326" s="16" t="str">
        <f>IFERROR(__xludf.DUMMYFUNCTION("if(regexmatch(B326,""e(.*)$""),regexextract(B326,""e(.*)$""),"""")"),"-27")</f>
        <v>-27</v>
      </c>
      <c r="M326" s="16"/>
      <c r="N326" s="18">
        <f>countif(ConstantsUnits!C:C,F326)</f>
        <v>1</v>
      </c>
      <c r="O326" s="16" t="str">
        <f>VLOOKUP(A326,ConstantsUnits!A:A,1,false)</f>
        <v>triton mass</v>
      </c>
    </row>
    <row r="327">
      <c r="A327" s="1" t="s">
        <v>1138</v>
      </c>
      <c r="B327" s="1" t="s">
        <v>2694</v>
      </c>
      <c r="C327" s="1" t="s">
        <v>2457</v>
      </c>
      <c r="D327" s="1" t="s">
        <v>41</v>
      </c>
      <c r="E327" s="15"/>
      <c r="F327" s="16" t="str">
        <f>ifna(VLOOKUP($A327,ConstantsUnits!$A:$C,3,false),"")</f>
        <v>TritonMassEnergyEquivalent</v>
      </c>
      <c r="G327" s="17" t="str">
        <f t="shared" si="1"/>
        <v>4.50038741e-10</v>
      </c>
      <c r="H327" s="17">
        <f t="shared" si="2"/>
        <v>0.000000000450038741</v>
      </c>
      <c r="I327" s="17" t="str">
        <f t="shared" si="3"/>
        <v>0.00000020e-10</v>
      </c>
      <c r="J327" s="17">
        <f t="shared" si="4"/>
        <v>0</v>
      </c>
      <c r="K327" s="17" t="b">
        <f t="shared" si="5"/>
        <v>0</v>
      </c>
      <c r="L327" s="16" t="str">
        <f>IFERROR(__xludf.DUMMYFUNCTION("if(regexmatch(B327,""e(.*)$""),regexextract(B327,""e(.*)$""),"""")"),"-10")</f>
        <v>-10</v>
      </c>
      <c r="M327" s="16"/>
      <c r="N327" s="18">
        <f>countif(ConstantsUnits!C:C,F327)</f>
        <v>1</v>
      </c>
      <c r="O327" s="16" t="str">
        <f>VLOOKUP(A327,ConstantsUnits!A:A,1,false)</f>
        <v>triton mass energy equivalent</v>
      </c>
    </row>
    <row r="328">
      <c r="A328" s="1" t="s">
        <v>1141</v>
      </c>
      <c r="B328" s="1" t="s">
        <v>2695</v>
      </c>
      <c r="C328" s="1" t="s">
        <v>2459</v>
      </c>
      <c r="D328" s="1" t="s">
        <v>45</v>
      </c>
      <c r="E328" s="15"/>
      <c r="F328" s="16" t="str">
        <f>ifna(VLOOKUP($A328,ConstantsUnits!$A:$C,3,false),"")</f>
        <v>TritonMassEnergyEquivalentInMeV</v>
      </c>
      <c r="G328" s="17" t="str">
        <f t="shared" si="1"/>
        <v>2808.921005</v>
      </c>
      <c r="H328" s="17">
        <f t="shared" si="2"/>
        <v>2808.921005</v>
      </c>
      <c r="I328" s="17" t="str">
        <f t="shared" si="3"/>
        <v>0.000062</v>
      </c>
      <c r="J328" s="17">
        <f t="shared" si="4"/>
        <v>0.000062</v>
      </c>
      <c r="K328" s="17" t="b">
        <f t="shared" si="5"/>
        <v>0</v>
      </c>
      <c r="L328" s="16" t="str">
        <f>IFERROR(__xludf.DUMMYFUNCTION("if(regexmatch(B328,""e(.*)$""),regexextract(B328,""e(.*)$""),"""")"),"")</f>
        <v/>
      </c>
      <c r="M328" s="16"/>
      <c r="N328" s="18">
        <f>countif(ConstantsUnits!C:C,F328)</f>
        <v>1</v>
      </c>
      <c r="O328" s="16" t="str">
        <f>VLOOKUP(A328,ConstantsUnits!A:A,1,false)</f>
        <v>triton mass energy equivalent in MeV</v>
      </c>
    </row>
    <row r="329">
      <c r="A329" s="1" t="s">
        <v>1143</v>
      </c>
      <c r="B329" s="1" t="s">
        <v>2696</v>
      </c>
      <c r="C329" s="1" t="s">
        <v>1512</v>
      </c>
      <c r="D329" s="1" t="s">
        <v>48</v>
      </c>
      <c r="E329" s="15"/>
      <c r="F329" s="16" t="str">
        <f>ifna(VLOOKUP($A329,ConstantsUnits!$A:$C,3,false),"")</f>
        <v>TritonMassInAtomicMassUnit</v>
      </c>
      <c r="G329" s="17" t="str">
        <f t="shared" si="1"/>
        <v>3.0155007134</v>
      </c>
      <c r="H329" s="17">
        <f t="shared" si="2"/>
        <v>3.015500713</v>
      </c>
      <c r="I329" s="17" t="str">
        <f t="shared" si="3"/>
        <v>0.0000000025</v>
      </c>
      <c r="J329" s="17">
        <f t="shared" si="4"/>
        <v>0.0000000025</v>
      </c>
      <c r="K329" s="17" t="b">
        <f t="shared" si="5"/>
        <v>0</v>
      </c>
      <c r="L329" s="16" t="str">
        <f>IFERROR(__xludf.DUMMYFUNCTION("if(regexmatch(B329,""e(.*)$""),regexextract(B329,""e(.*)$""),"""")"),"")</f>
        <v/>
      </c>
      <c r="M329" s="16"/>
      <c r="N329" s="18">
        <f>countif(ConstantsUnits!C:C,F329)</f>
        <v>1</v>
      </c>
      <c r="O329" s="16" t="str">
        <f>VLOOKUP(A329,ConstantsUnits!A:A,1,false)</f>
        <v>triton mass in u</v>
      </c>
    </row>
    <row r="330">
      <c r="A330" s="1" t="s">
        <v>1146</v>
      </c>
      <c r="B330" s="1" t="s">
        <v>2697</v>
      </c>
      <c r="C330" s="1" t="s">
        <v>2051</v>
      </c>
      <c r="D330" s="1" t="s">
        <v>51</v>
      </c>
      <c r="E330" s="15"/>
      <c r="F330" s="16" t="str">
        <f>ifna(VLOOKUP($A330,ConstantsUnits!$A:$C,3,false),"")</f>
        <v>TritonMolarMass</v>
      </c>
      <c r="G330" s="17" t="str">
        <f t="shared" si="1"/>
        <v>3.0155007134e-3</v>
      </c>
      <c r="H330" s="17">
        <f t="shared" si="2"/>
        <v>0.003015500713</v>
      </c>
      <c r="I330" s="17" t="str">
        <f t="shared" si="3"/>
        <v>0.0000000025e-3</v>
      </c>
      <c r="J330" s="17">
        <f t="shared" si="4"/>
        <v>0</v>
      </c>
      <c r="K330" s="17" t="b">
        <f t="shared" si="5"/>
        <v>0</v>
      </c>
      <c r="L330" s="16" t="str">
        <f>IFERROR(__xludf.DUMMYFUNCTION("if(regexmatch(B330,""e(.*)$""),regexextract(B330,""e(.*)$""),"""")"),"-3")</f>
        <v>-3</v>
      </c>
      <c r="M330" s="16"/>
      <c r="N330" s="18">
        <f>countif(ConstantsUnits!C:C,F330)</f>
        <v>1</v>
      </c>
      <c r="O330" s="16" t="str">
        <f>VLOOKUP(A330,ConstantsUnits!A:A,1,false)</f>
        <v>triton molar mass</v>
      </c>
    </row>
    <row r="331">
      <c r="A331" s="1" t="s">
        <v>1149</v>
      </c>
      <c r="B331" s="1" t="s">
        <v>2698</v>
      </c>
      <c r="C331" s="1" t="s">
        <v>1512</v>
      </c>
      <c r="E331" s="15"/>
      <c r="F331" s="16" t="str">
        <f>ifna(VLOOKUP($A331,ConstantsUnits!$A:$C,3,false),"")</f>
        <v>TritonNeutronMagneticMomentRatio</v>
      </c>
      <c r="G331" s="17" t="str">
        <f t="shared" si="1"/>
        <v>2.9937170308</v>
      </c>
      <c r="H331" s="17">
        <f t="shared" si="2"/>
        <v>2.993717031</v>
      </c>
      <c r="I331" s="17" t="str">
        <f t="shared" si="3"/>
        <v>0.0000000025</v>
      </c>
      <c r="J331" s="17">
        <f t="shared" si="4"/>
        <v>0.0000000025</v>
      </c>
      <c r="K331" s="17" t="b">
        <f t="shared" si="5"/>
        <v>0</v>
      </c>
      <c r="L331" s="16" t="str">
        <f>IFERROR(__xludf.DUMMYFUNCTION("if(regexmatch(B331,""e(.*)$""),regexextract(B331,""e(.*)$""),"""")"),"")</f>
        <v/>
      </c>
      <c r="M331" s="16"/>
      <c r="N331" s="18">
        <f>countif(ConstantsUnits!C:C,F331)</f>
        <v>1</v>
      </c>
      <c r="O331" s="16" t="str">
        <f>VLOOKUP(A331,ConstantsUnits!A:A,1,false)</f>
        <v>triton-proton mass ratio</v>
      </c>
    </row>
    <row r="332">
      <c r="A332" s="1" t="s">
        <v>1158</v>
      </c>
      <c r="B332" s="1" t="s">
        <v>2265</v>
      </c>
      <c r="C332" s="1" t="s">
        <v>2266</v>
      </c>
      <c r="D332" s="1" t="s">
        <v>38</v>
      </c>
      <c r="E332" s="15"/>
      <c r="F332" s="16" t="str">
        <f>ifna(VLOOKUP($A332,ConstantsUnits!$A:$C,3,false),"")</f>
        <v>UnifiedAtomicMassUnit</v>
      </c>
      <c r="G332" s="17" t="str">
        <f t="shared" si="1"/>
        <v>1.660538921e-27</v>
      </c>
      <c r="H332" s="17">
        <f t="shared" si="2"/>
        <v>0</v>
      </c>
      <c r="I332" s="17" t="str">
        <f t="shared" si="3"/>
        <v>0.000000073e-27</v>
      </c>
      <c r="J332" s="17">
        <f t="shared" si="4"/>
        <v>0</v>
      </c>
      <c r="K332" s="17" t="b">
        <f t="shared" si="5"/>
        <v>0</v>
      </c>
      <c r="L332" s="16" t="str">
        <f>IFERROR(__xludf.DUMMYFUNCTION("if(regexmatch(B332,""e(.*)$""),regexextract(B332,""e(.*)$""),"""")"),"-27")</f>
        <v>-27</v>
      </c>
      <c r="M332" s="16"/>
      <c r="N332" s="18">
        <f>countif(ConstantsUnits!C:C,F332)</f>
        <v>1</v>
      </c>
      <c r="O332" s="16" t="str">
        <f>VLOOKUP(A332,ConstantsUnits!A:A,1,false)</f>
        <v>unified atomic mass unit</v>
      </c>
    </row>
    <row r="333">
      <c r="A333" s="1" t="s">
        <v>1170</v>
      </c>
      <c r="B333" s="1" t="s">
        <v>2699</v>
      </c>
      <c r="C333" s="1" t="s">
        <v>2700</v>
      </c>
      <c r="D333" s="1" t="s">
        <v>252</v>
      </c>
      <c r="E333" s="15"/>
      <c r="F333" s="16" t="str">
        <f>ifna(VLOOKUP($A333,ConstantsUnits!$A:$C,3,false),"")</f>
        <v>VonKlitzingConstant</v>
      </c>
      <c r="G333" s="17" t="str">
        <f t="shared" si="1"/>
        <v>25812.8074434</v>
      </c>
      <c r="H333" s="17">
        <f t="shared" si="2"/>
        <v>25812.80744</v>
      </c>
      <c r="I333" s="17" t="str">
        <f t="shared" si="3"/>
        <v>0.0000084</v>
      </c>
      <c r="J333" s="17">
        <f t="shared" si="4"/>
        <v>0.0000084</v>
      </c>
      <c r="K333" s="17" t="b">
        <f t="shared" si="5"/>
        <v>0</v>
      </c>
      <c r="L333" s="16" t="str">
        <f>IFERROR(__xludf.DUMMYFUNCTION("if(regexmatch(B333,""e(.*)$""),regexextract(B333,""e(.*)$""),"""")"),"")</f>
        <v/>
      </c>
      <c r="M333" s="16"/>
      <c r="N333" s="18">
        <f>countif(ConstantsUnits!C:C,F333)</f>
        <v>1</v>
      </c>
      <c r="O333" s="16" t="str">
        <f>VLOOKUP(A333,ConstantsUnits!A:A,1,false)</f>
        <v>von Klitzing constant</v>
      </c>
    </row>
    <row r="334">
      <c r="A334" s="1" t="s">
        <v>1173</v>
      </c>
      <c r="B334" s="19" t="s">
        <v>2247</v>
      </c>
      <c r="C334" s="19" t="s">
        <v>2248</v>
      </c>
      <c r="E334" s="15"/>
      <c r="F334" s="16" t="str">
        <f>ifna(VLOOKUP($A334,ConstantsUnits!$A:$C,3,false),"")</f>
        <v>WeakMixingAngle</v>
      </c>
      <c r="G334" s="17" t="str">
        <f t="shared" si="1"/>
        <v>0.2223</v>
      </c>
      <c r="H334" s="17">
        <f t="shared" si="2"/>
        <v>0.2223</v>
      </c>
      <c r="I334" s="17" t="str">
        <f t="shared" si="3"/>
        <v>0.0021</v>
      </c>
      <c r="J334" s="17">
        <f t="shared" si="4"/>
        <v>0.0021</v>
      </c>
      <c r="K334" s="17" t="b">
        <f t="shared" si="5"/>
        <v>0</v>
      </c>
      <c r="L334" s="16" t="str">
        <f>IFERROR(__xludf.DUMMYFUNCTION("if(regexmatch(B334,""e(.*)$""),regexextract(B334,""e(.*)$""),"""")"),"")</f>
        <v/>
      </c>
      <c r="M334" s="16"/>
      <c r="N334" s="18">
        <f>countif(ConstantsUnits!C:C,F334)</f>
        <v>1</v>
      </c>
      <c r="O334" s="16" t="str">
        <f>VLOOKUP(A334,ConstantsUnits!A:A,1,false)</f>
        <v>weak mixing angle</v>
      </c>
    </row>
    <row r="335">
      <c r="A335" s="1" t="s">
        <v>1176</v>
      </c>
      <c r="B335" s="1" t="s">
        <v>2701</v>
      </c>
      <c r="C335" s="1" t="s">
        <v>2702</v>
      </c>
      <c r="D335" s="1" t="s">
        <v>242</v>
      </c>
      <c r="E335" s="15"/>
      <c r="F335" s="16" t="str">
        <f>ifna(VLOOKUP($A335,ConstantsUnits!$A:$C,3,false),"")</f>
        <v>WienFrequencyDisplacementLawConstant</v>
      </c>
      <c r="G335" s="17" t="str">
        <f t="shared" si="1"/>
        <v>5.8789254e10</v>
      </c>
      <c r="H335" s="17">
        <f t="shared" si="2"/>
        <v>58789254000</v>
      </c>
      <c r="I335" s="17" t="str">
        <f t="shared" si="3"/>
        <v>0.0000053e10</v>
      </c>
      <c r="J335" s="17">
        <f t="shared" si="4"/>
        <v>53000</v>
      </c>
      <c r="K335" s="17" t="b">
        <f t="shared" si="5"/>
        <v>0</v>
      </c>
      <c r="L335" s="16" t="str">
        <f>IFERROR(__xludf.DUMMYFUNCTION("if(regexmatch(B335,""e(.*)$""),regexextract(B335,""e(.*)$""),"""")"),"10")</f>
        <v>10</v>
      </c>
      <c r="M335" s="16"/>
      <c r="N335" s="18">
        <f>countif(ConstantsUnits!C:C,F335)</f>
        <v>1</v>
      </c>
      <c r="O335" s="16" t="str">
        <f>VLOOKUP(A335,ConstantsUnits!A:A,1,false)</f>
        <v>Wien frequency displacement law constant</v>
      </c>
    </row>
    <row r="336">
      <c r="A336" s="1" t="s">
        <v>1179</v>
      </c>
      <c r="B336" s="1" t="s">
        <v>2703</v>
      </c>
      <c r="C336" s="1" t="s">
        <v>2704</v>
      </c>
      <c r="D336" s="1" t="s">
        <v>1020</v>
      </c>
      <c r="E336" s="15"/>
      <c r="F336" s="16" t="str">
        <f>ifna(VLOOKUP($A336,ConstantsUnits!$A:$C,3,false),"")</f>
        <v>WienWavelengthDisplacementLawConstant</v>
      </c>
      <c r="G336" s="17" t="str">
        <f t="shared" si="1"/>
        <v>2.8977721e-3</v>
      </c>
      <c r="H336" s="17">
        <f t="shared" si="2"/>
        <v>0.0028977721</v>
      </c>
      <c r="I336" s="17" t="str">
        <f t="shared" si="3"/>
        <v>0.0000026e-3</v>
      </c>
      <c r="J336" s="17">
        <f t="shared" si="4"/>
        <v>0.0000000026</v>
      </c>
      <c r="K336" s="17" t="b">
        <f t="shared" si="5"/>
        <v>0</v>
      </c>
      <c r="L336" s="16" t="str">
        <f>IFERROR(__xludf.DUMMYFUNCTION("if(regexmatch(B336,""e(.*)$""),regexextract(B336,""e(.*)$""),"""")"),"-3")</f>
        <v>-3</v>
      </c>
      <c r="M336" s="16"/>
      <c r="N336" s="18">
        <f>countif(ConstantsUnits!C:C,F336)</f>
        <v>1</v>
      </c>
      <c r="O336" s="16" t="str">
        <f>VLOOKUP(A336,ConstantsUnits!A:A,1,false)</f>
        <v>Wien wavelength displacement law constant</v>
      </c>
    </row>
  </sheetData>
  <conditionalFormatting sqref="N1:N336">
    <cfRule type="cellIs" dxfId="1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