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Quantities" sheetId="2" r:id="rId5"/>
    <sheet state="visible" name="Constants" sheetId="3" r:id="rId6"/>
    <sheet state="visible" name="v2022" sheetId="4" r:id="rId7"/>
    <sheet state="visible" name="v2018" sheetId="5" r:id="rId8"/>
    <sheet state="visible" name="v2014" sheetId="6" r:id="rId9"/>
    <sheet state="visible" name="v2010" sheetId="7" r:id="rId10"/>
    <sheet state="visible" name="v2006" sheetId="8" r:id="rId11"/>
    <sheet state="visible" name="v2002" sheetId="9" r:id="rId12"/>
    <sheet state="visible" name="v1998" sheetId="10" r:id="rId13"/>
  </sheets>
  <definedNames>
    <definedName hidden="1" localSheetId="4" name="Z_9F4A137B_00B6_45B4_8D0E_73A50405CA74_.wvu.FilterData">'v2018'!$A$1:$D$355</definedName>
  </definedNames>
  <calcPr/>
  <customWorkbookViews>
    <customWorkbookView activeSheetId="0" maximized="1" windowHeight="0" windowWidth="0" guid="{9F4A137B-00B6-45B4-8D0E-73A50405CA74}" name="Filter 1"/>
  </customWorkbookViews>
</workbook>
</file>

<file path=xl/sharedStrings.xml><?xml version="1.0" encoding="utf-8"?>
<sst xmlns="http://schemas.openxmlformats.org/spreadsheetml/2006/main" count="11479" uniqueCount="4962">
  <si>
    <t>id</t>
  </si>
  <si>
    <t>broader</t>
  </si>
  <si>
    <t>related</t>
  </si>
  <si>
    <t>other_properties</t>
  </si>
  <si>
    <t>notation_tex</t>
  </si>
  <si>
    <t>name_en</t>
  </si>
  <si>
    <t>definition_en_short</t>
  </si>
  <si>
    <t>name_fr</t>
  </si>
  <si>
    <t>definition_fr</t>
  </si>
  <si>
    <t>Action</t>
  </si>
  <si>
    <t>Quantity</t>
  </si>
  <si>
    <t>A physical quantity that describes the motion of a system.</t>
  </si>
  <si>
    <t>AlphaParticle</t>
  </si>
  <si>
    <t>Particle</t>
  </si>
  <si>
    <t>Alpha Particle</t>
  </si>
  <si>
    <t>AlphaParticleElectronMassRatio</t>
  </si>
  <si>
    <t>MassRatio</t>
  </si>
  <si>
    <t>AlphaParticle,Electron</t>
  </si>
  <si>
    <t>Alpha Particle Electron Mass Ratio</t>
  </si>
  <si>
    <t>AlphaParticleMass</t>
  </si>
  <si>
    <t>Mass</t>
  </si>
  <si>
    <t>Alpha Particle Mass</t>
  </si>
  <si>
    <t>The mass of an alpha particle</t>
  </si>
  <si>
    <t>AlphaParticleMolarMass</t>
  </si>
  <si>
    <t>MolarMass</t>
  </si>
  <si>
    <t>Alpha Particle Molar Mass</t>
  </si>
  <si>
    <t>The molar mass of an alpha particle</t>
  </si>
  <si>
    <t>AlphaParticleProtonMassRatio</t>
  </si>
  <si>
    <t>AlphaParticle,Proton</t>
  </si>
  <si>
    <t>Alpha Particle Proton Mass Ratio</t>
  </si>
  <si>
    <t>AlphaParticleRelativeAtomicMass</t>
  </si>
  <si>
    <t>AtomicMass</t>
  </si>
  <si>
    <t>Alpha Particle Relative Atomic Mass</t>
  </si>
  <si>
    <t>AlphaParticleRmsChargeRadius</t>
  </si>
  <si>
    <t>RmsChargeRadius</t>
  </si>
  <si>
    <t>Alpha Particle RMS Charge Radius</t>
  </si>
  <si>
    <t>AngstromStar</t>
  </si>
  <si>
    <t>Length</t>
  </si>
  <si>
    <t>Å*</t>
  </si>
  <si>
    <t>Ångström star</t>
  </si>
  <si>
    <t>A unit of length used in scattering theory</t>
  </si>
  <si>
    <t>Atomic Mass</t>
  </si>
  <si>
    <t>AtomicMassConstant</t>
  </si>
  <si>
    <t>mu</t>
  </si>
  <si>
    <t>Atomic Mass Constant</t>
  </si>
  <si>
    <t>A physical constant that represents the molar mass of a single atom of carbon-12</t>
  </si>
  <si>
    <t>AtomicMassUnitElectronVoltRelationship</t>
  </si>
  <si>
    <t>ElectronVolt</t>
  </si>
  <si>
    <t>Atomic Mass Unit-Electronvolt Relationship</t>
  </si>
  <si>
    <t>AtomicMassUnitHartreeRelationship</t>
  </si>
  <si>
    <t>Hartree</t>
  </si>
  <si>
    <t>Atomic Mass Unit-Hartree Relationship</t>
  </si>
  <si>
    <t>The relationship between atomic mass units (u) and hartrees (Eh) as energy units</t>
  </si>
  <si>
    <t>AtomicMassUnitHertzRelationship</t>
  </si>
  <si>
    <t>Hertz</t>
  </si>
  <si>
    <t>Atomic Mass Unit-Hertz Relationship</t>
  </si>
  <si>
    <t>AtomicMassUnitInverseMeterRelationship</t>
  </si>
  <si>
    <t>InverseMeter</t>
  </si>
  <si>
    <t>Atomic Mass Unit-Inverse Meter Relationship</t>
  </si>
  <si>
    <t>AtomicMassUnitJouleRelationship</t>
  </si>
  <si>
    <t>Joule</t>
  </si>
  <si>
    <t>Atomic Mass Unit-Joule Relationship</t>
  </si>
  <si>
    <t>AtomicMassUnitKelvinRelationship</t>
  </si>
  <si>
    <t>Kelvin</t>
  </si>
  <si>
    <t>Atomic Mass Unit-Kelvin Relationship</t>
  </si>
  <si>
    <t>AtomicMassUnitKilogramRelationship</t>
  </si>
  <si>
    <t>Kilogram</t>
  </si>
  <si>
    <t>Atomic Mass Unit-Kilogram Relationship</t>
  </si>
  <si>
    <t>AtomicUnit</t>
  </si>
  <si>
    <t>Atomic Unit</t>
  </si>
  <si>
    <t>A set of fundamental units used in atomic and molecular physics and quantum chemistry.</t>
  </si>
  <si>
    <t>AtomicUnitOf1stHyperpolarizablity</t>
  </si>
  <si>
    <t>FirstHyperpolarizablity</t>
  </si>
  <si>
    <t>Atomic Unit of 1st Hyperpolarizability</t>
  </si>
  <si>
    <t>A unit used to express the first hyperpolarizability of a molecule</t>
  </si>
  <si>
    <t>AtomicUnitOf2ndHyperpolarizablity</t>
  </si>
  <si>
    <t>SecondHyperpolarizablity</t>
  </si>
  <si>
    <t>Atomic Unit of 2nd Hyperpolarizability</t>
  </si>
  <si>
    <t>AtomicUnitOfAction</t>
  </si>
  <si>
    <t>Atomic Unit of Action</t>
  </si>
  <si>
    <t>A unit used to express the action in atomic units, equal to the reduced Planck constant (ħ)</t>
  </si>
  <si>
    <t>AtomicUnitOfCharge</t>
  </si>
  <si>
    <t>Charge</t>
  </si>
  <si>
    <t>Atomic Unit of Charge</t>
  </si>
  <si>
    <t>A unit used to express the electric charge in atomic units, equal to the elementary charge (e).</t>
  </si>
  <si>
    <t>AtomicUnitOfChargeDensity</t>
  </si>
  <si>
    <t>ChargeDensity</t>
  </si>
  <si>
    <t>Atomic Unit of ChargeDensity</t>
  </si>
  <si>
    <t>A unit used to express the electric charge density in atomic units, equal to the elementary charge per volume of a Bohr cube.</t>
  </si>
  <si>
    <t>AtomicUnitOfCurrent</t>
  </si>
  <si>
    <t>Current</t>
  </si>
  <si>
    <t>Atomic Unit of Current</t>
  </si>
  <si>
    <t>A unit used to express the electric current in atomic units, equal to the elementary charge per atomic unit of time.</t>
  </si>
  <si>
    <t>AtomicUnitOfElectricDipoleMoment</t>
  </si>
  <si>
    <t>ElectricDipoleMoment</t>
  </si>
  <si>
    <t>Atomic Unit of ElectricDipoleMoment</t>
  </si>
  <si>
    <t>AtomicUnitOfElectricField</t>
  </si>
  <si>
    <t>ElectricField</t>
  </si>
  <si>
    <t>Atomic Unit of ElectricField</t>
  </si>
  <si>
    <t>AtomicUnitOfElectricFieldGradient</t>
  </si>
  <si>
    <t>ElectricFieldGradient</t>
  </si>
  <si>
    <t>Atomic Unit of ElectricFieldGradient</t>
  </si>
  <si>
    <t>AtomicUnitOfElectricPolarizablity</t>
  </si>
  <si>
    <t>ElectricPolarizability</t>
  </si>
  <si>
    <t>Atomic Unit of ElectricPolarizability</t>
  </si>
  <si>
    <t>AtomicUnitOfElectricPotential</t>
  </si>
  <si>
    <t>ElectricPotential</t>
  </si>
  <si>
    <t>Atomic Unit of ElectricPotential</t>
  </si>
  <si>
    <t>AtomicUnitOfElectricQuadrupoleMoment</t>
  </si>
  <si>
    <t>ElectricQuadrupoleMoment</t>
  </si>
  <si>
    <t>Atomic Unit of ElectricQuadrupoleMoment</t>
  </si>
  <si>
    <t>AtomicUnitOfEnergy</t>
  </si>
  <si>
    <t>Energy</t>
  </si>
  <si>
    <t>Atomic Unit of Energy</t>
  </si>
  <si>
    <t>AtomicUnitOfForce</t>
  </si>
  <si>
    <t>Force</t>
  </si>
  <si>
    <t>Atomic Unit of Force</t>
  </si>
  <si>
    <t>AtomicUnitOfLength</t>
  </si>
  <si>
    <t>Atomic Unit of Length</t>
  </si>
  <si>
    <t>AtomicUnitOfMagneticDipoleMoment</t>
  </si>
  <si>
    <t>MagneticDipoleMoment</t>
  </si>
  <si>
    <t>Atomic Unit of MagneticDipoleMoment</t>
  </si>
  <si>
    <t>AtomicUnitOfMagneticFluxDensity</t>
  </si>
  <si>
    <t>MagneticFluxDensity</t>
  </si>
  <si>
    <t>Atomic Unit of MagneticFluxDensity</t>
  </si>
  <si>
    <t>AtomicUnitOfMagnetizability</t>
  </si>
  <si>
    <t>Magnetizability</t>
  </si>
  <si>
    <t>Atomic Unit of Magnetizability</t>
  </si>
  <si>
    <t>AtomicUnitOfMass</t>
  </si>
  <si>
    <t>Atomic Unit of Mass</t>
  </si>
  <si>
    <t>AtomicUnitOfMomentum</t>
  </si>
  <si>
    <t>Momentum</t>
  </si>
  <si>
    <t>Atomic Unit of Momentum</t>
  </si>
  <si>
    <t>AtomicUnitOfPermittivity</t>
  </si>
  <si>
    <t>Permittivity</t>
  </si>
  <si>
    <t>Atomic Unit of Permittivity</t>
  </si>
  <si>
    <t>AtomicUnitOfTime</t>
  </si>
  <si>
    <t>Time</t>
  </si>
  <si>
    <t>Atomic Unit of Time</t>
  </si>
  <si>
    <t>AtomicUnitOfVelocity</t>
  </si>
  <si>
    <t>Velocity</t>
  </si>
  <si>
    <t>Atomic Unit of Velocity</t>
  </si>
  <si>
    <t>AvogadroConstant</t>
  </si>
  <si>
    <t>SIDefiningConstant</t>
  </si>
  <si>
    <t>N_A</t>
  </si>
  <si>
    <t>Avogadro constant</t>
  </si>
  <si>
    <t>BaseSIUnit</t>
  </si>
  <si>
    <t>SIUnit</t>
  </si>
  <si>
    <t>Base SI Unit</t>
  </si>
  <si>
    <t>BoltzmannConstant</t>
  </si>
  <si>
    <t>k</t>
  </si>
  <si>
    <t>Boltzmann Constant</t>
  </si>
  <si>
    <t>A property of matter that gives rise to electric force.</t>
  </si>
  <si>
    <t>Charge Density</t>
  </si>
  <si>
    <t>A measure of electric charge per unit volume.</t>
  </si>
  <si>
    <t>Constant</t>
  </si>
  <si>
    <t>The rate of flow of electric charge.</t>
  </si>
  <si>
    <t>Electric Dipole Moment</t>
  </si>
  <si>
    <t>Electric Field</t>
  </si>
  <si>
    <t>Electric Field Gradient</t>
  </si>
  <si>
    <t>Electric Polarizability</t>
  </si>
  <si>
    <t>Electric Potential</t>
  </si>
  <si>
    <t>Electric Quadrupole Moment</t>
  </si>
  <si>
    <t>Electron</t>
  </si>
  <si>
    <t>e-</t>
  </si>
  <si>
    <t>Eletron</t>
  </si>
  <si>
    <t>A subatomic particle with a negative electric charge.</t>
  </si>
  <si>
    <t>ElectronMass</t>
  </si>
  <si>
    <t>Mass of Electron</t>
  </si>
  <si>
    <t>The mass of an electron, a fundamental property of the electron.</t>
  </si>
  <si>
    <t>ElementaryCharge</t>
  </si>
  <si>
    <t>e</t>
  </si>
  <si>
    <t>Elementary Charge</t>
  </si>
  <si>
    <t>EletronVolt</t>
  </si>
  <si>
    <t>Electron,Volt</t>
  </si>
  <si>
    <t>eV</t>
  </si>
  <si>
    <t>Electron Volt</t>
  </si>
  <si>
    <t>A unit of energy equal to the energy acquired by an electron when accelerated by an electric potential difference of one volt.</t>
  </si>
  <si>
    <t>Hyperpolarizablity</t>
  </si>
  <si>
    <t>1st Hyperpolarizablity</t>
  </si>
  <si>
    <t>The first-order hyperpolarizability, describing the linear response of a molecule's polarization to an applied electric field.</t>
  </si>
  <si>
    <t>DerivedUnit</t>
  </si>
  <si>
    <t>Eh</t>
  </si>
  <si>
    <t>A unit of energy used in quantum mechanics and atomic physics</t>
  </si>
  <si>
    <t>SIDerivedUnit</t>
  </si>
  <si>
    <t>The derived unit of frequency in the International System of Units (SI), equal to one cycle per second</t>
  </si>
  <si>
    <t>HyperfineTransitionFrequencyOfCs-133</t>
  </si>
  <si>
    <t>\\Delta \\nu_{\\text{Cs}}</t>
  </si>
  <si>
    <t>Hyperfine transition frequency of cesium-133</t>
  </si>
  <si>
    <t>A measure of the nonlinear response of a molecule to an applied electric field.</t>
  </si>
  <si>
    <t>Inverse Meter</t>
  </si>
  <si>
    <t>SIBaseUnit</t>
  </si>
  <si>
    <t>A measure of distance or the extent of something from end to end</t>
  </si>
  <si>
    <t>LuminousEfficacy</t>
  </si>
  <si>
    <t>K_{\text{cd}}</t>
  </si>
  <si>
    <t xml:space="preserve">Luminous efficacy of monochromatic radiation of frequency 540 × 1012 hertz </t>
  </si>
  <si>
    <t>Magnetic Dipole Moment</t>
  </si>
  <si>
    <t>Magnetic Flux Density</t>
  </si>
  <si>
    <t>A measure of the amount of matter in an object or particle</t>
  </si>
  <si>
    <t>Ratio</t>
  </si>
  <si>
    <t>Mass Ratio</t>
  </si>
  <si>
    <t>Meter</t>
  </si>
  <si>
    <t>Molar Mass</t>
  </si>
  <si>
    <t>The mass of a given substance (chemical element or chemical compound) divided by the amount of substance</t>
  </si>
  <si>
    <t>Neutron</t>
  </si>
  <si>
    <t>ParticleMassRatio</t>
  </si>
  <si>
    <t>Particle,Mass</t>
  </si>
  <si>
    <t>Particle Mass Ratio</t>
  </si>
  <si>
    <t>PlanckConstant</t>
  </si>
  <si>
    <t>h</t>
  </si>
  <si>
    <t>Planck Constant</t>
  </si>
  <si>
    <t>Proton</t>
  </si>
  <si>
    <t>Relationship</t>
  </si>
  <si>
    <t>RelativeAtomicMass</t>
  </si>
  <si>
    <t>Relative Atomic Mass</t>
  </si>
  <si>
    <t>RmsCharge</t>
  </si>
  <si>
    <t>Root Mean Square Charge</t>
  </si>
  <si>
    <t>Radius</t>
  </si>
  <si>
    <t>Root Mean Square Charge Radius</t>
  </si>
  <si>
    <t>2nd Hyperpolarizablity</t>
  </si>
  <si>
    <t>The second-order hyperpolarizability, describing the linear response of a molecule's polarization to an applied electric field.</t>
  </si>
  <si>
    <t>SI</t>
  </si>
  <si>
    <t>International System of Units</t>
  </si>
  <si>
    <t>SI Base Unit</t>
  </si>
  <si>
    <t>SIConstant</t>
  </si>
  <si>
    <t>SI,Constant</t>
  </si>
  <si>
    <t>SI Constant</t>
  </si>
  <si>
    <t>SI Defining Constant</t>
  </si>
  <si>
    <t>SIDerivedConstant</t>
  </si>
  <si>
    <t>Si Derived Constant</t>
  </si>
  <si>
    <t>SI Derived Unit</t>
  </si>
  <si>
    <t>Unit</t>
  </si>
  <si>
    <t>SI Unit</t>
  </si>
  <si>
    <t>SpeedOfLight</t>
  </si>
  <si>
    <t>c</t>
  </si>
  <si>
    <t>Speed of light in vacuum</t>
  </si>
  <si>
    <t>Volt</t>
  </si>
  <si>
    <t>V</t>
  </si>
  <si>
    <t>The derived unit of electric potential and electromotive force in the International System of Units (SI), equal to one joule per coulomb.</t>
  </si>
  <si>
    <t>BohrMagneton</t>
  </si>
  <si>
    <t>PhysicalConstant</t>
  </si>
  <si>
    <t>MagneticMoment</t>
  </si>
  <si>
    <t>Bohr Magneton</t>
  </si>
  <si>
    <t>A physical constant representing the magnetic moment of an electron caused by its orbital or spin angular momentum.</t>
  </si>
  <si>
    <t>BohrRadius</t>
  </si>
  <si>
    <t>Bohr Radius</t>
  </si>
  <si>
    <t>A physical constant representing the most probable distance between the nucleus and the electron in a hydrogen atom in its ground state.</t>
  </si>
  <si>
    <t>A unit used to express the magnetic moment of a particle or system.</t>
  </si>
  <si>
    <t xml:space="preserve">notation </t>
  </si>
  <si>
    <t>name</t>
  </si>
  <si>
    <t>definition</t>
  </si>
  <si>
    <t>dimensionless</t>
  </si>
  <si>
    <t>n_instances</t>
  </si>
  <si>
    <t>has_base</t>
  </si>
  <si>
    <t>uri</t>
  </si>
  <si>
    <t>concept_id</t>
  </si>
  <si>
    <t>concept_lookup</t>
  </si>
  <si>
    <t>wikipedia</t>
  </si>
  <si>
    <t>CharacteristicImpedanceOfVacuum</t>
  </si>
  <si>
    <t>ClassicalElectronRadius</t>
  </si>
  <si>
    <t>ComptonWavelength</t>
  </si>
  <si>
    <t>ComptonWavelengthOver2Pi</t>
  </si>
  <si>
    <t>ConductanceQuantum</t>
  </si>
  <si>
    <t>ConventionalValueOfAmpere-90</t>
  </si>
  <si>
    <t>ConventionalValueOfCoulomb-90</t>
  </si>
  <si>
    <t>ConventionalValueOfFarad-90</t>
  </si>
  <si>
    <t>ConventionalValueOfHenry-90</t>
  </si>
  <si>
    <t>ConventionalValueOfJosephsonConstant</t>
  </si>
  <si>
    <t>ConventionalValueOfOhm-90</t>
  </si>
  <si>
    <t>ConventionalValueOfVolt-90</t>
  </si>
  <si>
    <t>ConventionalValueOfVonKlitzingConstant</t>
  </si>
  <si>
    <t>ConventionalValueOfWatt-90</t>
  </si>
  <si>
    <t>CuXUnit</t>
  </si>
  <si>
    <t>DeuteronElectronMagneticMomentRatio</t>
  </si>
  <si>
    <t>DeuteronElectronMassRatio</t>
  </si>
  <si>
    <t>DeuteronGFactor</t>
  </si>
  <si>
    <t>DeuteronMagneticMoment</t>
  </si>
  <si>
    <t>DeuteronMagneticMomentToBohrMagnetonRatio</t>
  </si>
  <si>
    <t>DeuteronMagneticMomentToNuclearMagnetonRatio</t>
  </si>
  <si>
    <t>DeuteronMass</t>
  </si>
  <si>
    <t>DeuteronMolarMass</t>
  </si>
  <si>
    <t>DeuteronNeutronMagneticMomentRatio</t>
  </si>
  <si>
    <t>DeuteronProtonMagneticMomentRatio</t>
  </si>
  <si>
    <t>DeuteronProtonMassRatio</t>
  </si>
  <si>
    <t>DeuteronRelativeAtomicMass</t>
  </si>
  <si>
    <t>DeuteronRmsChargeRadius</t>
  </si>
  <si>
    <t>ElectricConstant</t>
  </si>
  <si>
    <t>ElectronChargeToMassQuotient</t>
  </si>
  <si>
    <t>ElectronDeuteronMagneticMomentRatio</t>
  </si>
  <si>
    <t>ElectronDeuteronMassRatio</t>
  </si>
  <si>
    <t>ElectronGFactor</t>
  </si>
  <si>
    <t>ElectronGyromagneticRatio</t>
  </si>
  <si>
    <t>ElectronHelionMassRatio</t>
  </si>
  <si>
    <t>ElectronMagneticMoment</t>
  </si>
  <si>
    <t>ElectronMagneticMomentAnomaly</t>
  </si>
  <si>
    <t>ElectronMagneticMomentToBohrMagnetonRatio</t>
  </si>
  <si>
    <t>ElectronMagneticMomentToNuclearMagnetonRatio</t>
  </si>
  <si>
    <t>ElectronMolarMass</t>
  </si>
  <si>
    <t>ElectronMuonMagneticMomentRatio</t>
  </si>
  <si>
    <t>ElectronMuonMassRatio</t>
  </si>
  <si>
    <t>ElectronNeutronMagneticMomentRatio</t>
  </si>
  <si>
    <t>ElectronNeutronMassRatio</t>
  </si>
  <si>
    <t>ElectronProtonMagneticMomentRatio</t>
  </si>
  <si>
    <t>ElectronProtonMassRatio</t>
  </si>
  <si>
    <t>ElectronRelativeAtomicMass</t>
  </si>
  <si>
    <t>ElectronTauMassRatio</t>
  </si>
  <si>
    <t>ElectronToAlphaParticleMassRatio</t>
  </si>
  <si>
    <t>ElectronToShieldedHelionMagneticMomentRatio</t>
  </si>
  <si>
    <t>ElectronToShieldedProtonMagneticMomentRatio</t>
  </si>
  <si>
    <t>Electron-TritonMassRatio</t>
  </si>
  <si>
    <t>ElectronVoltAtomicMassUnitRelationship</t>
  </si>
  <si>
    <t>ElectronVoltHartreeRelationship</t>
  </si>
  <si>
    <t>ElectronVoltHertzRelationship</t>
  </si>
  <si>
    <t>ElectronVoltInverseMeterRelationship</t>
  </si>
  <si>
    <t>ElectronVoltJouleRelationship</t>
  </si>
  <si>
    <t>ElectronVoltKelvinRelationship</t>
  </si>
  <si>
    <t>ElectronVoltKilogramRelationship</t>
  </si>
  <si>
    <t>ElementaryChargeOverH</t>
  </si>
  <si>
    <t>FaradayConstant</t>
  </si>
  <si>
    <t>FermiCouplingConstant</t>
  </si>
  <si>
    <t>FineStructureConstant</t>
  </si>
  <si>
    <t>FirstRadiationConstant</t>
  </si>
  <si>
    <t>FirstRadiationConstantForSpectralRadiance</t>
  </si>
  <si>
    <t>HartreeAtomicMassUnitRelationship</t>
  </si>
  <si>
    <t>HartreeElectronVoltRelationship</t>
  </si>
  <si>
    <t>HartreeEnergy</t>
  </si>
  <si>
    <t>HartreeHertzRelationship</t>
  </si>
  <si>
    <t>HartreeInverseMeterRelationship</t>
  </si>
  <si>
    <t>HartreeJouleRelationship</t>
  </si>
  <si>
    <t>HartreeKelvinRelationship</t>
  </si>
  <si>
    <t>HartreeKilogramRelationship</t>
  </si>
  <si>
    <t>HelionElectronMassRatio</t>
  </si>
  <si>
    <t>HelionGFactor</t>
  </si>
  <si>
    <t>HelionMag.Mom.</t>
  </si>
  <si>
    <t>HelionMag.Mom.ToBohrMagnetonRatio</t>
  </si>
  <si>
    <t>HelionMag.Mom.ToNuclearMagnetonRatio</t>
  </si>
  <si>
    <t>HelionMass</t>
  </si>
  <si>
    <t>HelionMolarMass</t>
  </si>
  <si>
    <t>HelionProtonMassRatio</t>
  </si>
  <si>
    <t>HelionRelativeAtomicMass</t>
  </si>
  <si>
    <t>HelionShieldingShift</t>
  </si>
  <si>
    <t>HertzAtomicMassUnitRelationship</t>
  </si>
  <si>
    <t>HertzElectronVoltRelationship</t>
  </si>
  <si>
    <t>HertzHartreeRelationship</t>
  </si>
  <si>
    <t>HertzInverseMeterRelationship</t>
  </si>
  <si>
    <t>HertzJouleRelationship</t>
  </si>
  <si>
    <t>HertzKelvinRelationship</t>
  </si>
  <si>
    <t>HertzKilogramRelationship</t>
  </si>
  <si>
    <t>InverseFineStructureConstant</t>
  </si>
  <si>
    <t>InverseMeterAtomicMassUnitRelationship</t>
  </si>
  <si>
    <t>InverseMeterElectronVoltRelationship</t>
  </si>
  <si>
    <t>InverseMeterHartreeRelationship</t>
  </si>
  <si>
    <t>InverseMeterHertzRelationship</t>
  </si>
  <si>
    <t>InverseMeterJouleRelationship</t>
  </si>
  <si>
    <t>InverseMeterKelvinRelationship</t>
  </si>
  <si>
    <t>InverseMeterKilogramRelationship</t>
  </si>
  <si>
    <t>InverseOfConductanceQuantum</t>
  </si>
  <si>
    <t>JosephsonConstant</t>
  </si>
  <si>
    <t>JouleAtomicMassUnitRelationship</t>
  </si>
  <si>
    <t>JouleElectronVoltRelationship</t>
  </si>
  <si>
    <t>JouleHartreeRelationship</t>
  </si>
  <si>
    <t>JouleHertzRelationship</t>
  </si>
  <si>
    <t>JouleInverseMeterRelationship</t>
  </si>
  <si>
    <t>JouleKelvinRelationship</t>
  </si>
  <si>
    <t>JouleKilogramRelationship</t>
  </si>
  <si>
    <t>KelvinAtomicMassUnitRelationship</t>
  </si>
  <si>
    <t>KelvinElectronVoltRelationship</t>
  </si>
  <si>
    <t>KelvinHartreeRelationship</t>
  </si>
  <si>
    <t>KelvinHertzRelationship</t>
  </si>
  <si>
    <t>KelvinInverseMeterRelationship</t>
  </si>
  <si>
    <t>KelvinJouleRelationship</t>
  </si>
  <si>
    <t>KelvinKilogramRelationship</t>
  </si>
  <si>
    <t>KilogramAtomicMassUnitRelationship</t>
  </si>
  <si>
    <t>KilogramElectronVoltRelationship</t>
  </si>
  <si>
    <t>KilogramHartreeRelationship</t>
  </si>
  <si>
    <t>KilogramHertzRelationship</t>
  </si>
  <si>
    <t>KilogramInverseMeterRelationship</t>
  </si>
  <si>
    <t>KilogramJouleRelationship</t>
  </si>
  <si>
    <t>KilogramKelvinRelationship</t>
  </si>
  <si>
    <t>LatticeParameterOfSilicon</t>
  </si>
  <si>
    <t>LatticeSpacingOfSilicon</t>
  </si>
  <si>
    <t>LoschmidtConstant</t>
  </si>
  <si>
    <t>MagneticConstant</t>
  </si>
  <si>
    <t>MagneticFluxQuantum</t>
  </si>
  <si>
    <t>MolarGasConstant</t>
  </si>
  <si>
    <t>MolarMassConstant</t>
  </si>
  <si>
    <t>MolarMassOfCarbon12</t>
  </si>
  <si>
    <t>MolarPlanckConstant</t>
  </si>
  <si>
    <t>MolarPlanckConstantTimesC</t>
  </si>
  <si>
    <t>MolarVolumeOfIdealGas</t>
  </si>
  <si>
    <t>MolarVolumeOfSilicon</t>
  </si>
  <si>
    <t>MoXUnit</t>
  </si>
  <si>
    <t>MuonComptonWavelength</t>
  </si>
  <si>
    <t>MuonElectronMassRatio</t>
  </si>
  <si>
    <t>MuonGFactor</t>
  </si>
  <si>
    <t>MuonMagneticMoment</t>
  </si>
  <si>
    <t>MuonMagneticMomentAnomaly</t>
  </si>
  <si>
    <t>MuonMagneticMomentToBohrMagnetonRatio</t>
  </si>
  <si>
    <t>MuonMagneticMomentToNuclearMagnetonRatio</t>
  </si>
  <si>
    <t>MuonMass</t>
  </si>
  <si>
    <t>MuonMolarMass</t>
  </si>
  <si>
    <t>MuonNeutronMassRatio</t>
  </si>
  <si>
    <t>MuonProtonMagneticMomentRatio</t>
  </si>
  <si>
    <t>MuonProtonMassRatio</t>
  </si>
  <si>
    <t>MuonTauMassRatio</t>
  </si>
  <si>
    <t>NaturalUnitOfAction</t>
  </si>
  <si>
    <t>NaturalUnitOfEnergy</t>
  </si>
  <si>
    <t>NaturalUnitOfLength</t>
  </si>
  <si>
    <t>NaturalUnitOfMass</t>
  </si>
  <si>
    <t>NaturalUnitOfMomentum</t>
  </si>
  <si>
    <t>NaturalUnitOfTime</t>
  </si>
  <si>
    <t>NaturalUnitOfVelocity</t>
  </si>
  <si>
    <t>NeutronComptonWavelength</t>
  </si>
  <si>
    <t>NeutronElectronMagneticMomentRatio</t>
  </si>
  <si>
    <t>NeutronElectronMassRatio</t>
  </si>
  <si>
    <t>NeutronGFactor</t>
  </si>
  <si>
    <t>NeutronGyromagneticRatio</t>
  </si>
  <si>
    <t>NeutronMagneticMoment</t>
  </si>
  <si>
    <t>NeutronMagneticMomentToBohrMagnetonRatio</t>
  </si>
  <si>
    <t>NeutronMagneticMomentToNuclearMagnetonRatio</t>
  </si>
  <si>
    <t>NeutronMass</t>
  </si>
  <si>
    <t>NeutronMolarMass</t>
  </si>
  <si>
    <t>NeutronMuonMassRatio</t>
  </si>
  <si>
    <t>NeutronProtonMagneticMomentRatio</t>
  </si>
  <si>
    <t>Neutron-ProtonMassDifference</t>
  </si>
  <si>
    <t>NeutronProtonMassRatio</t>
  </si>
  <si>
    <t>NeutronRelativeAtomicMass</t>
  </si>
  <si>
    <t>NeutronTauMassRatio</t>
  </si>
  <si>
    <t>NeutronToShieldedProtonMagneticMomentRatio</t>
  </si>
  <si>
    <t>NewtonianConstantOfGravitation</t>
  </si>
  <si>
    <t>NuclearMagneton</t>
  </si>
  <si>
    <t>PlanckLength</t>
  </si>
  <si>
    <t>PlanckMass</t>
  </si>
  <si>
    <t>PlanckTemperature</t>
  </si>
  <si>
    <t>PlanckTime</t>
  </si>
  <si>
    <t>ProtonChargeToMassQuotient</t>
  </si>
  <si>
    <t>ProtonComptonWavelength</t>
  </si>
  <si>
    <t>ProtonElectronMassRatio</t>
  </si>
  <si>
    <t>ProtonGFactor</t>
  </si>
  <si>
    <t>ProtonGyromagneticRatio</t>
  </si>
  <si>
    <t>ProtonMagneticMoment</t>
  </si>
  <si>
    <t>ProtonMagneticMomentToBohrMagnetonRatio</t>
  </si>
  <si>
    <t>ProtonMagneticMomentToNuclearMagnetonRatio</t>
  </si>
  <si>
    <t>ProtonMagneticShieldingCorrection</t>
  </si>
  <si>
    <t>ProtonMass</t>
  </si>
  <si>
    <t>ProtonMolarMass</t>
  </si>
  <si>
    <t>ProtonMuonMassRatio</t>
  </si>
  <si>
    <t>ProtonNeutronMagneticMomentRatio</t>
  </si>
  <si>
    <t>ProtonNeutronMassRatio</t>
  </si>
  <si>
    <t>ProtonRelativeAtomicMass</t>
  </si>
  <si>
    <t>ProtonRmsChargeRadius</t>
  </si>
  <si>
    <t>ProtonTauMassRatio</t>
  </si>
  <si>
    <t>QuantumOfCirculation</t>
  </si>
  <si>
    <t>QuantumOfCirculationTimes2</t>
  </si>
  <si>
    <t>ReducedComptonWavelength</t>
  </si>
  <si>
    <t>ReducedMuonComptonWavelength</t>
  </si>
  <si>
    <t>ReducedNeutronComptonWavelength</t>
  </si>
  <si>
    <t>ReducedPlanckConstant</t>
  </si>
  <si>
    <t>ReducedProtonComptonWavelength</t>
  </si>
  <si>
    <t>ReducedTauComptonWavelength</t>
  </si>
  <si>
    <t>RydbergConstant</t>
  </si>
  <si>
    <t>SackurTetrodeConstant</t>
  </si>
  <si>
    <t>SecondRadiationConstant</t>
  </si>
  <si>
    <t>ShieldedHelionGyromagneticRatio</t>
  </si>
  <si>
    <t>ShieldedHelionMagneticMoment</t>
  </si>
  <si>
    <t>ShieldedHelionMagneticMomentToBohrMagnetonRatio</t>
  </si>
  <si>
    <t>ShieldedHelionMagneticMomentToNuclearMagnetonRatio</t>
  </si>
  <si>
    <t>ShieldedHelionToProtonMagneticMomentRatio</t>
  </si>
  <si>
    <t>ShieldedHelionToShieldedProtonMagneticMomentRatio</t>
  </si>
  <si>
    <t>ShieldedProtonGyromagneticRatio</t>
  </si>
  <si>
    <t>ShieldedProtonMagneticMoment</t>
  </si>
  <si>
    <t>ShieldedProtonMagneticMomentToBohrMagnetonRatio</t>
  </si>
  <si>
    <t>ShieldedProtonMagneticMomentToNuclearMagnetonRatio</t>
  </si>
  <si>
    <t>ShieldingDifferenceOfDAndP</t>
  </si>
  <si>
    <t>ShieldingDifferenceOfTAndP</t>
  </si>
  <si>
    <t>StandardAccelerationOfGravity</t>
  </si>
  <si>
    <t>StandardAtmosphere</t>
  </si>
  <si>
    <t>Standard-StatePressure</t>
  </si>
  <si>
    <t>StefanBoltzmannConstant</t>
  </si>
  <si>
    <t>TauComptonWavelength</t>
  </si>
  <si>
    <t>TauComptonWavelengthOver2Pi</t>
  </si>
  <si>
    <t>TauElectronMassRatio</t>
  </si>
  <si>
    <t>TauMass</t>
  </si>
  <si>
    <t>TauMolarMass</t>
  </si>
  <si>
    <t>TauMuonMassRatio</t>
  </si>
  <si>
    <t>TauNeutronMassRatio</t>
  </si>
  <si>
    <t>TauProtonMassRatio</t>
  </si>
  <si>
    <t>ThomsonCrossSection</t>
  </si>
  <si>
    <t>TritonElectronMagneticMomentRatio</t>
  </si>
  <si>
    <t>TritonElectronMassRatio</t>
  </si>
  <si>
    <t>TritonGFactor</t>
  </si>
  <si>
    <t>TritonMagneticMoment</t>
  </si>
  <si>
    <t>TritonMagneticMomentToBohrMagnetonRatio</t>
  </si>
  <si>
    <t>TritonMagneticMomentToNuclearMagnetonRatio</t>
  </si>
  <si>
    <t>TritonMass</t>
  </si>
  <si>
    <t>TritonMolarMass</t>
  </si>
  <si>
    <t>TritonNeutronMagneticMomentRatio</t>
  </si>
  <si>
    <t>TritonProtonMassRatio</t>
  </si>
  <si>
    <t>TritonRelativeAtomicMass</t>
  </si>
  <si>
    <t>TritonProtonMagneticMomentRatio</t>
  </si>
  <si>
    <t>UnifiedAtomicMassUnit</t>
  </si>
  <si>
    <t>PermittivityOfVacuum</t>
  </si>
  <si>
    <t>ElectromagneticPermeabilityOfVacuum</t>
  </si>
  <si>
    <t>VonKlitzingConstant</t>
  </si>
  <si>
    <t>WeakMixingAngle</t>
  </si>
  <si>
    <t>WienFrequencyDisplacementLawConstant</t>
  </si>
  <si>
    <t>WienWavelengthDisplacementLawConstant</t>
  </si>
  <si>
    <t>WToZMassRatio</t>
  </si>
  <si>
    <t>nist_id</t>
  </si>
  <si>
    <t>nist_deprecated_ids</t>
  </si>
  <si>
    <t>name_nist_2018</t>
  </si>
  <si>
    <t>units_si</t>
  </si>
  <si>
    <t>name_bipm_en</t>
  </si>
  <si>
    <t>name_bipm_fr</t>
  </si>
  <si>
    <t>ucum_constant</t>
  </si>
  <si>
    <t>units_ucum</t>
  </si>
  <si>
    <t>units_uom</t>
  </si>
  <si>
    <t>quantity_id</t>
  </si>
  <si>
    <t>quantity_id_lookup</t>
  </si>
  <si>
    <t>is_base</t>
  </si>
  <si>
    <t>qudt_id</t>
  </si>
  <si>
    <t>is_qudt</t>
  </si>
  <si>
    <t>is_codata</t>
  </si>
  <si>
    <t>is_2022</t>
  </si>
  <si>
    <t>is_2018</t>
  </si>
  <si>
    <t>is_2014</t>
  </si>
  <si>
    <t>is_2010</t>
  </si>
  <si>
    <t>is_2006</t>
  </si>
  <si>
    <t>is_2002</t>
  </si>
  <si>
    <t>is_1998</t>
  </si>
  <si>
    <t>malsme</t>
  </si>
  <si>
    <t>alpha particle-electron mass ratio</t>
  </si>
  <si>
    <t>alpha particle - electron mass ratio</t>
  </si>
  <si>
    <t>rapport de la masse de la particule alpha à celle de l'électron</t>
  </si>
  <si>
    <t>constant:AlphaParticleElectronMassRatio</t>
  </si>
  <si>
    <t>http://sidigitalframework/constant/AlphaParticleElectronMassRatio</t>
  </si>
  <si>
    <t>mal</t>
  </si>
  <si>
    <t>alpha particle mass</t>
  </si>
  <si>
    <t>kg</t>
  </si>
  <si>
    <t>masse de la particule alpha</t>
  </si>
  <si>
    <t>constant:AlphaParticleMass</t>
  </si>
  <si>
    <t>malc2</t>
  </si>
  <si>
    <t>alpha particle mass energy equivalent</t>
  </si>
  <si>
    <t>J</t>
  </si>
  <si>
    <t>énergie de masse de la particule alpha</t>
  </si>
  <si>
    <t>constant:AlphaParticleMassEnergyEquivalent</t>
  </si>
  <si>
    <t>malc2mev</t>
  </si>
  <si>
    <t>alpha particle mass energy equivalent in MeV</t>
  </si>
  <si>
    <t>MeV</t>
  </si>
  <si>
    <t>constant:AlphaParticleMassEnergyEquivalentInMeV</t>
  </si>
  <si>
    <t>alpha particle mass in atomic mass unit</t>
  </si>
  <si>
    <t>malu</t>
  </si>
  <si>
    <t>alpha particle mass in u</t>
  </si>
  <si>
    <t>u</t>
  </si>
  <si>
    <t>constant:AlphaParticleMassInAtomicMassUnit</t>
  </si>
  <si>
    <t>mmal</t>
  </si>
  <si>
    <t>alpha particle molar mass</t>
  </si>
  <si>
    <t>kg mol^-1</t>
  </si>
  <si>
    <t>masse molaire de la particule alpha</t>
  </si>
  <si>
    <t>kg.mol-1</t>
  </si>
  <si>
    <t>constant:AlphaParticleMolarMass</t>
  </si>
  <si>
    <t>malsmp</t>
  </si>
  <si>
    <t>alpha particle-proton mass ratio</t>
  </si>
  <si>
    <t>alpha particle - proton mass ratio</t>
  </si>
  <si>
    <t>rapport de la masse de la particule alpha à celle du proton</t>
  </si>
  <si>
    <t>constant:AlphaParticleProtonMassRatio</t>
  </si>
  <si>
    <t>aral</t>
  </si>
  <si>
    <t>alpha particle relative atomic mass</t>
  </si>
  <si>
    <t>ral</t>
  </si>
  <si>
    <t>alpha particle rms charge radius</t>
  </si>
  <si>
    <t>rayon de charge effectif de l aparticule alpha</t>
  </si>
  <si>
    <t>m</t>
  </si>
  <si>
    <t>angstar</t>
  </si>
  <si>
    <t>Angstrom star</t>
  </si>
  <si>
    <t>constant:AngstromStar</t>
  </si>
  <si>
    <t>atomic mass constant</t>
  </si>
  <si>
    <t>constante de masse atomique</t>
  </si>
  <si>
    <t>constant:AtomicMassConstant</t>
  </si>
  <si>
    <t>tuj</t>
  </si>
  <si>
    <t>atomic mass constant energy equivalent</t>
  </si>
  <si>
    <t>énergie équivalente à la constante de masse atomique</t>
  </si>
  <si>
    <t>constant:AtomicMassConstantEnergyEquivalent</t>
  </si>
  <si>
    <t>muc2mev</t>
  </si>
  <si>
    <t>atomic mass constant energy equivalent in MeV</t>
  </si>
  <si>
    <t>constant:AtomicMassConstantEnergyEquivalentInMeV</t>
  </si>
  <si>
    <t>uev</t>
  </si>
  <si>
    <t>uev90</t>
  </si>
  <si>
    <t>atomic mass unit-electron volt relationship</t>
  </si>
  <si>
    <t>atomic mass unit - electronvolt relationship</t>
  </si>
  <si>
    <t>relation entre l'unité de masse atomique et l'électronvolt</t>
  </si>
  <si>
    <t>constant:AtomicMassUnitElectronVoltRelationship</t>
  </si>
  <si>
    <t>uhr</t>
  </si>
  <si>
    <t>atomic mass unit-hartree relationship</t>
  </si>
  <si>
    <t>E_h</t>
  </si>
  <si>
    <t>atomic mass unit - hartree relationship</t>
  </si>
  <si>
    <t>relation entre l'unité de masse atomique et le hartree</t>
  </si>
  <si>
    <t>?</t>
  </si>
  <si>
    <t>constant:AtomicMassUnitHartreeRelationship</t>
  </si>
  <si>
    <t>uhz</t>
  </si>
  <si>
    <t>atomic mass unit-hertz relationship</t>
  </si>
  <si>
    <t>Hz</t>
  </si>
  <si>
    <t>atomic mass unit - hertz relationship</t>
  </si>
  <si>
    <t>relation entre l'unité de masse atomique et le hertz</t>
  </si>
  <si>
    <t>constant:AtomicMassUnitHertzRelationship</t>
  </si>
  <si>
    <t>uminv</t>
  </si>
  <si>
    <t>atomic mass unit-inverse meter relationship</t>
  </si>
  <si>
    <t>m^-1</t>
  </si>
  <si>
    <t>atomic mass unit - inverse meter relationship</t>
  </si>
  <si>
    <t>relation entre l'unité de masse atomique et l'inverse du mètre</t>
  </si>
  <si>
    <t>m-1</t>
  </si>
  <si>
    <t>constant:AtomicMassUnitInverseMeterRelationship</t>
  </si>
  <si>
    <t>uj</t>
  </si>
  <si>
    <t>atomic mass unit-joule relationship</t>
  </si>
  <si>
    <t>atomic mass unit - joule relationship</t>
  </si>
  <si>
    <t>relation entre l'unité de masse atomique et le joule</t>
  </si>
  <si>
    <t>constant:AtomicMassUnitJouleRelationship</t>
  </si>
  <si>
    <t>uk</t>
  </si>
  <si>
    <t>atomic mass unit-kelvin relationship</t>
  </si>
  <si>
    <t>K</t>
  </si>
  <si>
    <t>atomic mass unit - kelvin relationship</t>
  </si>
  <si>
    <t>relation entre l'unité de masse atomique et le kelvin</t>
  </si>
  <si>
    <t>constant:AtomicMassUnitKelvinRelationship</t>
  </si>
  <si>
    <t>ukg</t>
  </si>
  <si>
    <t>atomic mass unit-kilogram relationship</t>
  </si>
  <si>
    <t>atomic mass unit - kilogram relationship</t>
  </si>
  <si>
    <t>relation entre l'unité de masse atomique et le kilogramme</t>
  </si>
  <si>
    <t>constant:AtomicMassUnitKilogramRelationship</t>
  </si>
  <si>
    <t>auhypol</t>
  </si>
  <si>
    <t>atomic unit of 1st hyperpolarizability</t>
  </si>
  <si>
    <t>C^3 m^3 J^-2</t>
  </si>
  <si>
    <t>atomic unit of first hyperpolarizability</t>
  </si>
  <si>
    <t>Unité atomique de première hypolarisabilité</t>
  </si>
  <si>
    <t>C3.m3.J-2</t>
  </si>
  <si>
    <t>constant:AtomicUnitOf1stHyperpolarizablity</t>
  </si>
  <si>
    <t>au2hypol</t>
  </si>
  <si>
    <t>atomic unit of 2nd hyperpolarizability</t>
  </si>
  <si>
    <t>C^4 m^4 J^-3</t>
  </si>
  <si>
    <t>atomic unit of second hyperpolarizability</t>
  </si>
  <si>
    <t>Unité atomique de seconde hypolarisabilité</t>
  </si>
  <si>
    <t>C4.m4.J-3</t>
  </si>
  <si>
    <t>constant:AtomicUnitOf2ndHyperpolarizablity</t>
  </si>
  <si>
    <t>tthbar</t>
  </si>
  <si>
    <t>atomic unit of action</t>
  </si>
  <si>
    <t>J s</t>
  </si>
  <si>
    <t>unité atomique d'action</t>
  </si>
  <si>
    <t>J.s</t>
  </si>
  <si>
    <t>constant:AtomicUnitOfAction</t>
  </si>
  <si>
    <t>Ae</t>
  </si>
  <si>
    <t>atomic unit of charge</t>
  </si>
  <si>
    <t>C</t>
  </si>
  <si>
    <t>unité atomique de charge</t>
  </si>
  <si>
    <t>[e]</t>
  </si>
  <si>
    <t>constant:AtomicUnitOfCharge</t>
  </si>
  <si>
    <t>aucd</t>
  </si>
  <si>
    <t>atomic unit of charge density</t>
  </si>
  <si>
    <t>C m^-3</t>
  </si>
  <si>
    <t>unité atomique de densité de charge</t>
  </si>
  <si>
    <t>C.m-3</t>
  </si>
  <si>
    <t>constant:AtomicUnitOfChargeDensity</t>
  </si>
  <si>
    <t>aucur</t>
  </si>
  <si>
    <t>atomic unit of current</t>
  </si>
  <si>
    <t>A</t>
  </si>
  <si>
    <t>unité atomique de courant</t>
  </si>
  <si>
    <t>constant:AtomicUnitOfCurrent</t>
  </si>
  <si>
    <t>auedm</t>
  </si>
  <si>
    <t>atomic unit of electric dipole mom.</t>
  </si>
  <si>
    <t>C m</t>
  </si>
  <si>
    <t>atomic unit of electric dipole moment</t>
  </si>
  <si>
    <t>unité atomique de moment dipolaire électrique</t>
  </si>
  <si>
    <t>C.m</t>
  </si>
  <si>
    <t>auefld</t>
  </si>
  <si>
    <t>atomic unit of electric field</t>
  </si>
  <si>
    <t>V m^-1</t>
  </si>
  <si>
    <t>unité atomique de champ électrique</t>
  </si>
  <si>
    <t>V.m-1</t>
  </si>
  <si>
    <t>constant:AtomicUnitOfElectricField</t>
  </si>
  <si>
    <t>auefg</t>
  </si>
  <si>
    <t>atomic unit of electric field gradient</t>
  </si>
  <si>
    <t>V m^-2</t>
  </si>
  <si>
    <t>unité atomique de gradient de champ électrique</t>
  </si>
  <si>
    <t>V.m-2</t>
  </si>
  <si>
    <t>constant:AtomicUnitOfElectricFieldGradient</t>
  </si>
  <si>
    <t>auepol</t>
  </si>
  <si>
    <t>atomic unit of electric polarizability</t>
  </si>
  <si>
    <t>C^2 m^2 J^-1</t>
  </si>
  <si>
    <t>unité atomique de polarisabilité</t>
  </si>
  <si>
    <t>C2.m2.J-1</t>
  </si>
  <si>
    <t>constant:AtomicUnitOfElectricPolarizablity</t>
  </si>
  <si>
    <t>auep</t>
  </si>
  <si>
    <t>atomic unit of electric potential</t>
  </si>
  <si>
    <t>unité atomique de potentiel électrique</t>
  </si>
  <si>
    <t>constant:AtomicUnitOfElectricPotential</t>
  </si>
  <si>
    <t>aueqm</t>
  </si>
  <si>
    <t>atomic unit of electric quadrupole mom.</t>
  </si>
  <si>
    <t>C m^2</t>
  </si>
  <si>
    <t>atomic unit of electric quadrupole moment</t>
  </si>
  <si>
    <t>unité atomique de moment quadrupolaire électrique</t>
  </si>
  <si>
    <t>C.m2</t>
  </si>
  <si>
    <t>constant:AtomicUnitOfElectricQuadrupoleMoment</t>
  </si>
  <si>
    <t>thr</t>
  </si>
  <si>
    <t>atomic unit of energy</t>
  </si>
  <si>
    <t>unité atomique d'énergie</t>
  </si>
  <si>
    <t>constant:AtomicUnitOfEnergy</t>
  </si>
  <si>
    <t>auforce</t>
  </si>
  <si>
    <t>atomic unit of force</t>
  </si>
  <si>
    <t>N</t>
  </si>
  <si>
    <t>unité atomique de force</t>
  </si>
  <si>
    <t>constant:AtomicUnitOfForce</t>
  </si>
  <si>
    <t>tbohrrada0</t>
  </si>
  <si>
    <t>atomic unit of length</t>
  </si>
  <si>
    <t>unité atomique de longueur</t>
  </si>
  <si>
    <t>constant:AtomicUnitOfLength</t>
  </si>
  <si>
    <t>aumdm</t>
  </si>
  <si>
    <t>atomic unit of mag. dipole mom.</t>
  </si>
  <si>
    <t>J T^-1</t>
  </si>
  <si>
    <t>atomic unit of magnetic dipole moment</t>
  </si>
  <si>
    <t>unité atomique de moment dipolaire magnétique</t>
  </si>
  <si>
    <t>J.T-1</t>
  </si>
  <si>
    <t>constant:AtomicUnitOfMagneticDipoleMoment</t>
  </si>
  <si>
    <t>aumfd</t>
  </si>
  <si>
    <t>atomic unit of mag. flux density</t>
  </si>
  <si>
    <t>T</t>
  </si>
  <si>
    <t>unité atomique de densité de flux magnétique</t>
  </si>
  <si>
    <t>constant:AtomicUnitOfMagneticFluxDensity</t>
  </si>
  <si>
    <t>aumag</t>
  </si>
  <si>
    <t>atomic unit of magnetizability</t>
  </si>
  <si>
    <t>J T^-2</t>
  </si>
  <si>
    <t>unité atomique de magnétisabilité</t>
  </si>
  <si>
    <t>J.T-2</t>
  </si>
  <si>
    <t>constant:AtomicUnitOfMagnetizability</t>
  </si>
  <si>
    <t>ttme</t>
  </si>
  <si>
    <t>atomic unit of mass</t>
  </si>
  <si>
    <t>unité atomique de masse</t>
  </si>
  <si>
    <t>constant:AtomicUnitOfMass</t>
  </si>
  <si>
    <t>aumom</t>
  </si>
  <si>
    <t>atomic unit of momentum</t>
  </si>
  <si>
    <t>kg m s^-1</t>
  </si>
  <si>
    <t>atomic unit of moment</t>
  </si>
  <si>
    <t>unité atomique de moment</t>
  </si>
  <si>
    <t>kg.m.s-1</t>
  </si>
  <si>
    <t>constant:AtomicUnitOfMomentum</t>
  </si>
  <si>
    <t>auperm</t>
  </si>
  <si>
    <t>atomic unit of permittivity</t>
  </si>
  <si>
    <t>F m^-1</t>
  </si>
  <si>
    <t>unité atomique de permittivité</t>
  </si>
  <si>
    <t>F.m-1</t>
  </si>
  <si>
    <t>constant:AtomicUnitOfPermittivity</t>
  </si>
  <si>
    <t>aut</t>
  </si>
  <si>
    <t>atomic unit of time</t>
  </si>
  <si>
    <t>s</t>
  </si>
  <si>
    <t>unité atomique de temps</t>
  </si>
  <si>
    <t>constant:AtomicUnitOfTime</t>
  </si>
  <si>
    <t>auvel</t>
  </si>
  <si>
    <t>atomic unit of velocity</t>
  </si>
  <si>
    <t>m s^-1</t>
  </si>
  <si>
    <t>unité atomique de vitesse</t>
  </si>
  <si>
    <t>m.s-1</t>
  </si>
  <si>
    <t>constant:AtomicUnitOfVelocity</t>
  </si>
  <si>
    <t>na</t>
  </si>
  <si>
    <t>mol^-1</t>
  </si>
  <si>
    <t>constante d'Avogadro</t>
  </si>
  <si>
    <t>mol-1</t>
  </si>
  <si>
    <t>constant:AvogadroConstant</t>
  </si>
  <si>
    <t>mub</t>
  </si>
  <si>
    <t>Bohr magneton</t>
  </si>
  <si>
    <t>magnéton de Bohr</t>
  </si>
  <si>
    <t>constant:BohrMagneton</t>
  </si>
  <si>
    <t>mubev</t>
  </si>
  <si>
    <t>Bohr magneton in eV/T</t>
  </si>
  <si>
    <t>eV T^-1</t>
  </si>
  <si>
    <t>eV.T-1</t>
  </si>
  <si>
    <t>constant:BohrMagnetonInEVPerT</t>
  </si>
  <si>
    <t>mubshhz</t>
  </si>
  <si>
    <t>Bohr magneton in Hz/T</t>
  </si>
  <si>
    <t>Hz T^-1</t>
  </si>
  <si>
    <t>Hz.T-1</t>
  </si>
  <si>
    <t>constant:BohrMagnetonInHzPerT</t>
  </si>
  <si>
    <t>mubshcminv</t>
  </si>
  <si>
    <t>Bohr magneton in inverse meter per tesla</t>
  </si>
  <si>
    <t>m^-1 T^-1</t>
  </si>
  <si>
    <t>m-1.T-1</t>
  </si>
  <si>
    <t>constant:BohrMagnetonInInverseMetersPerTesla</t>
  </si>
  <si>
    <t>mubskk</t>
  </si>
  <si>
    <t>Bohr magneton in K/T</t>
  </si>
  <si>
    <t>K T^-1</t>
  </si>
  <si>
    <t>K.T-1</t>
  </si>
  <si>
    <t>constant:BohrMagnetonInKPerT</t>
  </si>
  <si>
    <t>bohrrada0</t>
  </si>
  <si>
    <t>Bohr radius</t>
  </si>
  <si>
    <t>rayon de Bohr</t>
  </si>
  <si>
    <t>constant:BohrRadius</t>
  </si>
  <si>
    <t>Boltzmann constant</t>
  </si>
  <si>
    <t>J K^-1</t>
  </si>
  <si>
    <t>constante de Boltzmann</t>
  </si>
  <si>
    <t>[k]</t>
  </si>
  <si>
    <t>J.K-1</t>
  </si>
  <si>
    <t>constant:BoltzmannConstant</t>
  </si>
  <si>
    <t>tkev</t>
  </si>
  <si>
    <t>Boltzmann constant in eV/K</t>
  </si>
  <si>
    <t>eV K^-1</t>
  </si>
  <si>
    <t>eV.K-1</t>
  </si>
  <si>
    <t>constant:BoltzmannConstantInEVPerK</t>
  </si>
  <si>
    <t>kshhz</t>
  </si>
  <si>
    <t>Boltzmann constant in Hz/K</t>
  </si>
  <si>
    <t>Hz K^-1</t>
  </si>
  <si>
    <t>Hz.K-1</t>
  </si>
  <si>
    <t>constant:BoltzmannConstantInHzPerK</t>
  </si>
  <si>
    <t>kshcminv</t>
  </si>
  <si>
    <t>Boltzmann constant in inverse meter per kelvin</t>
  </si>
  <si>
    <t>m^-1 K^-1</t>
  </si>
  <si>
    <t>m-1.K-1</t>
  </si>
  <si>
    <t>constant:BoltzmannConstantInInverseMetersPerKelvin</t>
  </si>
  <si>
    <t>z0</t>
  </si>
  <si>
    <t>characteristic impedance of vacuum</t>
  </si>
  <si>
    <t>ohm</t>
  </si>
  <si>
    <t>impédance caractéristique du vide</t>
  </si>
  <si>
    <t>Ohm</t>
  </si>
  <si>
    <t>constant:CharacteristicImpedanceOfVacuum</t>
  </si>
  <si>
    <t>re</t>
  </si>
  <si>
    <t>classical electron radius</t>
  </si>
  <si>
    <t>rayon classique de l'électron</t>
  </si>
  <si>
    <t>constant:ClassicalElectronRadius</t>
  </si>
  <si>
    <t>ecomwl</t>
  </si>
  <si>
    <t>Compton wavelength</t>
  </si>
  <si>
    <t>longueur d'onde de Compton</t>
  </si>
  <si>
    <t>constant:ComptonWavelength</t>
  </si>
  <si>
    <t>conqu2e2sh</t>
  </si>
  <si>
    <t>conductance quantum</t>
  </si>
  <si>
    <t>S</t>
  </si>
  <si>
    <t>quantum de conductance</t>
  </si>
  <si>
    <t>constant:ConductanceQuantum</t>
  </si>
  <si>
    <t>ampere90</t>
  </si>
  <si>
    <t>conventional value of ampere-90</t>
  </si>
  <si>
    <t>valeur conventionnelle de l'ampère-90</t>
  </si>
  <si>
    <t>charge90</t>
  </si>
  <si>
    <t>conventional value of coulomb-90</t>
  </si>
  <si>
    <t>valeur conventionnelle du coulomb-90</t>
  </si>
  <si>
    <t>capacitance90</t>
  </si>
  <si>
    <t>conventional value of farad-90</t>
  </si>
  <si>
    <t>F</t>
  </si>
  <si>
    <t>valeur conventionnelle du farad-90</t>
  </si>
  <si>
    <t>inductance90</t>
  </si>
  <si>
    <t>conventional value of henry-90</t>
  </si>
  <si>
    <t>H</t>
  </si>
  <si>
    <t>valeur conventionnelle de l'henry-90</t>
  </si>
  <si>
    <t>kj90</t>
  </si>
  <si>
    <t>conventional value of Josephson constant</t>
  </si>
  <si>
    <t>Hz V^-1</t>
  </si>
  <si>
    <t>valeur conventionnelle de la constante de Josephson-90</t>
  </si>
  <si>
    <t>Hz.V-1</t>
  </si>
  <si>
    <t>constant:ConventionalValueOfJosephsonConstant</t>
  </si>
  <si>
    <t>ohm90</t>
  </si>
  <si>
    <t>conventional value of ohm-90</t>
  </si>
  <si>
    <t>valeur conventionnelle de l'ohm-90</t>
  </si>
  <si>
    <t>volt90</t>
  </si>
  <si>
    <t>conventional value of volt-90</t>
  </si>
  <si>
    <t>valeur conventionnelle du volt-90</t>
  </si>
  <si>
    <t>rk90</t>
  </si>
  <si>
    <t>conventional value of von Klitzing constant</t>
  </si>
  <si>
    <t>conventional value of Von Klitzing constant</t>
  </si>
  <si>
    <t>valeur conventionnelle de la constante de Von Klitzing-90</t>
  </si>
  <si>
    <t>constant:ConventionalValueOfVonKlitzingConstant</t>
  </si>
  <si>
    <t>power90</t>
  </si>
  <si>
    <t>conventional value of watt-90</t>
  </si>
  <si>
    <t>W</t>
  </si>
  <si>
    <t>valeur conventionnelle du watt-90</t>
  </si>
  <si>
    <t>Copper x unit</t>
  </si>
  <si>
    <t>xucukalph1</t>
  </si>
  <si>
    <t>unité x du Cuivre</t>
  </si>
  <si>
    <t>constant:CuXUnit</t>
  </si>
  <si>
    <t>mudsmuem</t>
  </si>
  <si>
    <t>deuteron-electron mag. mom. ratio</t>
  </si>
  <si>
    <t>deuteron - electron magnetic moment ratio</t>
  </si>
  <si>
    <t>rapport du moment magnétique du deutéron à celui de l'électron</t>
  </si>
  <si>
    <t>constant:DeuteronElectronMagneticMomentRatio</t>
  </si>
  <si>
    <t>mdsme</t>
  </si>
  <si>
    <t>deuteron-electron mass ratio</t>
  </si>
  <si>
    <t>deuteron - electron mass ratio</t>
  </si>
  <si>
    <t>rapport de la masse du deutéron à celle de l'électron</t>
  </si>
  <si>
    <t>constant:DeuteronElectronMassRatio</t>
  </si>
  <si>
    <t>gdn</t>
  </si>
  <si>
    <t>deuteron g factor</t>
  </si>
  <si>
    <t>facteur de Landé du deutéron</t>
  </si>
  <si>
    <t>constant:DeuteronGFactor</t>
  </si>
  <si>
    <t>mud</t>
  </si>
  <si>
    <t>deuteron mag. mom.</t>
  </si>
  <si>
    <t>deuteron magnetic moment</t>
  </si>
  <si>
    <t>moment magnétique du deutéron</t>
  </si>
  <si>
    <t>constant:DeuteronMagneticMoment</t>
  </si>
  <si>
    <t>mudsmub</t>
  </si>
  <si>
    <t>deuteron mag. mom. to Bohr magneton ratio</t>
  </si>
  <si>
    <t>deuteron magnetic moment to Bohr magneton ratio</t>
  </si>
  <si>
    <t>rapport du moment magnétique du deutéron au magnéton de Bohr électronique</t>
  </si>
  <si>
    <t>constant:DeuteronMagneticMomentToBohrMagnetonRatio</t>
  </si>
  <si>
    <t>mudsmun</t>
  </si>
  <si>
    <t>deuteron mag. mom. to nuclear magneton ratio</t>
  </si>
  <si>
    <t>deuteron magnetic moment to nuclear magneton ratio</t>
  </si>
  <si>
    <t>rapport du moment magnétique du deutéron au magnéton de Bohr nucléaire</t>
  </si>
  <si>
    <t>constant:DeuteronMagneticMomentToNuclearMagnetonRatio</t>
  </si>
  <si>
    <t>md</t>
  </si>
  <si>
    <t>deuteron mass</t>
  </si>
  <si>
    <t>masse du deutéron</t>
  </si>
  <si>
    <t>constant:DeuteronMass</t>
  </si>
  <si>
    <t>mdc2</t>
  </si>
  <si>
    <t>deuteron mass energy equivalent</t>
  </si>
  <si>
    <t>énergie de masse du deutéron</t>
  </si>
  <si>
    <t>constant:DeuteronMassEnergyEquivalent</t>
  </si>
  <si>
    <t>mdc2mev</t>
  </si>
  <si>
    <t>deuteron mass energy equivalent in MeV</t>
  </si>
  <si>
    <t>constant:DeuteronMassEnergyEquivalentInMeV</t>
  </si>
  <si>
    <t>mdu</t>
  </si>
  <si>
    <t>deuteron mass in u</t>
  </si>
  <si>
    <t>constant:DeuteronMassInAtomicMassUnit</t>
  </si>
  <si>
    <t>mmd</t>
  </si>
  <si>
    <t>deuteron molar mass</t>
  </si>
  <si>
    <t>masse molaire du deutéron</t>
  </si>
  <si>
    <t>constant:DeuteronMolarMass</t>
  </si>
  <si>
    <t>mudsmunn</t>
  </si>
  <si>
    <t>deuteron-neutron mag. mom. ratio</t>
  </si>
  <si>
    <t>deuteron - neutron magnetic moment ratio</t>
  </si>
  <si>
    <t>rapport du moment magnétique du deutéron à celui du neutron</t>
  </si>
  <si>
    <t>constant:DeuteronNeutronMagneticMomentRatio</t>
  </si>
  <si>
    <t>mudsmup</t>
  </si>
  <si>
    <t>deuteron-proton mag. mom. ratio</t>
  </si>
  <si>
    <t>deuteron - proton magnetic moment ratio</t>
  </si>
  <si>
    <t>rapport du moment magnétique du deutéron à celui du proton</t>
  </si>
  <si>
    <t>constant:DeuteronProtonMagneticMomentRatio</t>
  </si>
  <si>
    <t>mdsmp</t>
  </si>
  <si>
    <t>deuteron-proton mass ratio</t>
  </si>
  <si>
    <t>deuteron - proton mass ratio</t>
  </si>
  <si>
    <t>rapport de la masse du deutéron à celle du proton</t>
  </si>
  <si>
    <t>constant:DeuteronProtonMassRatio</t>
  </si>
  <si>
    <t>ard</t>
  </si>
  <si>
    <t>deuteron relative atomic mass</t>
  </si>
  <si>
    <t>masse atomique relative du deutéron</t>
  </si>
  <si>
    <t>rd</t>
  </si>
  <si>
    <t>deuteron rms charge radius</t>
  </si>
  <si>
    <t>rayon de charge effectif du deutéron</t>
  </si>
  <si>
    <t>constant:DeuteronRmsChargeRadius</t>
  </si>
  <si>
    <t>esme</t>
  </si>
  <si>
    <t>electron charge to mass quotient</t>
  </si>
  <si>
    <t>C kg^-1</t>
  </si>
  <si>
    <t>rapport de la charge à la masse de l'électron</t>
  </si>
  <si>
    <t>C.kg-1</t>
  </si>
  <si>
    <t>constant:ElectronChargeToMassQuotient</t>
  </si>
  <si>
    <t>muemsmud</t>
  </si>
  <si>
    <t>electron-deuteron mag. mom. ratio</t>
  </si>
  <si>
    <t>electron - deuteron magnetic moment ratio</t>
  </si>
  <si>
    <t>rapport du moment magnétique de l'électron à celui du proton</t>
  </si>
  <si>
    <t>constant:ElectronDeuteronMagneticMomentRatio</t>
  </si>
  <si>
    <t>mesmd</t>
  </si>
  <si>
    <t>electron-deuteron mass ratio</t>
  </si>
  <si>
    <t>electron - deuteron mass ratio</t>
  </si>
  <si>
    <t>rapport de la masse de l'électron à celle du deutéron</t>
  </si>
  <si>
    <t>constant:ElectronDeuteronMassRatio</t>
  </si>
  <si>
    <t>gem</t>
  </si>
  <si>
    <t>electron g factor</t>
  </si>
  <si>
    <t>facteur de landé de l'électron</t>
  </si>
  <si>
    <t>constant:ElectronGFactor</t>
  </si>
  <si>
    <t>gammae</t>
  </si>
  <si>
    <t>electron gyromag. ratio</t>
  </si>
  <si>
    <t>s^-1 T^-1</t>
  </si>
  <si>
    <t>electron gyromagnetic ratio</t>
  </si>
  <si>
    <t>rapport gyromagnétique de l'électron</t>
  </si>
  <si>
    <t>s-1.T-1</t>
  </si>
  <si>
    <t>constant:ElectronGyromagneticRatio</t>
  </si>
  <si>
    <t>electron gyromag. ratio over 2 pi</t>
  </si>
  <si>
    <t>gammaebar</t>
  </si>
  <si>
    <t>electron gyromag. ratio in MHz/T</t>
  </si>
  <si>
    <t>MHz T^-1</t>
  </si>
  <si>
    <t>electron gyromagnetic ratio over 2 pi</t>
  </si>
  <si>
    <t>rapport gyromagnétique réduit de l'électron</t>
  </si>
  <si>
    <t>MHz.T-1</t>
  </si>
  <si>
    <t>constant:ElectronGyromagneticRatioOver2Pi</t>
  </si>
  <si>
    <t>mesmh</t>
  </si>
  <si>
    <t>electron-helion mass ratio</t>
  </si>
  <si>
    <t>electron - helion mass ratio</t>
  </si>
  <si>
    <t>rapport de la masse de l'hélion à celle de l'électron</t>
  </si>
  <si>
    <t>muem</t>
  </si>
  <si>
    <t>electron mag. mom.</t>
  </si>
  <si>
    <t>electron magnetic moment</t>
  </si>
  <si>
    <t>moment magnétique de l'électron</t>
  </si>
  <si>
    <t>constant:ElectronMagneticMoment</t>
  </si>
  <si>
    <t>ae</t>
  </si>
  <si>
    <t>electron mag. mom. anomaly</t>
  </si>
  <si>
    <t>electron magnetic moment anomaly</t>
  </si>
  <si>
    <t>moment magnétique anomal de l'électron</t>
  </si>
  <si>
    <t>constant:ElectronMagneticMomentAnomaly</t>
  </si>
  <si>
    <t>muemsmub</t>
  </si>
  <si>
    <t>electron mag. mom. to Bohr magneton ratio</t>
  </si>
  <si>
    <t>electron magnetic moment to Bohr magneton ratio</t>
  </si>
  <si>
    <t>rapport du moment magnétique de l'électron au magnéton de Bohr électronique</t>
  </si>
  <si>
    <t>constant:ElectronMagneticMomentToBohrMagnetonRatio</t>
  </si>
  <si>
    <t>muemsmun</t>
  </si>
  <si>
    <t>electron mag. mom. to nuclear magneton ratio</t>
  </si>
  <si>
    <t>electron magnetic moment to nuclear magneton ratio</t>
  </si>
  <si>
    <t>rapport du moment magnétique de l'électron au magnéton de Bohr nucléaire</t>
  </si>
  <si>
    <t>constant:ElectronMagneticMomentToNuclearMagnetonRatio</t>
  </si>
  <si>
    <t>me</t>
  </si>
  <si>
    <t>electron mass</t>
  </si>
  <si>
    <t>masse de l'électron</t>
  </si>
  <si>
    <t>[m_e]</t>
  </si>
  <si>
    <t>constant:ElectronMass</t>
  </si>
  <si>
    <t>mec2</t>
  </si>
  <si>
    <t>electron mass energy equivalent</t>
  </si>
  <si>
    <t>énergie de masse de l'électron</t>
  </si>
  <si>
    <t>constant:ElectronMassEnergyEquivalent</t>
  </si>
  <si>
    <t>mec2mev</t>
  </si>
  <si>
    <t>electron mass energy equivalent in MeV</t>
  </si>
  <si>
    <t>constant:ElectronMassEnergyEquivalentInMeV</t>
  </si>
  <si>
    <t>meu</t>
  </si>
  <si>
    <t>electron mass in u</t>
  </si>
  <si>
    <t>constant:ElectronMassInAtomicMassUnit</t>
  </si>
  <si>
    <t>mme</t>
  </si>
  <si>
    <t>electron molar mass</t>
  </si>
  <si>
    <t>masse molaire de l'électron</t>
  </si>
  <si>
    <t>constant:ElectronMolarMass</t>
  </si>
  <si>
    <t>muemsmumum</t>
  </si>
  <si>
    <t>electron-muon mag. mom. ratio</t>
  </si>
  <si>
    <t>electron - muon magnetic moment ratio</t>
  </si>
  <si>
    <t>rapport du moment magnétique de l'électron à celui du muon</t>
  </si>
  <si>
    <t>constant:ElectronMuonMagneticMomentRatio</t>
  </si>
  <si>
    <t>mesmmu</t>
  </si>
  <si>
    <t>electron-muon mass ratio</t>
  </si>
  <si>
    <t>electron - muon mass ratio</t>
  </si>
  <si>
    <t>rapport de la masse de l'électron à celle du muon</t>
  </si>
  <si>
    <t>constant:ElectronMuonMassRatio</t>
  </si>
  <si>
    <t>muemsmunn</t>
  </si>
  <si>
    <t>electron-neutron mag. mom. ratio</t>
  </si>
  <si>
    <t>electron - neutron magnetic moment ratio</t>
  </si>
  <si>
    <t>rapport du moment magnétique de l'électron à celui du neutron</t>
  </si>
  <si>
    <t>constant:ElectronNeutronMagneticMomentRatio</t>
  </si>
  <si>
    <t>mesmn</t>
  </si>
  <si>
    <t>electron-neutron mass ratio</t>
  </si>
  <si>
    <t>electron - neutron mass ratio</t>
  </si>
  <si>
    <t>rapport de la masse de l'électron à celle du neutron</t>
  </si>
  <si>
    <t>constant:ElectronNeutronMassRatio</t>
  </si>
  <si>
    <t>muemsmup</t>
  </si>
  <si>
    <t>electron-proton mag. mom. ratio</t>
  </si>
  <si>
    <t>electron - proton magnetic moment ratio</t>
  </si>
  <si>
    <t>rapport du moment magnétique de l'électron à celui du protron</t>
  </si>
  <si>
    <t>constant:ElectronProtonMagneticMomentRatio</t>
  </si>
  <si>
    <t>mesmp</t>
  </si>
  <si>
    <t>electron-proton mass ratio</t>
  </si>
  <si>
    <t>electron - proton mass ratio</t>
  </si>
  <si>
    <t>rapport de la masse de l'électron à celle du protron</t>
  </si>
  <si>
    <t>constant:ElectronProtonMassRatio</t>
  </si>
  <si>
    <t>are</t>
  </si>
  <si>
    <t>electron relative atomic mass</t>
  </si>
  <si>
    <t>masse atomique relative de l'électron</t>
  </si>
  <si>
    <t>mesmtau</t>
  </si>
  <si>
    <t>electron-tau mass ratio</t>
  </si>
  <si>
    <t>rapport de la masse de l'électron à celle du tau</t>
  </si>
  <si>
    <t>constant:ElectronTauMassRatio</t>
  </si>
  <si>
    <t>mesmalpha</t>
  </si>
  <si>
    <t>electron to alpha particle mass ratio</t>
  </si>
  <si>
    <t>rapport de la masse de l'électron à celle de la particule alpha</t>
  </si>
  <si>
    <t>constant:ElectronToAlphaParticleMassRatio</t>
  </si>
  <si>
    <t>muemsmuhp</t>
  </si>
  <si>
    <t>electron to shielded helion mag. mom. ratio</t>
  </si>
  <si>
    <t>electron to shielded helion magnetic moment ratio</t>
  </si>
  <si>
    <t>rapport du moment magnétique de l'électron à celui de l'hélion écranté</t>
  </si>
  <si>
    <t>constant:ElectronToShieldedHelionMagneticMomentRatio</t>
  </si>
  <si>
    <t>muemsmupp</t>
  </si>
  <si>
    <t>electron to shielded proton mag. mom. ratio</t>
  </si>
  <si>
    <t>electron to shielded proton magnetic moment ratio</t>
  </si>
  <si>
    <t>rapport du moment magnétique de l'électron à celui du proton écranté</t>
  </si>
  <si>
    <t>constant:ElectronToShieldedProtonMagneticMomentRatio</t>
  </si>
  <si>
    <t>mesmt</t>
  </si>
  <si>
    <t>electron-triton mass ratio</t>
  </si>
  <si>
    <t>electron - triton mass ratio</t>
  </si>
  <si>
    <t>rapport de la masse de l'électron à celle du triton</t>
  </si>
  <si>
    <t>tevj</t>
  </si>
  <si>
    <t>electron volt</t>
  </si>
  <si>
    <t>electronvolt</t>
  </si>
  <si>
    <t>électronvolt</t>
  </si>
  <si>
    <t>evu</t>
  </si>
  <si>
    <t>ev90u</t>
  </si>
  <si>
    <t>electron volt-atomic mass unit relationship</t>
  </si>
  <si>
    <t>electronvolt - atomic mass unit relationship</t>
  </si>
  <si>
    <t>relation entre l'électronvolt et l'unité de masse atomique</t>
  </si>
  <si>
    <t>constant:ElectronVoltAtomicMassUnitRelationship</t>
  </si>
  <si>
    <t>evhr</t>
  </si>
  <si>
    <t>ev90hr</t>
  </si>
  <si>
    <t>electron volt-hartree relationship</t>
  </si>
  <si>
    <t>electronvolt - hartree relationship</t>
  </si>
  <si>
    <t>relation entre l'électronvolt et le hartree</t>
  </si>
  <si>
    <t>constant:ElectronVoltHartreeRelationship</t>
  </si>
  <si>
    <t>evhz</t>
  </si>
  <si>
    <t>ev90hz</t>
  </si>
  <si>
    <t>electron volt-hertz relationship</t>
  </si>
  <si>
    <t>electronvolt - hertz relationship</t>
  </si>
  <si>
    <t>relation entre l'électronvolt et le hertz</t>
  </si>
  <si>
    <t>constant:ElectronVoltHertzRelationship</t>
  </si>
  <si>
    <t>evminv</t>
  </si>
  <si>
    <t>ev90minv</t>
  </si>
  <si>
    <t>electron volt-inverse meter relationship</t>
  </si>
  <si>
    <t>electronvolt - inverse meter relationship</t>
  </si>
  <si>
    <t>relation entre l'électronvolt et l'inverse du mètre</t>
  </si>
  <si>
    <t>constant:ElectronVoltInverseMeterRelationship</t>
  </si>
  <si>
    <t>evj</t>
  </si>
  <si>
    <t>ev90j</t>
  </si>
  <si>
    <t>electron volt-joule relationship</t>
  </si>
  <si>
    <t>electronvolt - joule relationship</t>
  </si>
  <si>
    <t>relation entre l'électronvolt et le joule</t>
  </si>
  <si>
    <t>constant:ElectronVoltJouleRelationship</t>
  </si>
  <si>
    <t>evk</t>
  </si>
  <si>
    <t>ev90k</t>
  </si>
  <si>
    <t>electron volt-kelvin relationship</t>
  </si>
  <si>
    <t>electronvolt - kelvin relationship</t>
  </si>
  <si>
    <t>relation entre l'électronvolt et le kelvin</t>
  </si>
  <si>
    <t>constant:ElectronVoltKelvinRelationship</t>
  </si>
  <si>
    <t>evkg</t>
  </si>
  <si>
    <t>ev90kg</t>
  </si>
  <si>
    <t>electron volt-kilogram relationship</t>
  </si>
  <si>
    <t>electronvolt - kilogram relationship</t>
  </si>
  <si>
    <t>relation entre l'électronvolt et le kilogramme</t>
  </si>
  <si>
    <t>constant:ElectronVoltKilogramRelationship</t>
  </si>
  <si>
    <t>elementary charge</t>
  </si>
  <si>
    <t>charge élémentaire</t>
  </si>
  <si>
    <t>constant:ElementaryCharge</t>
  </si>
  <si>
    <t>eshbar</t>
  </si>
  <si>
    <t>esh</t>
  </si>
  <si>
    <t>elementary charge over h-bar</t>
  </si>
  <si>
    <t>A J^-1</t>
  </si>
  <si>
    <t>rapport entre la charge élémentaire et la constante de Planck réduite</t>
  </si>
  <si>
    <t>A.J-1</t>
  </si>
  <si>
    <t>constant:ElementaryChargeOverH</t>
  </si>
  <si>
    <t>f</t>
  </si>
  <si>
    <t>Faraday constant</t>
  </si>
  <si>
    <t>C mol^-1</t>
  </si>
  <si>
    <t>constante de Faraday</t>
  </si>
  <si>
    <t>C.mol-1</t>
  </si>
  <si>
    <t>constant:FaradayConstant</t>
  </si>
  <si>
    <t>f90</t>
  </si>
  <si>
    <t>Faraday constant for conventional electric current</t>
  </si>
  <si>
    <t>C_90 mol^-1</t>
  </si>
  <si>
    <t>FaradayConstantConventionalElectricCurrent</t>
  </si>
  <si>
    <t>constante de Faraday en unité de courant électrique conventionnelle - 90</t>
  </si>
  <si>
    <t>gf</t>
  </si>
  <si>
    <t>Fermi coupling constant</t>
  </si>
  <si>
    <t>GeV^-2</t>
  </si>
  <si>
    <t>constante de couplage de Fermi</t>
  </si>
  <si>
    <t>GeV-12</t>
  </si>
  <si>
    <t>constant:FermiCouplingConstant</t>
  </si>
  <si>
    <t>alph</t>
  </si>
  <si>
    <t>fine-structure constant</t>
  </si>
  <si>
    <t>constante de structure fine</t>
  </si>
  <si>
    <t>constant:FineStructureConstant</t>
  </si>
  <si>
    <t>c11strc</t>
  </si>
  <si>
    <t>first radiation constant</t>
  </si>
  <si>
    <t>W m^2</t>
  </si>
  <si>
    <t>première constante radiative</t>
  </si>
  <si>
    <t>W.m2</t>
  </si>
  <si>
    <t>constant:FirstRadiationConstant</t>
  </si>
  <si>
    <t>c1l</t>
  </si>
  <si>
    <t>first radiation constant for spectral radiance</t>
  </si>
  <si>
    <t>W m^2 sr^-1</t>
  </si>
  <si>
    <t>deuxième constante radiative</t>
  </si>
  <si>
    <t>W.m2.sr-1</t>
  </si>
  <si>
    <t>constant:FirstRadiationConstantForSpectralRadiance</t>
  </si>
  <si>
    <t>hru</t>
  </si>
  <si>
    <t>hartree-atomic mass unit relationship</t>
  </si>
  <si>
    <t>hartree - atomic mass unit relationship</t>
  </si>
  <si>
    <t>relation entre le hartree et l'unité de masse atomique</t>
  </si>
  <si>
    <t>constant:HartreeAtomicMassUnitRelationship</t>
  </si>
  <si>
    <t>hrev</t>
  </si>
  <si>
    <t>hrev90</t>
  </si>
  <si>
    <t>hartree-electron volt relationship</t>
  </si>
  <si>
    <t>hartree - electronvolt relationship</t>
  </si>
  <si>
    <t>relation entre le hartree et l'électronvolt</t>
  </si>
  <si>
    <t>constant:HartreeElectronVoltRelationship</t>
  </si>
  <si>
    <t>hr</t>
  </si>
  <si>
    <t>Hartree energy</t>
  </si>
  <si>
    <t>énergie de Hartree</t>
  </si>
  <si>
    <t>constant:HartreeEnergy</t>
  </si>
  <si>
    <t>threv</t>
  </si>
  <si>
    <t>Hartree energy in eV</t>
  </si>
  <si>
    <t>constant:HartreeEnergyInEV</t>
  </si>
  <si>
    <t>hrhz</t>
  </si>
  <si>
    <t>hartree-hertz relationship</t>
  </si>
  <si>
    <t>hartree - hertz relationship</t>
  </si>
  <si>
    <t>relation entre le hartree et le hertz</t>
  </si>
  <si>
    <t>constant:HartreeHertzRelationship</t>
  </si>
  <si>
    <t>hrminv</t>
  </si>
  <si>
    <t>hartree-inverse meter relationship</t>
  </si>
  <si>
    <t>hartree - inverse meter relationship</t>
  </si>
  <si>
    <t>relation entre le hartree et l'inverse du mètre</t>
  </si>
  <si>
    <t>constant:HartreeInverseMeterRelationship</t>
  </si>
  <si>
    <t>hrj</t>
  </si>
  <si>
    <t>hartree-joule relationship</t>
  </si>
  <si>
    <t>hartree - joule relationship</t>
  </si>
  <si>
    <t>relation entre le hartree et le joule</t>
  </si>
  <si>
    <t>constant:HartreeJouleRelationship</t>
  </si>
  <si>
    <t>hrk</t>
  </si>
  <si>
    <t>hartree-kelvin relationship</t>
  </si>
  <si>
    <t>hartree - kelvin relationship</t>
  </si>
  <si>
    <t>relation entre le hartree et le kelvin</t>
  </si>
  <si>
    <t>constant:HartreeKelvinRelationship</t>
  </si>
  <si>
    <t>hrkg</t>
  </si>
  <si>
    <t>hartree-kilogram relationship</t>
  </si>
  <si>
    <t>hartree - kilogram relationship</t>
  </si>
  <si>
    <t>relation entre le hartree et le kilogramme</t>
  </si>
  <si>
    <t>constant:HartreeKilogramRelationship</t>
  </si>
  <si>
    <t>mhsme</t>
  </si>
  <si>
    <t>helion-electron mass ratio</t>
  </si>
  <si>
    <t>constant:HelionElectronMassRatio</t>
  </si>
  <si>
    <t>ghn</t>
  </si>
  <si>
    <t>helion g factor</t>
  </si>
  <si>
    <t>facteur de Landé de l'hélion</t>
  </si>
  <si>
    <t>muh</t>
  </si>
  <si>
    <t>helion mag. mom.</t>
  </si>
  <si>
    <t>helion magnetic moment</t>
  </si>
  <si>
    <t>moment magnétique de l'hélion</t>
  </si>
  <si>
    <t>muhsmub</t>
  </si>
  <si>
    <t>helion mag. mom. to Bohr magneton ratio</t>
  </si>
  <si>
    <t>helion magnetic moment to Bohr magneton ratio</t>
  </si>
  <si>
    <t>rapport du moment magnétique de l'hélion au magnéton de Bohr électronique</t>
  </si>
  <si>
    <t>muhsmun</t>
  </si>
  <si>
    <t>helion mag. mom. to nuclear magneton ratio</t>
  </si>
  <si>
    <t>helion magnetic moment to nuclear magneton ratio</t>
  </si>
  <si>
    <t>rapport du moment magnétique de l'hélion au magnéton de Bohr nucléaire</t>
  </si>
  <si>
    <t>mh</t>
  </si>
  <si>
    <t>helion mass</t>
  </si>
  <si>
    <t>masse de l'hélion</t>
  </si>
  <si>
    <t>constant:HelionMass</t>
  </si>
  <si>
    <t>mhc2</t>
  </si>
  <si>
    <t>helion mass energy equivalent</t>
  </si>
  <si>
    <t>énergie de masse de l'hélion</t>
  </si>
  <si>
    <t>constant:HelionMassEnergyEquivalent</t>
  </si>
  <si>
    <t>mhc2mev</t>
  </si>
  <si>
    <t>helion mass energy equivalent in MeV</t>
  </si>
  <si>
    <t>constant:HelionMassEnergyEquivalentInMeV</t>
  </si>
  <si>
    <t>mhu</t>
  </si>
  <si>
    <t>helion mass in u</t>
  </si>
  <si>
    <t>constant:HelionMassInAtomicMassUnit</t>
  </si>
  <si>
    <t>mmh</t>
  </si>
  <si>
    <t>helion molar mass</t>
  </si>
  <si>
    <t>masse molaire de l'hélion</t>
  </si>
  <si>
    <t>constant:HelionMolarMass</t>
  </si>
  <si>
    <t>mhsmp</t>
  </si>
  <si>
    <t>helion-proton mass ratio</t>
  </si>
  <si>
    <t>rapport de la masse de l'hélion à celle du proton</t>
  </si>
  <si>
    <t>constant:HelionProtonMassRatio</t>
  </si>
  <si>
    <t>arh</t>
  </si>
  <si>
    <t>helion relative atomic mass</t>
  </si>
  <si>
    <t>masse atomique relative de l'hélion</t>
  </si>
  <si>
    <t>sigmah</t>
  </si>
  <si>
    <t>helion shielding shift</t>
  </si>
  <si>
    <t>décalage de l'hélion écranté</t>
  </si>
  <si>
    <t>hzu</t>
  </si>
  <si>
    <t>hertz-atomic mass unit relationship</t>
  </si>
  <si>
    <t>hertz - atomic mass unit relationship</t>
  </si>
  <si>
    <t>relation entre le hertz et l'unité de masse atomique</t>
  </si>
  <si>
    <t>constant:HertzAtomicMassUnitRelationship</t>
  </si>
  <si>
    <t>hzev</t>
  </si>
  <si>
    <t>hzev90</t>
  </si>
  <si>
    <t>hertz-electron volt relationship</t>
  </si>
  <si>
    <t>hertz - electronvolt relationship</t>
  </si>
  <si>
    <t>relation entre le hertz et l'électronvolt</t>
  </si>
  <si>
    <t>constant:HertzElectronVoltRelationship</t>
  </si>
  <si>
    <t>hzhr</t>
  </si>
  <si>
    <t>hertz-hartree relationship</t>
  </si>
  <si>
    <t>hertz - hartree relationship</t>
  </si>
  <si>
    <t>relation entre le hertz et le hartree</t>
  </si>
  <si>
    <t>constant:HertzHartreeRelationship</t>
  </si>
  <si>
    <t>hzminv</t>
  </si>
  <si>
    <t>hertz-inverse meter relationship</t>
  </si>
  <si>
    <t>hertz - inverse meter relationship</t>
  </si>
  <si>
    <t>relation entre le hertz et l'inverse du mètre</t>
  </si>
  <si>
    <t>constant:HertzInverseMeterRelationship</t>
  </si>
  <si>
    <t>hzj</t>
  </si>
  <si>
    <t>hertz-joule relationship</t>
  </si>
  <si>
    <t>hertz - joule relationship</t>
  </si>
  <si>
    <t>relation entre le hertz et le joule</t>
  </si>
  <si>
    <t>constant:HertzJouleRelationship</t>
  </si>
  <si>
    <t>hzk</t>
  </si>
  <si>
    <t>hertz-kelvin relationship</t>
  </si>
  <si>
    <t>hertz - kelvin relationship</t>
  </si>
  <si>
    <t>relation entre le hertz et le kelvin</t>
  </si>
  <si>
    <t>constant:HertzKelvinRelationship</t>
  </si>
  <si>
    <t>hzkg</t>
  </si>
  <si>
    <t>hertz-kilogram relationship</t>
  </si>
  <si>
    <t>hertz - kilogram relationship</t>
  </si>
  <si>
    <t>relation entre le hertz et le kilogramme</t>
  </si>
  <si>
    <t>constant:HertzKilogramRelationship</t>
  </si>
  <si>
    <t>nucs</t>
  </si>
  <si>
    <t>hyperfine transition frequency of Cs-133</t>
  </si>
  <si>
    <t>fréquence de transition hyperfine du Cs133</t>
  </si>
  <si>
    <t>alphinv</t>
  </si>
  <si>
    <t>inverse fine-structure constant</t>
  </si>
  <si>
    <t>inverse de la constante de structure fine</t>
  </si>
  <si>
    <t>constant:InverseFineStructureConstant</t>
  </si>
  <si>
    <t>minvu</t>
  </si>
  <si>
    <t>inverse meter-atomic mass unit relationship</t>
  </si>
  <si>
    <t>inverse meter - atomic mass unit relationship</t>
  </si>
  <si>
    <t>relation entre l'inverse du mètre et l'unité de masse atomique</t>
  </si>
  <si>
    <t>constant:InverseMeterAtomicMassUnitRelationship</t>
  </si>
  <si>
    <t>minvev</t>
  </si>
  <si>
    <t>minvev90</t>
  </si>
  <si>
    <t>inverse meter-electron volt relationship</t>
  </si>
  <si>
    <t>inverse meter - electronvolt relationship</t>
  </si>
  <si>
    <t>relation entre l'inverse du mètre et l'électronvolt</t>
  </si>
  <si>
    <t>constant:InverseMeterElectronVoltRelationship</t>
  </si>
  <si>
    <t>minvhr</t>
  </si>
  <si>
    <t>inverse meter-hartree relationship</t>
  </si>
  <si>
    <t>relation entre l'inverse du mètre et le hartree</t>
  </si>
  <si>
    <t>constant:InverseMeterHartreeRelationship</t>
  </si>
  <si>
    <t>minvhz</t>
  </si>
  <si>
    <t>inverse meter-hertz relationship</t>
  </si>
  <si>
    <t>inverse meter - hertz relationship</t>
  </si>
  <si>
    <t>relation entre l'inverse du mètre et le hertz</t>
  </si>
  <si>
    <t>constant:InverseMeterHertzRelationship</t>
  </si>
  <si>
    <t>minvj</t>
  </si>
  <si>
    <t>inverse meter-joule relationship</t>
  </si>
  <si>
    <t>inverse meter - joule relationship</t>
  </si>
  <si>
    <t>relation entre l'inverse du mètre et le joule</t>
  </si>
  <si>
    <t>constant:InverseMeterJouleRelationship</t>
  </si>
  <si>
    <t>minvk</t>
  </si>
  <si>
    <t>inverse meter-kelvin relationship</t>
  </si>
  <si>
    <t>inverse meter - kelvin relationship</t>
  </si>
  <si>
    <t>relation entre l'inverse du mètre et le kelvin</t>
  </si>
  <si>
    <t>constant:InverseMeterKelvinRelationship</t>
  </si>
  <si>
    <t>minvkg</t>
  </si>
  <si>
    <t>inverse meter-kilogram relationship</t>
  </si>
  <si>
    <t>inverse meter - kilogram relationship</t>
  </si>
  <si>
    <t>relation entre l'inverse du mètre et le kilogramme</t>
  </si>
  <si>
    <t>constant:InverseMeterKilogramRelationship</t>
  </si>
  <si>
    <t>invconqu</t>
  </si>
  <si>
    <t>inverse of conductance quantum</t>
  </si>
  <si>
    <t>inverse du quantum de conductance</t>
  </si>
  <si>
    <t>constant:InverseOfConductanceQuantum</t>
  </si>
  <si>
    <t>kjos</t>
  </si>
  <si>
    <t>Josephson constant</t>
  </si>
  <si>
    <t>constante de Josephson</t>
  </si>
  <si>
    <t>constant:JosephsonConstant</t>
  </si>
  <si>
    <t>ju</t>
  </si>
  <si>
    <t>joule-atomic mass unit relationship</t>
  </si>
  <si>
    <t>joule - atomic mass unit relationship</t>
  </si>
  <si>
    <t>relation entre le joule et l'unité de masse atomique</t>
  </si>
  <si>
    <t>constant:JouleAtomicMassUnitRelationship</t>
  </si>
  <si>
    <t>jev</t>
  </si>
  <si>
    <t>jev90</t>
  </si>
  <si>
    <t>joule-electron volt relationship</t>
  </si>
  <si>
    <t>joule - electronvolt relationship</t>
  </si>
  <si>
    <t>relation entre le joule et l'électronvolt</t>
  </si>
  <si>
    <t>constant:JouleElectronVoltRelationship</t>
  </si>
  <si>
    <t>jhr</t>
  </si>
  <si>
    <t>joule-hartree relationship</t>
  </si>
  <si>
    <t>joule - hartree relationship</t>
  </si>
  <si>
    <t>relation entre le joule et le hartree</t>
  </si>
  <si>
    <t>constant:JouleHartreeRelationship</t>
  </si>
  <si>
    <t>jhz</t>
  </si>
  <si>
    <t>joule-hertz relationship</t>
  </si>
  <si>
    <t>joule - hertz relationship</t>
  </si>
  <si>
    <t>relation entre le joule et le hertz</t>
  </si>
  <si>
    <t>constant:JouleHertzRelationship</t>
  </si>
  <si>
    <t>jminv</t>
  </si>
  <si>
    <t>joule-inverse meter relationship</t>
  </si>
  <si>
    <t>joule - inverse meter relationship</t>
  </si>
  <si>
    <t>relation entre le joule et l'inverse du mètre</t>
  </si>
  <si>
    <t>constant:JouleInverseMeterRelationship</t>
  </si>
  <si>
    <t>jk</t>
  </si>
  <si>
    <t>joule-kelvin relationship</t>
  </si>
  <si>
    <t>joule - kelvin relationship</t>
  </si>
  <si>
    <t>relation entre le joule et le kelvin</t>
  </si>
  <si>
    <t>constant:JouleKelvinRelationship</t>
  </si>
  <si>
    <t>jkg</t>
  </si>
  <si>
    <t>joule-kilogram relationship</t>
  </si>
  <si>
    <t>joule - kilogram relationship</t>
  </si>
  <si>
    <t>relation entre le joule et le kilogramme</t>
  </si>
  <si>
    <t>constant:JouleKilogramRelationship</t>
  </si>
  <si>
    <t>ku</t>
  </si>
  <si>
    <t>kelvin-atomic mass unit relationship</t>
  </si>
  <si>
    <t>kelvin - atomic mass unit relationship</t>
  </si>
  <si>
    <t>relation entre le kelvin et l'unité de masse atomique</t>
  </si>
  <si>
    <t>constant:KelvinAtomicMassUnitRelationship</t>
  </si>
  <si>
    <t>kev</t>
  </si>
  <si>
    <t>kev90</t>
  </si>
  <si>
    <t>kelvin-electron volt relationship</t>
  </si>
  <si>
    <t>kelvin - electronvolt relationship</t>
  </si>
  <si>
    <t>relation entre le kelvin et l'électronvolt</t>
  </si>
  <si>
    <t>constant:KelvinElectronVoltRelationship</t>
  </si>
  <si>
    <t>khr</t>
  </si>
  <si>
    <t>kelvin-hartree relationship</t>
  </si>
  <si>
    <t>kelvin - hartree relationship</t>
  </si>
  <si>
    <t>relation entre le kelvin et le hartree</t>
  </si>
  <si>
    <t>constant:KelvinHartreeRelationship</t>
  </si>
  <si>
    <t>khz</t>
  </si>
  <si>
    <t>kelvin-hertz relationship</t>
  </si>
  <si>
    <t>kelvin - hertz relationship</t>
  </si>
  <si>
    <t>relation entre le kelvin et le hertz</t>
  </si>
  <si>
    <t>constant:KelvinHertzRelationship</t>
  </si>
  <si>
    <t>kminv</t>
  </si>
  <si>
    <t>kelvin-inverse meter relationship</t>
  </si>
  <si>
    <t>kelvin - inverse meter relationship</t>
  </si>
  <si>
    <t>relation entre le kelvin et l'inverse du mètre</t>
  </si>
  <si>
    <t>constant:KelvinInverseMeterRelationship</t>
  </si>
  <si>
    <t>kj</t>
  </si>
  <si>
    <t>kelvin-joule relationship</t>
  </si>
  <si>
    <t>kelvin - joule relationship</t>
  </si>
  <si>
    <t>relation entre le kelvin et le joule</t>
  </si>
  <si>
    <t>constant:KelvinJouleRelationship</t>
  </si>
  <si>
    <t>kkg</t>
  </si>
  <si>
    <t>kelvin-kilogram relationship</t>
  </si>
  <si>
    <t>kelvin - kilogram relationship</t>
  </si>
  <si>
    <t>relation entre le kelvin et le kilogramme</t>
  </si>
  <si>
    <t>constant:KelvinKilogramRelationship</t>
  </si>
  <si>
    <t>kgu</t>
  </si>
  <si>
    <t>kilogram-atomic mass unit relationship</t>
  </si>
  <si>
    <t>kilogram - atomic mass unit relationship</t>
  </si>
  <si>
    <t>relation entre le kilogramme et l'unité de masse atomique</t>
  </si>
  <si>
    <t>constant:KilogramAtomicMassUnitRelationship</t>
  </si>
  <si>
    <t>kgev</t>
  </si>
  <si>
    <t>kgev90</t>
  </si>
  <si>
    <t>kilogram-electron volt relationship</t>
  </si>
  <si>
    <t>kilogram - electronvolt relationship</t>
  </si>
  <si>
    <t>relation entre le kilogramme et l'électronvolt</t>
  </si>
  <si>
    <t>constant:KilogramElectronVoltRelationship</t>
  </si>
  <si>
    <t>kghr</t>
  </si>
  <si>
    <t>kilogram-hartree relationship</t>
  </si>
  <si>
    <t>kilogram - hartree relationship</t>
  </si>
  <si>
    <t>relation entre le kilogramme et le hartree</t>
  </si>
  <si>
    <t>constant:KilogramHartreeRelationship</t>
  </si>
  <si>
    <t>kghz</t>
  </si>
  <si>
    <t>kilogram-hertz relationship</t>
  </si>
  <si>
    <t>kilogram - hertz relationship</t>
  </si>
  <si>
    <t>relation entre le kilogramme et le hertz</t>
  </si>
  <si>
    <t>constant:KilogramHertzRelationship</t>
  </si>
  <si>
    <t>kgminv</t>
  </si>
  <si>
    <t>kilogram-inverse meter relationship</t>
  </si>
  <si>
    <t>kilogram - inverse meter relationship</t>
  </si>
  <si>
    <t>relation entre le kilogramme et l'inverse du mètre</t>
  </si>
  <si>
    <t>constant:KilogramInverseMeterRelationship</t>
  </si>
  <si>
    <t>kgj</t>
  </si>
  <si>
    <t>kilogram-joule relationship</t>
  </si>
  <si>
    <t>kilogram - joule relationship</t>
  </si>
  <si>
    <t>relation entre le kilogramme et le joule</t>
  </si>
  <si>
    <t>constant:KilogramJouleRelationship</t>
  </si>
  <si>
    <t>kgk</t>
  </si>
  <si>
    <t>kilogram-kelvin relationship</t>
  </si>
  <si>
    <t>kilogram - kelvin relationship</t>
  </si>
  <si>
    <t>relation entre le kilogramme et le kelvin</t>
  </si>
  <si>
    <t>constant:KilogramKelvinRelationship</t>
  </si>
  <si>
    <t>asil</t>
  </si>
  <si>
    <t>lattice parameter of silicon</t>
  </si>
  <si>
    <t>paramètre de maille du silicium</t>
  </si>
  <si>
    <t>constant:LatticeParameterOfSilicon</t>
  </si>
  <si>
    <t>d220sil</t>
  </si>
  <si>
    <t>lattice spacing of ideal Si (220)</t>
  </si>
  <si>
    <t>espacement de maille of silicium (220) parfait</t>
  </si>
  <si>
    <t>constant:LatticeSpacingOfSilicon</t>
  </si>
  <si>
    <t>n0</t>
  </si>
  <si>
    <t>Loschmidt constant (273.15 K, 100 kPa)</t>
  </si>
  <si>
    <t>m^-3</t>
  </si>
  <si>
    <t>constante de Loschmidt (273.15 K, 100 kPa)</t>
  </si>
  <si>
    <t>m-3</t>
  </si>
  <si>
    <t>n0std</t>
  </si>
  <si>
    <t>Loschmidt constant (273.15 K, 101.325 kPa)</t>
  </si>
  <si>
    <t>LoschmidtConstant273K101Kpa</t>
  </si>
  <si>
    <t>constante de Loschmidt (273.15 K, 101.325 kPa)</t>
  </si>
  <si>
    <t>kcd</t>
  </si>
  <si>
    <t>luminous efficacy</t>
  </si>
  <si>
    <t>lm W^-1</t>
  </si>
  <si>
    <t>éfficacité lumineuse</t>
  </si>
  <si>
    <t>lm.W-1</t>
  </si>
  <si>
    <t>flxquhs2e</t>
  </si>
  <si>
    <t>mag. flux quantum</t>
  </si>
  <si>
    <t>Wb</t>
  </si>
  <si>
    <t>magnetic flux quantum</t>
  </si>
  <si>
    <t>quantum de flux magnétique</t>
  </si>
  <si>
    <t>constant:MagneticFluxQuantum</t>
  </si>
  <si>
    <t>r</t>
  </si>
  <si>
    <t>molar gas constant</t>
  </si>
  <si>
    <t>J mol^-1 K^-1</t>
  </si>
  <si>
    <t>constante molaire des gaz</t>
  </si>
  <si>
    <t>J.mol-1.K-1</t>
  </si>
  <si>
    <t>constant:MolarGasConstant</t>
  </si>
  <si>
    <t>molar mass constant</t>
  </si>
  <si>
    <t>constante de masse molaire</t>
  </si>
  <si>
    <t>constant:MolarMassConstant</t>
  </si>
  <si>
    <t>mm12c</t>
  </si>
  <si>
    <t>molar mass of carbon-12</t>
  </si>
  <si>
    <t>masse molaire du carbone 12</t>
  </si>
  <si>
    <t>constant:MolarMassOfCarbon12</t>
  </si>
  <si>
    <t>nah</t>
  </si>
  <si>
    <t>molar Planck constant</t>
  </si>
  <si>
    <t>J Hz^-1 mol^-1</t>
  </si>
  <si>
    <t>constante de Planck molaire</t>
  </si>
  <si>
    <t>J.Hz-1.mol-1</t>
  </si>
  <si>
    <t>constant:MolarPlanckConstant</t>
  </si>
  <si>
    <t>molar Planck constant times c</t>
  </si>
  <si>
    <t>nahc</t>
  </si>
  <si>
    <t>J m mol^-1</t>
  </si>
  <si>
    <t>produit de la constante de Planck molaire par la vitesse de la lumière dans le vide</t>
  </si>
  <si>
    <t>J.m.mol-1</t>
  </si>
  <si>
    <t>constant:MolarPlanckConstantTimesC</t>
  </si>
  <si>
    <t>mvol</t>
  </si>
  <si>
    <t>molar volume of ideal gas (273.15 K, 100 kPa)</t>
  </si>
  <si>
    <t>m^3 mol^-1</t>
  </si>
  <si>
    <t>volume molaire d'un gaz parfait (273.15 K, 100 kPa)</t>
  </si>
  <si>
    <t>m3.mol-1</t>
  </si>
  <si>
    <t>mvolstd</t>
  </si>
  <si>
    <t>molar volume of ideal gas (273.15 K, 101.325 kPa)</t>
  </si>
  <si>
    <t>MolarVolumeOfIdealGas273K101Kpa</t>
  </si>
  <si>
    <t>volume molaire d'un gaz parfait (273.15 K, 101.325 kPa)</t>
  </si>
  <si>
    <t>mvolsil</t>
  </si>
  <si>
    <t>molar volume of silicon</t>
  </si>
  <si>
    <t>volume molaire du silicium</t>
  </si>
  <si>
    <t>constant:MolarVolumeOfSilicon</t>
  </si>
  <si>
    <t>xumokalph1</t>
  </si>
  <si>
    <t>Molybdenum x unit</t>
  </si>
  <si>
    <t>unité x du Molybdène</t>
  </si>
  <si>
    <t>constant:MoXUnit</t>
  </si>
  <si>
    <t>mcomwl</t>
  </si>
  <si>
    <t>muon Compton wavelength</t>
  </si>
  <si>
    <t>longueur d'onde de Compton du muon</t>
  </si>
  <si>
    <t>constant:MuonComptonWavelength</t>
  </si>
  <si>
    <t>mcomwlbar</t>
  </si>
  <si>
    <t>muon Compton wavelength over 2 pi</t>
  </si>
  <si>
    <t>longueur d'onde compton réduite du muon</t>
  </si>
  <si>
    <t>constant:MuonComptonWavelengthOver2Pi</t>
  </si>
  <si>
    <t>reduced muon Compton wavelength</t>
  </si>
  <si>
    <t>longueur d'onde de Compton réduite du muon</t>
  </si>
  <si>
    <t>muon</t>
  </si>
  <si>
    <t>muon-electron mass ratio</t>
  </si>
  <si>
    <t>muon - electron mass ratio</t>
  </si>
  <si>
    <t>rapport de la masse du muon à celle de l'électron</t>
  </si>
  <si>
    <t>constant:MuonElectronMassRatio</t>
  </si>
  <si>
    <t>gmum</t>
  </si>
  <si>
    <t>muon g factor</t>
  </si>
  <si>
    <t>facteur de Landé du muon</t>
  </si>
  <si>
    <t>constant:MuonGFactor</t>
  </si>
  <si>
    <t>mumum</t>
  </si>
  <si>
    <t>muon mag. mom.</t>
  </si>
  <si>
    <t>muon magnetic moment</t>
  </si>
  <si>
    <t>moment magnétique du muon</t>
  </si>
  <si>
    <t>constant:MuonMagneticMoment</t>
  </si>
  <si>
    <t>amu</t>
  </si>
  <si>
    <t>am</t>
  </si>
  <si>
    <t>muon mag. mom. anomaly</t>
  </si>
  <si>
    <t>muon magnetic moment anomaly</t>
  </si>
  <si>
    <t>moment magnétique anomal du muon</t>
  </si>
  <si>
    <t>constant:MuonMagneticMomentAnomaly</t>
  </si>
  <si>
    <t>mumumsmub</t>
  </si>
  <si>
    <t>muon mag. mom. to Bohr magneton ratio</t>
  </si>
  <si>
    <t>muon magnetic moment to Bohr magneton ratio</t>
  </si>
  <si>
    <t>rapport du moment magnétique du muon au magnéton de Bohr électronique</t>
  </si>
  <si>
    <t>constant:MuonMagneticMomentToBohrMagnetonRatio</t>
  </si>
  <si>
    <t>mumumsmun</t>
  </si>
  <si>
    <t>muon mag. mom. to nuclear magneton ratio</t>
  </si>
  <si>
    <t>muon magnetic moment to nuclear magneton ratio</t>
  </si>
  <si>
    <t>rapport du moment magnétique du muon au magnéton de Bohr nucléaire</t>
  </si>
  <si>
    <t>constant:MuonMagneticMomentToNuclearMagnetonRatio</t>
  </si>
  <si>
    <t>mmu</t>
  </si>
  <si>
    <t>muon mass</t>
  </si>
  <si>
    <t>masse du muon</t>
  </si>
  <si>
    <t>constant:MuonMass</t>
  </si>
  <si>
    <t>mmuc2</t>
  </si>
  <si>
    <t>muon mass energy equivalent</t>
  </si>
  <si>
    <t>énergie de masse du muon</t>
  </si>
  <si>
    <t>constant:MuonMassEnergyEquivalent</t>
  </si>
  <si>
    <t>mmuc2mev</t>
  </si>
  <si>
    <t>muon mass energy equivalent in MeV</t>
  </si>
  <si>
    <t>constant:MuonMassEnergyEquivalentInMeV</t>
  </si>
  <si>
    <t>mmuu</t>
  </si>
  <si>
    <t>muon mass in u</t>
  </si>
  <si>
    <t>constant:MuonMassInAtomicMassUnit</t>
  </si>
  <si>
    <t>mmmu</t>
  </si>
  <si>
    <t>muon molar mass</t>
  </si>
  <si>
    <t>masse molaire du muon</t>
  </si>
  <si>
    <t>constant:MuonMolarMass</t>
  </si>
  <si>
    <t>mmusmn</t>
  </si>
  <si>
    <t>muon-neutron mass ratio</t>
  </si>
  <si>
    <t>muon - neutron mass ratio</t>
  </si>
  <si>
    <t>rapport de la masse du muon à celle du neutron</t>
  </si>
  <si>
    <t>constant:MuonNeutronMassRatio</t>
  </si>
  <si>
    <t>mumumsmup</t>
  </si>
  <si>
    <t>muon-proton mag. mom. ratio</t>
  </si>
  <si>
    <t>muon - proton magnetic moment ratio</t>
  </si>
  <si>
    <t>rapport du moment magnétique du muon à celui du proton</t>
  </si>
  <si>
    <t>constant:MuonProtonMagneticMomentRatio</t>
  </si>
  <si>
    <t>mmusmp</t>
  </si>
  <si>
    <t>muon-proton mass ratio</t>
  </si>
  <si>
    <t>muon - proton mass ratio</t>
  </si>
  <si>
    <t>rapport de la masse du muon à celle du proton</t>
  </si>
  <si>
    <t>constant:MuonProtonMassRatio</t>
  </si>
  <si>
    <t>mmusmtau</t>
  </si>
  <si>
    <t>muon-tau mass ratio</t>
  </si>
  <si>
    <t>muon - tau mass ratio</t>
  </si>
  <si>
    <t>rapport de la masse du muon à celle du tau</t>
  </si>
  <si>
    <t>constant:MuonTauMassRatio</t>
  </si>
  <si>
    <t>thbar</t>
  </si>
  <si>
    <t>natural unit of action</t>
  </si>
  <si>
    <t>unité naturelle d'action</t>
  </si>
  <si>
    <t>constant:NaturalUnitOfAction</t>
  </si>
  <si>
    <t>thbarev</t>
  </si>
  <si>
    <t>natural unit of action in eV s</t>
  </si>
  <si>
    <t>eV s</t>
  </si>
  <si>
    <t>eV.s</t>
  </si>
  <si>
    <t>constant:NaturalUnitOfActionInEVS</t>
  </si>
  <si>
    <t>tmec2</t>
  </si>
  <si>
    <t>natural unit of energy</t>
  </si>
  <si>
    <t>unité naturelle d'énergie</t>
  </si>
  <si>
    <t>constant:NaturalUnitOfEnergy</t>
  </si>
  <si>
    <t>tmec2mev</t>
  </si>
  <si>
    <t>natural unit of energy in MeV</t>
  </si>
  <si>
    <t>constant:NaturalUnitOfEnergyInMeV</t>
  </si>
  <si>
    <t>tecomwlbar</t>
  </si>
  <si>
    <t>natural unit of length</t>
  </si>
  <si>
    <t>unité naturelle de longueur</t>
  </si>
  <si>
    <t>constant:NaturalUnitOfLength</t>
  </si>
  <si>
    <t>tme</t>
  </si>
  <si>
    <t>natural unit of mass</t>
  </si>
  <si>
    <t>unité naturelle de masse</t>
  </si>
  <si>
    <t>constant:NaturalUnitOfMass</t>
  </si>
  <si>
    <t>mec</t>
  </si>
  <si>
    <t>natural unit of momentum</t>
  </si>
  <si>
    <t>natural unit of moment</t>
  </si>
  <si>
    <t>unité naturelle de moment</t>
  </si>
  <si>
    <t>constant:NaturalUnitOfMomentum</t>
  </si>
  <si>
    <t>mecmevsc</t>
  </si>
  <si>
    <t>natural unit of momentum in MeV/c</t>
  </si>
  <si>
    <t>MeV/c</t>
  </si>
  <si>
    <t>natural unit of moment in MeV/c</t>
  </si>
  <si>
    <t>MeV.[c]-1</t>
  </si>
  <si>
    <t>constant:NaturalUnitOfMomentumInMeV-PER-c</t>
  </si>
  <si>
    <t>nut</t>
  </si>
  <si>
    <t>natural unit of time</t>
  </si>
  <si>
    <t>untié naturelle de temps</t>
  </si>
  <si>
    <t>constant:NaturalUnitOfTime</t>
  </si>
  <si>
    <t>tc</t>
  </si>
  <si>
    <t>natural unit of velocity</t>
  </si>
  <si>
    <t>unité naturelle de vitesse</t>
  </si>
  <si>
    <t>constant:NaturalUnitOfVelocity</t>
  </si>
  <si>
    <t>ncomwl</t>
  </si>
  <si>
    <t>neutron Compton wavelength</t>
  </si>
  <si>
    <t>longueur d'onde de Compton du neutron</t>
  </si>
  <si>
    <t>constant:NeutronComptonWavelength</t>
  </si>
  <si>
    <t>munsmue</t>
  </si>
  <si>
    <t>neutron-electron mag. mom. ratio</t>
  </si>
  <si>
    <t>neutron - electron magnetic moment ratio</t>
  </si>
  <si>
    <t>rapport du moment magnétique du neutron à celui de l'électron</t>
  </si>
  <si>
    <t>constant:NeutronElectronMagneticMomentRatio</t>
  </si>
  <si>
    <t>mnsme</t>
  </si>
  <si>
    <t>neutron-electron mass ratio</t>
  </si>
  <si>
    <t>neutron - electron mass ratio</t>
  </si>
  <si>
    <t>rapport de la masse du neutron à celle de l'électron</t>
  </si>
  <si>
    <t>constant:NeutronElectronMassRatio</t>
  </si>
  <si>
    <t>gnn</t>
  </si>
  <si>
    <t>neutron g factor</t>
  </si>
  <si>
    <t>facteur de Landé du neutron</t>
  </si>
  <si>
    <t>constant:NeutronGFactor</t>
  </si>
  <si>
    <t>gamman</t>
  </si>
  <si>
    <t>neutron gyromag. ratio</t>
  </si>
  <si>
    <t>neutron gyromagnetic ratio</t>
  </si>
  <si>
    <t>rapport gyromagnétique du neutron</t>
  </si>
  <si>
    <t>constant:NeutronGyromagneticRatio</t>
  </si>
  <si>
    <t>neutron gyromagnetic ratio over 2 pi</t>
  </si>
  <si>
    <t>gammanbar</t>
  </si>
  <si>
    <t>rapport gyromagnétique réduit du neutron</t>
  </si>
  <si>
    <t>constant:NeutronGyromagneticRatioOver2Pi</t>
  </si>
  <si>
    <t>munn</t>
  </si>
  <si>
    <t>neutron mag. mom.</t>
  </si>
  <si>
    <t>neutron magnetic moment</t>
  </si>
  <si>
    <t>moment magnétique du neutron</t>
  </si>
  <si>
    <t>constant:NeutronMagneticMoment</t>
  </si>
  <si>
    <t>munsmub</t>
  </si>
  <si>
    <t>neutron mag. mom. to Bohr magneton ratio</t>
  </si>
  <si>
    <t>neutron magnetic moment to Bohr magneton ratio</t>
  </si>
  <si>
    <t>rapport du moment magnétique du neutron au magnéton de Bohr électronique</t>
  </si>
  <si>
    <t>constant:NeutronMagneticMomentToBohrMagnetonRatio</t>
  </si>
  <si>
    <t>munsmun</t>
  </si>
  <si>
    <t>neutron mag. mom. to nuclear magneton ratio</t>
  </si>
  <si>
    <t>neutron magnetic moment to nuclear magneton ratio</t>
  </si>
  <si>
    <t>rapport du moment magnétique du neutron au magnéton de Bohr nucléaire</t>
  </si>
  <si>
    <t>constant:NeutronMagneticMomentToNuclearMagnetonRatio</t>
  </si>
  <si>
    <t>mn</t>
  </si>
  <si>
    <t>neutron mass</t>
  </si>
  <si>
    <t>masse du neutron</t>
  </si>
  <si>
    <t>constant:NeutronMass</t>
  </si>
  <si>
    <t>mnc2</t>
  </si>
  <si>
    <t>neutron mass energy equivalent</t>
  </si>
  <si>
    <t>énergie de masse du neutron</t>
  </si>
  <si>
    <t>constant:NeutronMassEnergyEquivalent</t>
  </si>
  <si>
    <t>mnc2mev</t>
  </si>
  <si>
    <t>neutron mass energy equivalent in MeV</t>
  </si>
  <si>
    <t>constant:NeutronMassEnergyEquivalentInMeV</t>
  </si>
  <si>
    <t>mnu</t>
  </si>
  <si>
    <t>neutron mass in u</t>
  </si>
  <si>
    <t>constant:NeutronMassInAtomicMassUnit</t>
  </si>
  <si>
    <t>mmn</t>
  </si>
  <si>
    <t>neutron molar mass</t>
  </si>
  <si>
    <t>masse molaire du neutron</t>
  </si>
  <si>
    <t>constant:NeutronMolarMass</t>
  </si>
  <si>
    <t>mnsmmu</t>
  </si>
  <si>
    <t>neutron-muon mass ratio</t>
  </si>
  <si>
    <t>neutron - muon mass ratio</t>
  </si>
  <si>
    <t>rapport de la masse du neutron à celle du muon</t>
  </si>
  <si>
    <t>constant:NeutronMuonMassRatio</t>
  </si>
  <si>
    <t>munsmup</t>
  </si>
  <si>
    <t>neutron-proton mag. mom. ratio</t>
  </si>
  <si>
    <t>neutron - proton magnetic moment ratio</t>
  </si>
  <si>
    <t>rapport du moment magnétique du neutron à celui du proton</t>
  </si>
  <si>
    <t>constant:NeutronProtonMagneticMomentRatio</t>
  </si>
  <si>
    <t>mnmmp</t>
  </si>
  <si>
    <t>neutron-proton mass difference</t>
  </si>
  <si>
    <t>neutron - proton mass difference</t>
  </si>
  <si>
    <t>différence des masses du neutron et du proton</t>
  </si>
  <si>
    <t>mnmmpc2</t>
  </si>
  <si>
    <t>neutron-proton mass difference energy equivalent</t>
  </si>
  <si>
    <t>neutron - proton mass difference energy equivalent</t>
  </si>
  <si>
    <t>énergie de la différence des masses du neutron et du proton</t>
  </si>
  <si>
    <t>mnmmpc2mev</t>
  </si>
  <si>
    <t>neutron-proton mass difference energy equivalent in MeV</t>
  </si>
  <si>
    <t>neutron - proton mass difference energy equivalent in MeV</t>
  </si>
  <si>
    <t>mnmmpu</t>
  </si>
  <si>
    <t>neutron-proton mass difference in u</t>
  </si>
  <si>
    <t>mnsmp</t>
  </si>
  <si>
    <t>neutron-proton mass ratio</t>
  </si>
  <si>
    <t>neutron - proton mass ratio</t>
  </si>
  <si>
    <t>rapport de la masse du neutron à celle du proton</t>
  </si>
  <si>
    <t>constant:NeutronProtonMassRatio</t>
  </si>
  <si>
    <t>arn</t>
  </si>
  <si>
    <t>neutron relative atomic mass</t>
  </si>
  <si>
    <t>masse atomique relative du neutron</t>
  </si>
  <si>
    <t>mnsmtau</t>
  </si>
  <si>
    <t>neutron-tau mass ratio</t>
  </si>
  <si>
    <t>neutron - tau mass ratio</t>
  </si>
  <si>
    <t>rapport de la masse du neutron à celle du tau</t>
  </si>
  <si>
    <t>constant:NeutronTauMassRatio</t>
  </si>
  <si>
    <t>munsmupp</t>
  </si>
  <si>
    <t>neutron to shielded proton mag. mom. ratio</t>
  </si>
  <si>
    <t>neutron to shielded proton magnetic moment ratio</t>
  </si>
  <si>
    <t>rapport du moment magnétique du neutron à celui du proton écranté</t>
  </si>
  <si>
    <t>constant:NeutronToShieldedProtonMagneticMomentRatio</t>
  </si>
  <si>
    <t>bg</t>
  </si>
  <si>
    <t>Newtonian constant of gravitation</t>
  </si>
  <si>
    <t>m^3 kg^-1 s^-2</t>
  </si>
  <si>
    <t>constante de la gravitation universelle</t>
  </si>
  <si>
    <t>[G]</t>
  </si>
  <si>
    <t>m3.kg-1.s-2</t>
  </si>
  <si>
    <t>constant:NewtonianConstantOfGravitation</t>
  </si>
  <si>
    <t>bgspu</t>
  </si>
  <si>
    <t>Newtonian constant of gravitation over h-bar c</t>
  </si>
  <si>
    <t>(GeV/c^2)^-2</t>
  </si>
  <si>
    <t>NewtonianConstantOfGravitationOverHBarC</t>
  </si>
  <si>
    <t>rapport de la constante fondamentale de la gravitation et du produit de la constante de Planck réduite par la vitesse de la lumière dans le vide</t>
  </si>
  <si>
    <t>GeV-2.[c]4</t>
  </si>
  <si>
    <t>mun</t>
  </si>
  <si>
    <t>nuclear magneton</t>
  </si>
  <si>
    <t>magnéton de Bohr nucléaire</t>
  </si>
  <si>
    <t>constant:NuclearMagneton</t>
  </si>
  <si>
    <t>munev</t>
  </si>
  <si>
    <t>nuclear magneton in eV/T</t>
  </si>
  <si>
    <t>constant:NuclearMagnetonInEVPerT</t>
  </si>
  <si>
    <t>munshcminv</t>
  </si>
  <si>
    <t>nuclear magneton in inverse meter per tesla</t>
  </si>
  <si>
    <t>constant:NuclearMagnetonInInverseMetersPerTesla</t>
  </si>
  <si>
    <t>munskk</t>
  </si>
  <si>
    <t>nuclear magneton in K/T</t>
  </si>
  <si>
    <t>constant:NuclearMagnetonInKPerT</t>
  </si>
  <si>
    <t>munshhz</t>
  </si>
  <si>
    <t>nuclear magneton in MHz/T</t>
  </si>
  <si>
    <t>Mhz.T-1</t>
  </si>
  <si>
    <t>constant:NuclearMagnetonInMHzPerT</t>
  </si>
  <si>
    <t>Planck constant</t>
  </si>
  <si>
    <t>J Hz^-1</t>
  </si>
  <si>
    <t>constante de Planck</t>
  </si>
  <si>
    <t>J.Hz-1</t>
  </si>
  <si>
    <t>constant:PlanckConstant</t>
  </si>
  <si>
    <t>hev</t>
  </si>
  <si>
    <t>Planck constant in eV/Hz</t>
  </si>
  <si>
    <t>eV Hz^-1</t>
  </si>
  <si>
    <t>eV.Hz-1</t>
  </si>
  <si>
    <t>constant:PlanckConstantInEVS</t>
  </si>
  <si>
    <t>plkl</t>
  </si>
  <si>
    <t>Planck length</t>
  </si>
  <si>
    <t>longueur de Planck</t>
  </si>
  <si>
    <t>constant:PlanckLength</t>
  </si>
  <si>
    <t>plkm</t>
  </si>
  <si>
    <t>Planck mass</t>
  </si>
  <si>
    <t>masse de planck</t>
  </si>
  <si>
    <t>constant:PlanckMass</t>
  </si>
  <si>
    <t>plkmc2gev</t>
  </si>
  <si>
    <t>Planck mass energy equivalent in GeV</t>
  </si>
  <si>
    <t>GeV</t>
  </si>
  <si>
    <t>énergie de masse de Planck</t>
  </si>
  <si>
    <t>constant:PlanckMassEnergyEquivalentInGeV</t>
  </si>
  <si>
    <t>plktmp</t>
  </si>
  <si>
    <t>Planck temperature</t>
  </si>
  <si>
    <t>température de Planck</t>
  </si>
  <si>
    <t>Kg</t>
  </si>
  <si>
    <t>constant:PlanckTemperature</t>
  </si>
  <si>
    <t>plkt</t>
  </si>
  <si>
    <t>Planck time</t>
  </si>
  <si>
    <t>temps de Planck</t>
  </si>
  <si>
    <t>constant:PlanckTime</t>
  </si>
  <si>
    <t>esmp</t>
  </si>
  <si>
    <t>proton charge to mass quotient</t>
  </si>
  <si>
    <t>rapport de la charge à la masse du proton</t>
  </si>
  <si>
    <t>constant:ProtonChargeToMassQuotient</t>
  </si>
  <si>
    <t>pcomwl</t>
  </si>
  <si>
    <t>proton Compton wavelength</t>
  </si>
  <si>
    <t>longueur d'onde de Compton du proton</t>
  </si>
  <si>
    <t>constant:ProtonComptonWavelength</t>
  </si>
  <si>
    <t>mpsme</t>
  </si>
  <si>
    <t>proton-electron mass ratio</t>
  </si>
  <si>
    <t>rapport de la masse du proton à celle de l'électron</t>
  </si>
  <si>
    <t>constant:ProtonElectronMassRatio</t>
  </si>
  <si>
    <t>gp</t>
  </si>
  <si>
    <t>proton g factor</t>
  </si>
  <si>
    <t>facteur de Landé du proton</t>
  </si>
  <si>
    <t>constant:ProtonGFactor</t>
  </si>
  <si>
    <t>gammap</t>
  </si>
  <si>
    <t>proton gyromag. ratio</t>
  </si>
  <si>
    <t>proton gyromagnetic ratio</t>
  </si>
  <si>
    <t>rapport gyromagnétique du proton</t>
  </si>
  <si>
    <t>constant:ProtonGyromagneticRatio</t>
  </si>
  <si>
    <t>proton gyromagnetic ratio over 2 pi</t>
  </si>
  <si>
    <t>gammapbar</t>
  </si>
  <si>
    <t>rapport gyromagnétique réduit du proton</t>
  </si>
  <si>
    <t>constant:ProtonGyromagneticRatioOver2Pi</t>
  </si>
  <si>
    <t>mup</t>
  </si>
  <si>
    <t>proton mag. mom.</t>
  </si>
  <si>
    <t>proton magnetic moment</t>
  </si>
  <si>
    <t>moment magnétique du proton</t>
  </si>
  <si>
    <t>constant:ProtonMagneticMoment</t>
  </si>
  <si>
    <t>mupsmub</t>
  </si>
  <si>
    <t>proton mag. mom. to Bohr magneton ratio</t>
  </si>
  <si>
    <t>proton magnetic moment to Bohr magneton ratio</t>
  </si>
  <si>
    <t>rapport du moment magnétique du proton au magnéton de Bohr électronique</t>
  </si>
  <si>
    <t>constant:ProtonMagneticMomentToBohrMagnetonRatio</t>
  </si>
  <si>
    <t>mupsmun</t>
  </si>
  <si>
    <t>proton mag. mom. to nuclear magneton ratio</t>
  </si>
  <si>
    <t>proton magnetic moment to nuclear magneton ratio</t>
  </si>
  <si>
    <t>rapport du moment magnétique du proton au magnéton de Bohr nucléaire</t>
  </si>
  <si>
    <t>constant:ProtonMagneticMomentToNuclearMagnetonRatio</t>
  </si>
  <si>
    <t>sigmapp</t>
  </si>
  <si>
    <t>proton mag. shielding correction</t>
  </si>
  <si>
    <t>proton magnetic shielding correction</t>
  </si>
  <si>
    <t>correction d'écrantage magnétique du proton</t>
  </si>
  <si>
    <t>mp</t>
  </si>
  <si>
    <t>proton mass</t>
  </si>
  <si>
    <t>masse du proton</t>
  </si>
  <si>
    <t>[m_p]</t>
  </si>
  <si>
    <t>constant:ProtonMass</t>
  </si>
  <si>
    <t>mpc2</t>
  </si>
  <si>
    <t>proton mass energy equivalent</t>
  </si>
  <si>
    <t>énergie de masse du proton</t>
  </si>
  <si>
    <t>constant:ProtonMassEnergyEquivalent</t>
  </si>
  <si>
    <t>mpc2mev</t>
  </si>
  <si>
    <t>proton mass energy equivalent in MeV</t>
  </si>
  <si>
    <t>constant:ProtonMassEnergyEquivalentInMeV</t>
  </si>
  <si>
    <t>mpu</t>
  </si>
  <si>
    <t>proton mass in u</t>
  </si>
  <si>
    <t>constant:ProtonMassInAtomicMassUnit</t>
  </si>
  <si>
    <t>mmp</t>
  </si>
  <si>
    <t>proton molar mass</t>
  </si>
  <si>
    <t>masse molaire du proton</t>
  </si>
  <si>
    <t>constant:ProtonMolarMass</t>
  </si>
  <si>
    <t>mpsmmu</t>
  </si>
  <si>
    <t>proton-muon mass ratio</t>
  </si>
  <si>
    <t>proton - muon mass ratio</t>
  </si>
  <si>
    <t>rapport de la masse du proton à celle du muon</t>
  </si>
  <si>
    <t>constant:ProtonMuonMassRatio</t>
  </si>
  <si>
    <t>mupsmunn</t>
  </si>
  <si>
    <t>proton-neutron mag. mom. ratio</t>
  </si>
  <si>
    <t>proton - neutron magnetic moment ratio</t>
  </si>
  <si>
    <t>rapport du moment magnétique du proton à celui du neutron</t>
  </si>
  <si>
    <t>constant:ProtonNeutronMagneticMomentRatio</t>
  </si>
  <si>
    <t>mpsmn</t>
  </si>
  <si>
    <t>proton-neutron mass ratio</t>
  </si>
  <si>
    <t>proton - neutron mass ratio</t>
  </si>
  <si>
    <t>rapport de la masse du proton à celle du neutron</t>
  </si>
  <si>
    <t>constant:ProtonNeutronMassRatio</t>
  </si>
  <si>
    <t>arp</t>
  </si>
  <si>
    <t>proton relative atomic mass</t>
  </si>
  <si>
    <t>masse atomique relative du proton</t>
  </si>
  <si>
    <t>rp</t>
  </si>
  <si>
    <t>proton rms charge radius</t>
  </si>
  <si>
    <t>rayon de charge effectif du proton</t>
  </si>
  <si>
    <t>constant:ProtonRmsChargeRadius</t>
  </si>
  <si>
    <t>mpsmtau</t>
  </si>
  <si>
    <t>proton-tau mass ratio</t>
  </si>
  <si>
    <t>proton - tau mass ratio</t>
  </si>
  <si>
    <t>rapport de la masse du proton à celle du tau</t>
  </si>
  <si>
    <t>constant:ProtonTauMassRatio</t>
  </si>
  <si>
    <t>qucirchs2me</t>
  </si>
  <si>
    <t>quantum of circulation</t>
  </si>
  <si>
    <t>m^2 s^-1</t>
  </si>
  <si>
    <t>quantum de circulation</t>
  </si>
  <si>
    <t>m2.s-1</t>
  </si>
  <si>
    <t>constant:QuantumOfCirculation</t>
  </si>
  <si>
    <t>hsme</t>
  </si>
  <si>
    <t>quantum of circulation times 2</t>
  </si>
  <si>
    <t>quantum de circulation multiplié par deux</t>
  </si>
  <si>
    <t>constant:QuantumOfCirculationTimes2</t>
  </si>
  <si>
    <t>ecomwlbar</t>
  </si>
  <si>
    <t>reduced Compton wavelength</t>
  </si>
  <si>
    <t>longueur d'onde de Compton réduite</t>
  </si>
  <si>
    <t>Compton wavelength over 2 pi</t>
  </si>
  <si>
    <t>constant:ComptonWavelengthOver2Pi</t>
  </si>
  <si>
    <t>hbar</t>
  </si>
  <si>
    <t>reduced Planck constant</t>
  </si>
  <si>
    <t>constante de Planck réduite</t>
  </si>
  <si>
    <t>[h]</t>
  </si>
  <si>
    <t>constant:ReducedPlanckConstant</t>
  </si>
  <si>
    <t>Planck constant over 2 pi</t>
  </si>
  <si>
    <t>constant:PlanckConstantOver2Pi</t>
  </si>
  <si>
    <t>hbarev</t>
  </si>
  <si>
    <t>reduced Planck constant in eV s</t>
  </si>
  <si>
    <t>Planck constant over 2 pi in eV s</t>
  </si>
  <si>
    <t>constant:PlanckConstantOver2PiInEVS</t>
  </si>
  <si>
    <t>hbcmevf</t>
  </si>
  <si>
    <t>reduced Planck constant times c in MeV fm</t>
  </si>
  <si>
    <t>MeV fm</t>
  </si>
  <si>
    <t>produit de la constante de Planck réduite par la vitesse de la lumière dans le vide</t>
  </si>
  <si>
    <t>MeV.fm</t>
  </si>
  <si>
    <t>Planck constant over 2 pi times c in MeV fm</t>
  </si>
  <si>
    <t>constant:PlanckConstantOver2PiTimesCInMeVFm</t>
  </si>
  <si>
    <t>pcomwlbar</t>
  </si>
  <si>
    <t>reduced proton Compton wavelength</t>
  </si>
  <si>
    <t>longueur d'onde de Compton réduite du proton</t>
  </si>
  <si>
    <t>proton Compton wavelength over 2 pi</t>
  </si>
  <si>
    <t>constant:ProtonComptonWavelengthOver2Pi</t>
  </si>
  <si>
    <t>ncomwlbar</t>
  </si>
  <si>
    <t>reduced neutron Compton wavelength</t>
  </si>
  <si>
    <t>longueur d'onde de Compton réduite du neutron</t>
  </si>
  <si>
    <t>neutron Compton wavelength over 2 pi</t>
  </si>
  <si>
    <t>longueur d'onde compton réduite du neutron</t>
  </si>
  <si>
    <t>constant:NeutronComptonWavelengthOver2Pi</t>
  </si>
  <si>
    <t>ryd</t>
  </si>
  <si>
    <t>Rydberg constant</t>
  </si>
  <si>
    <t>constante de Rydberg</t>
  </si>
  <si>
    <t>constant:RydbergConstant</t>
  </si>
  <si>
    <t>rydchz</t>
  </si>
  <si>
    <t>Rydberg constant times c in Hz</t>
  </si>
  <si>
    <t>produit de la constante de Rydberg par la vitesse de la lumière dans le vide</t>
  </si>
  <si>
    <t>constant:RydbergConstantTimesCInHz</t>
  </si>
  <si>
    <t>rydhcev</t>
  </si>
  <si>
    <t>Rydberg constant times hc in eV</t>
  </si>
  <si>
    <t>produit de la constante de Rydberg par la constante de Planck et par la vitesse de la lumière dans le vide</t>
  </si>
  <si>
    <t>constant:RydbergConstantTimesHcInEV</t>
  </si>
  <si>
    <t>rydhcj</t>
  </si>
  <si>
    <t>Rydberg constant times hc in J</t>
  </si>
  <si>
    <t>constant:RydbergConstantTimesHcInJ</t>
  </si>
  <si>
    <t>s0sr</t>
  </si>
  <si>
    <t>Sackur-Tetrode constant (1 K, 100 kPa)</t>
  </si>
  <si>
    <t>constant:SackurTetrodeConstant1K100KPa</t>
  </si>
  <si>
    <t>s0srstd</t>
  </si>
  <si>
    <t>Sackur-Tetrode constant (1 K, 101.325 kPa)</t>
  </si>
  <si>
    <t>SackurTetrodeConstant1K101KPa</t>
  </si>
  <si>
    <t>c22ndrc</t>
  </si>
  <si>
    <t>second radiation constant</t>
  </si>
  <si>
    <t>m K</t>
  </si>
  <si>
    <t>seconde constante radiative</t>
  </si>
  <si>
    <t>m.K</t>
  </si>
  <si>
    <t>constant:SecondRadiationConstant</t>
  </si>
  <si>
    <t>gammahp</t>
  </si>
  <si>
    <t>shielded helion gyromag. ratio</t>
  </si>
  <si>
    <t>shielded helion gyromagnetic ratio</t>
  </si>
  <si>
    <t>rapport gyromagnétique de l'hélion écranté</t>
  </si>
  <si>
    <t>constant:ShieldedHelionGyromagneticRatio</t>
  </si>
  <si>
    <t>shielded helion gyromagnetic ratio over 2 pi</t>
  </si>
  <si>
    <t>gammahpbar</t>
  </si>
  <si>
    <t>rapport gyromagnétique réduit de l'hélion écranté</t>
  </si>
  <si>
    <t>constant:ShieldedHelionGyromagneticRatioOver2Pi</t>
  </si>
  <si>
    <t>muhp</t>
  </si>
  <si>
    <t>shielded helion mag. mom.</t>
  </si>
  <si>
    <t>shielded helion magnetic moment</t>
  </si>
  <si>
    <t>moment magnétique de l'hélion écranté</t>
  </si>
  <si>
    <t>constant:ShieldedHelionMagneticMoment</t>
  </si>
  <si>
    <t>muhpsmub</t>
  </si>
  <si>
    <t>shielded helion mag. mom. to Bohr magneton ratio</t>
  </si>
  <si>
    <t>shielded helion magnetic moment to Bohr magneton ratio</t>
  </si>
  <si>
    <t>rapport du moment magnétique de l'hélion écranté au magnéton de Bohr électronique</t>
  </si>
  <si>
    <t>constant:ShieldedHelionMagneticMomentToBohrMagnetonRatio</t>
  </si>
  <si>
    <t>muhpsmun</t>
  </si>
  <si>
    <t>shielded helion mag. mom. to nuclear magneton ratio</t>
  </si>
  <si>
    <t>shielded helion magnetic moment to nuclear magneton ratio</t>
  </si>
  <si>
    <t>rapport du moment magnétique de l'hélion écranté au magnéton de Bohr nucléaire</t>
  </si>
  <si>
    <t>constant:ShieldedHelionMagneticMomentToNuclearMagnetonRatio</t>
  </si>
  <si>
    <t>muhpsmup</t>
  </si>
  <si>
    <t>shielded helion to proton mag. mom. ratio</t>
  </si>
  <si>
    <t>shielded helion to proton magnetic moment ratio</t>
  </si>
  <si>
    <t>rapport du moment magnétique de l'hélion écranté à celui du proton</t>
  </si>
  <si>
    <t>constant:ShieldedHelionToProtonMagneticMomentRatio</t>
  </si>
  <si>
    <t>muhpsmupp</t>
  </si>
  <si>
    <t>shielded helion to shielded proton mag. mom. ratio</t>
  </si>
  <si>
    <t>shielded helion to shielded proton magnetic moment ratio</t>
  </si>
  <si>
    <t>rapport du moment magnétique de l'hélion écranté à celui du proton écranté</t>
  </si>
  <si>
    <t>constant:ShieldedHelionToShieldedProtonMagneticMomentRatio</t>
  </si>
  <si>
    <t>gammapp</t>
  </si>
  <si>
    <t>shielded proton gyromag. ratio</t>
  </si>
  <si>
    <t>shielded proton gyromagnetic ratio</t>
  </si>
  <si>
    <t>rapport gyromagnétique du proton écranté</t>
  </si>
  <si>
    <t>constant:ShieldedProtonGyromagneticRatio</t>
  </si>
  <si>
    <t>gammappbar</t>
  </si>
  <si>
    <t>shielded proton gyromag. ratio in MHz/T</t>
  </si>
  <si>
    <t>shielded proton gyromagnetic ratio in MHz/T</t>
  </si>
  <si>
    <t>constant:ShieldedProtonGyromagneticRatioOver2Pi</t>
  </si>
  <si>
    <t>mupp</t>
  </si>
  <si>
    <t>shielded proton mag. mom.</t>
  </si>
  <si>
    <t>shielded proton magnetic moment</t>
  </si>
  <si>
    <t>moment magnétique du proton écranté</t>
  </si>
  <si>
    <t>constant:ShieldedProtonMagneticMoment</t>
  </si>
  <si>
    <t>muppsmub</t>
  </si>
  <si>
    <t>shielded proton mag. mom. to Bohr magneton ratio</t>
  </si>
  <si>
    <t>shielded proton magnetic moment to Bohr magneton ratio</t>
  </si>
  <si>
    <t>rapport du moment magnétique du proton écranté au magnéton de Bohr électronique</t>
  </si>
  <si>
    <t>constant:ShieldedProtonMagneticMomentToBohrMagnetonRatio</t>
  </si>
  <si>
    <t>muppsmun</t>
  </si>
  <si>
    <t>shielded proton mag. mom. to nuclear magneton ratio</t>
  </si>
  <si>
    <t>shielded proton magnetic moment to nuclear magneton ratio</t>
  </si>
  <si>
    <t>rapport du moment magnétique du proton écranté au magnéton de Bohr nucléaire</t>
  </si>
  <si>
    <t>constant:ShieldedProtonMagneticMomentToNuclearMagnetonRatio</t>
  </si>
  <si>
    <t>sdp</t>
  </si>
  <si>
    <t>shielding difference of d and p in HD</t>
  </si>
  <si>
    <t>stp</t>
  </si>
  <si>
    <t>shielding difference of t and p in HT</t>
  </si>
  <si>
    <t>speed of light in vacuum</t>
  </si>
  <si>
    <t>vitesse de la lumière dans le vide</t>
  </si>
  <si>
    <t>[c]</t>
  </si>
  <si>
    <t>constant:SpeedOfLight_Vacuum</t>
  </si>
  <si>
    <t>gn</t>
  </si>
  <si>
    <t>standard acceleration of gravity</t>
  </si>
  <si>
    <t>m s^-2</t>
  </si>
  <si>
    <t>accélération de la gravité standard</t>
  </si>
  <si>
    <t>[g]</t>
  </si>
  <si>
    <t>m.s-2</t>
  </si>
  <si>
    <t>constant:StandardAccelerationOfGravity</t>
  </si>
  <si>
    <t>stdatm</t>
  </si>
  <si>
    <t>standard atmosphere</t>
  </si>
  <si>
    <t>Pa</t>
  </si>
  <si>
    <t>atmosphere standard</t>
  </si>
  <si>
    <t>atm</t>
  </si>
  <si>
    <t>constant:StandardAtmosphere</t>
  </si>
  <si>
    <t>stdspr</t>
  </si>
  <si>
    <t>standard-state pressure</t>
  </si>
  <si>
    <t>sigma</t>
  </si>
  <si>
    <t>Stefan-Boltzmann constant</t>
  </si>
  <si>
    <t>W m^-2 K^-4</t>
  </si>
  <si>
    <t>constante de Stefan-Boltzmann</t>
  </si>
  <si>
    <t>W.m-2.K-4</t>
  </si>
  <si>
    <t>constant:StefanBoltzmannConstant</t>
  </si>
  <si>
    <t>tcomwl</t>
  </si>
  <si>
    <t>tau Compton wavelength</t>
  </si>
  <si>
    <t>longueur d'onde de compton du tau</t>
  </si>
  <si>
    <t>constant:TauComptonWavelength</t>
  </si>
  <si>
    <t>tau Compton wavelength over 2 pi</t>
  </si>
  <si>
    <t>tcomwlbar</t>
  </si>
  <si>
    <t>longueur de compton réduite du tau</t>
  </si>
  <si>
    <t>constant:TauComptonWavelengthOver2Pi</t>
  </si>
  <si>
    <t>reduced tau Compton wavelength</t>
  </si>
  <si>
    <t>longueur d'onde de Compton réduite du tau</t>
  </si>
  <si>
    <t>mtausme</t>
  </si>
  <si>
    <t>tau-electron mass ratio</t>
  </si>
  <si>
    <t>tau - electron mass ratio</t>
  </si>
  <si>
    <t>rapport de la masse du tau à celle de l'électron</t>
  </si>
  <si>
    <t>constant:TauElectronMassRatio</t>
  </si>
  <si>
    <t>mtau</t>
  </si>
  <si>
    <t>tau mass</t>
  </si>
  <si>
    <t>masse du tau</t>
  </si>
  <si>
    <t>constant:TauMass</t>
  </si>
  <si>
    <t>mtauc2</t>
  </si>
  <si>
    <t>tau mass energy equivalent</t>
  </si>
  <si>
    <t>énergie de masse du tau</t>
  </si>
  <si>
    <t>constant:TauMassEnergyEquivalent</t>
  </si>
  <si>
    <t>tau mass energy equivalent in MeV</t>
  </si>
  <si>
    <t>mtauc2mev</t>
  </si>
  <si>
    <t>tau energy equivalent</t>
  </si>
  <si>
    <t>constant:TauMassEnergyEquivalentInMeV</t>
  </si>
  <si>
    <t>mtauu</t>
  </si>
  <si>
    <t>tau mass in u</t>
  </si>
  <si>
    <t>constant:TauMassInAtomicMassUnit</t>
  </si>
  <si>
    <t>mmtau</t>
  </si>
  <si>
    <t>tau molar mass</t>
  </si>
  <si>
    <t>masse molaire du tau</t>
  </si>
  <si>
    <t>constant:TauMolarMass</t>
  </si>
  <si>
    <t>mtausmmu</t>
  </si>
  <si>
    <t>tau-muon mass ratio</t>
  </si>
  <si>
    <t>tau - muon mass ratio</t>
  </si>
  <si>
    <t>rapport de la masse du tau à celle du muon</t>
  </si>
  <si>
    <t>constant:TauMuonMassRatio</t>
  </si>
  <si>
    <t>mtausmn</t>
  </si>
  <si>
    <t>tau-neutron mass ratio</t>
  </si>
  <si>
    <t>tau - neutron mass ratio</t>
  </si>
  <si>
    <t>rapport de la masse du tau à celle du neutron</t>
  </si>
  <si>
    <t>constant:TauNeutronMassRatio</t>
  </si>
  <si>
    <t>mtausmp</t>
  </si>
  <si>
    <t>tau-proton mass ratio</t>
  </si>
  <si>
    <t>tau - proton mass ratio</t>
  </si>
  <si>
    <t>rapport de la masse du tau à celle du proton</t>
  </si>
  <si>
    <t>constant:TauProtonMassRatio</t>
  </si>
  <si>
    <t>sigmae</t>
  </si>
  <si>
    <t>Thomson cross section</t>
  </si>
  <si>
    <t>m^2</t>
  </si>
  <si>
    <t>section efficace de Thomson</t>
  </si>
  <si>
    <t>m2</t>
  </si>
  <si>
    <t>constant:ThomsonCrossSection</t>
  </si>
  <si>
    <t>triton-electron magnetic moment ratio</t>
  </si>
  <si>
    <t>mutsmuem</t>
  </si>
  <si>
    <t/>
  </si>
  <si>
    <t>triton - electron magnetic moment ratio</t>
  </si>
  <si>
    <t>rapport du moment magnétique du triton à celui de l'électron</t>
  </si>
  <si>
    <t>constant:TritonElectronMagneticMomentRatio</t>
  </si>
  <si>
    <t>mtsme</t>
  </si>
  <si>
    <t>triton-electron mass ratio</t>
  </si>
  <si>
    <t>triton - electron mass ratio</t>
  </si>
  <si>
    <t>rapport de la masse du triton à celle de l'électron</t>
  </si>
  <si>
    <t>constant:TritonElectronMassRatio</t>
  </si>
  <si>
    <t>gtn</t>
  </si>
  <si>
    <t>triton g factor</t>
  </si>
  <si>
    <t>facteur de Landé du triton</t>
  </si>
  <si>
    <t>constant:TritonGFactor</t>
  </si>
  <si>
    <t>mut</t>
  </si>
  <si>
    <t>triton mag. mom.</t>
  </si>
  <si>
    <t>triton magnetic moment</t>
  </si>
  <si>
    <t>moment magnétique du triton</t>
  </si>
  <si>
    <t>constant:TritonMagneticMoment</t>
  </si>
  <si>
    <t>mutsmub</t>
  </si>
  <si>
    <t>triton mag. mom. to Bohr magneton ratio</t>
  </si>
  <si>
    <t>triton magnetic moment to Bohr magneton ratio</t>
  </si>
  <si>
    <t>rapport du moment magnétique du triton au magnéton de Bohr électronique</t>
  </si>
  <si>
    <t>constant:TritonMagneticMomentToBohrMagnetonRatio</t>
  </si>
  <si>
    <t>mutsmun</t>
  </si>
  <si>
    <t>triton mag. mom. to nuclear magneton ratio</t>
  </si>
  <si>
    <t>triton magnetic moment to nuclear magneton ratio</t>
  </si>
  <si>
    <t>rapport du moment magnétique du triton au magnéton de Bohr nucléaire</t>
  </si>
  <si>
    <t>constant:TritonMagneticMomentToNuclearMagnetonRatio</t>
  </si>
  <si>
    <t>mt</t>
  </si>
  <si>
    <t>triton mass</t>
  </si>
  <si>
    <t>masse du triton</t>
  </si>
  <si>
    <t>constant:TritonMass</t>
  </si>
  <si>
    <t>mtc2</t>
  </si>
  <si>
    <t>triton mass energy equivalent</t>
  </si>
  <si>
    <t>énergie de masse du triton</t>
  </si>
  <si>
    <t>constant:TritonMassEnergyEquivalent</t>
  </si>
  <si>
    <t>mtc2mev</t>
  </si>
  <si>
    <t>triton mass energy equivalent in MeV</t>
  </si>
  <si>
    <t>constant:TritonMassEnergyEquivalentInMeV</t>
  </si>
  <si>
    <t>mtu</t>
  </si>
  <si>
    <t>triton mass in u</t>
  </si>
  <si>
    <t>constant:TritonMassInAtomicMassUnit</t>
  </si>
  <si>
    <t>mmt</t>
  </si>
  <si>
    <t>triton molar mass</t>
  </si>
  <si>
    <t>masse molaire du triton</t>
  </si>
  <si>
    <t>constant:TritonMolarMass</t>
  </si>
  <si>
    <t>triton-neutron magnetic moment ratio</t>
  </si>
  <si>
    <t>mutsmunn</t>
  </si>
  <si>
    <t>triton - neutron magnetic moment ratio</t>
  </si>
  <si>
    <t>rapport du moment magnétique du triton à celui du neutron</t>
  </si>
  <si>
    <t>constant:TritonNeutronMagneticMomentRatio</t>
  </si>
  <si>
    <t>mtsmp</t>
  </si>
  <si>
    <t>triton-proton mass ratio</t>
  </si>
  <si>
    <t>triton - proton mass ratio</t>
  </si>
  <si>
    <t>rapport de la masse du triton à celle du proton</t>
  </si>
  <si>
    <t>constant:TritonProtonMassRatio</t>
  </si>
  <si>
    <t>art</t>
  </si>
  <si>
    <t>triton relative atomic mass</t>
  </si>
  <si>
    <t>masse atomique relative du triton</t>
  </si>
  <si>
    <t>mutsmup</t>
  </si>
  <si>
    <t>triton to proton mag. mom. ratio</t>
  </si>
  <si>
    <t>triton to proton magnetic moment ratio</t>
  </si>
  <si>
    <t>rapport du moment magnétique du triton à celui du proton</t>
  </si>
  <si>
    <t>constant:TritonProtonMagneticMomentRatio</t>
  </si>
  <si>
    <t>tukg</t>
  </si>
  <si>
    <t>unified atomic mass unit</t>
  </si>
  <si>
    <t>unité de masse atomique unifiée</t>
  </si>
  <si>
    <t>constant:UnifiedAtomicMassUnit</t>
  </si>
  <si>
    <t>ep0</t>
  </si>
  <si>
    <t>vacuum electric permittivity</t>
  </si>
  <si>
    <t>permittivité électrique du vide</t>
  </si>
  <si>
    <t>[eps_0]</t>
  </si>
  <si>
    <t>constant:PermittivityOfVacuum</t>
  </si>
  <si>
    <t>Electric constant</t>
  </si>
  <si>
    <t>electric constant</t>
  </si>
  <si>
    <t>constant électrique</t>
  </si>
  <si>
    <t>constant:ElectricConstant</t>
  </si>
  <si>
    <t>mu0</t>
  </si>
  <si>
    <t>vacuum mag. permeability</t>
  </si>
  <si>
    <t>N A^-2</t>
  </si>
  <si>
    <t>vacuum magnetic permeability</t>
  </si>
  <si>
    <t>perméabilité magnétique du vide</t>
  </si>
  <si>
    <t>[mu_0]</t>
  </si>
  <si>
    <t>N.A-2</t>
  </si>
  <si>
    <t>constant:ElectromagneticPermeabilityOfVacuum</t>
  </si>
  <si>
    <t>magnetic constant</t>
  </si>
  <si>
    <t>constante magnétique</t>
  </si>
  <si>
    <t>constant:MagneticConstant</t>
  </si>
  <si>
    <t>rk</t>
  </si>
  <si>
    <t>von Klitzing constant</t>
  </si>
  <si>
    <t>Von Klitzing constant</t>
  </si>
  <si>
    <t>constante de Von Klitzing</t>
  </si>
  <si>
    <t>constant:VonKlitzingConstant</t>
  </si>
  <si>
    <t>sin2th</t>
  </si>
  <si>
    <t>weak mixing angle</t>
  </si>
  <si>
    <t>constant:WeakMixingAngle</t>
  </si>
  <si>
    <t>bpwien</t>
  </si>
  <si>
    <t>Wien frequency displacement law constant</t>
  </si>
  <si>
    <t>constante de Wien de décalage en fréquence</t>
  </si>
  <si>
    <t>constant:WienFrequencyDisplacementLawConstant</t>
  </si>
  <si>
    <t>bwien</t>
  </si>
  <si>
    <t>Wien wavelength displacement law constant</t>
  </si>
  <si>
    <t>constante de Wien de décalage en longueur d'onde</t>
  </si>
  <si>
    <t>constant:WienWavelengthDisplacementLawConstant</t>
  </si>
  <si>
    <t>rmwmz</t>
  </si>
  <si>
    <t>W to Z mass ratio</t>
  </si>
  <si>
    <t>rapport de la masse de W à la masse de Z</t>
  </si>
  <si>
    <t>value_nist</t>
  </si>
  <si>
    <t>uncertainty_nist</t>
  </si>
  <si>
    <t>units</t>
  </si>
  <si>
    <t>valid_id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</si>
  <si>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</si>
  <si>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</si>
  <si>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</si>
  <si>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</si>
  <si>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</si>
  <si>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</si>
  <si>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</si>
  <si>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</si>
  <si>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>7294.299 541 71</t>
  </si>
  <si>
    <t>0.000 000 17</t>
  </si>
  <si>
    <t>6.644 657 3450 e-27</t>
  </si>
  <si>
    <t>0.000 000 0021 e-27</t>
  </si>
  <si>
    <t>5.971 920 1997 e-10</t>
  </si>
  <si>
    <t>0.000 000 0019 e-10</t>
  </si>
  <si>
    <t>3727.379 4118</t>
  </si>
  <si>
    <t>0.000 0012</t>
  </si>
  <si>
    <t>4.001 506 179 129</t>
  </si>
  <si>
    <t>0.000 000 000 062</t>
  </si>
  <si>
    <t>4.001 506 1833 e-3</t>
  </si>
  <si>
    <t>0.000 000 0012 e-3</t>
  </si>
  <si>
    <t>3.972 599 690 252</t>
  </si>
  <si>
    <t>0.000 000 000 070</t>
  </si>
  <si>
    <t>1.6785 e-15</t>
  </si>
  <si>
    <t>0.0021 e-15</t>
  </si>
  <si>
    <t>1.000 014 95 e-10</t>
  </si>
  <si>
    <t>0.000 000 90 e-10</t>
  </si>
  <si>
    <t>1.660 539 068 92 e-27</t>
  </si>
  <si>
    <t>0.000 000 000 52 e-27</t>
  </si>
  <si>
    <t>1.492 418 087 68 e-10</t>
  </si>
  <si>
    <t>0.000 000 000 46 e-10</t>
  </si>
  <si>
    <t>931.494 103 72</t>
  </si>
  <si>
    <t>0.000 000 29</t>
  </si>
  <si>
    <t>9.314 941 0372 e8</t>
  </si>
  <si>
    <t>0.000 000 0029 e8</t>
  </si>
  <si>
    <t>3.423 177 6922 e7</t>
  </si>
  <si>
    <t>0.000 000 0011 e7</t>
  </si>
  <si>
    <t>2.252 342 721 85 e23</t>
  </si>
  <si>
    <t>0.000 000 000 70 e23</t>
  </si>
  <si>
    <t>7.513 006 6209 e14</t>
  </si>
  <si>
    <t>0.000 000 0023 e14</t>
  </si>
  <si>
    <t>1.080 954 020 67 e13</t>
  </si>
  <si>
    <t>0.000 000 000 34 e13</t>
  </si>
  <si>
    <t>3.206 361 2996 e-53</t>
  </si>
  <si>
    <t>0.000 000 0015 e-53</t>
  </si>
  <si>
    <t>6.235 379 9735 e-65</t>
  </si>
  <si>
    <t>0.000 000 0039 e-65</t>
  </si>
  <si>
    <t>1.054 571 817 e-34</t>
  </si>
  <si>
    <t>(exact)</t>
  </si>
  <si>
    <t>1.602 176 634 e-19</t>
  </si>
  <si>
    <t>1.081 202 386 77 e12</t>
  </si>
  <si>
    <t>0.000 000 000 51 e12</t>
  </si>
  <si>
    <t>6.623 618 237 5082 e-3</t>
  </si>
  <si>
    <t>0.000 000 000 0072 e-3</t>
  </si>
  <si>
    <t>8.478 353 6198 e-30</t>
  </si>
  <si>
    <t>0.000 000 0013 e-30</t>
  </si>
  <si>
    <t>5.142 206 751 12 e11</t>
  </si>
  <si>
    <t>0.000 000 000 80 e11</t>
  </si>
  <si>
    <t>9.717 362 4424 e21</t>
  </si>
  <si>
    <t>0.000 000 0030 e21</t>
  </si>
  <si>
    <t>1.648 777 272 12 e-41</t>
  </si>
  <si>
    <t>0.000 000 000 51 e-41</t>
  </si>
  <si>
    <t>27.211 386 245 981</t>
  </si>
  <si>
    <t>0.000 000 000 030</t>
  </si>
  <si>
    <t>4.486 551 5185 e-40</t>
  </si>
  <si>
    <t>0.000 000 0014 e-40</t>
  </si>
  <si>
    <t>4.359 744 722 2060 e-18</t>
  </si>
  <si>
    <t>0.000 000 000 0048 e-18</t>
  </si>
  <si>
    <t>8.238 723 5038 e-8</t>
  </si>
  <si>
    <t>0.000 000 0013 e-8</t>
  </si>
  <si>
    <t>5.291 772 105 44 e-11</t>
  </si>
  <si>
    <t>0.000 000 000 82 e-11</t>
  </si>
  <si>
    <t>1.854 802 013 15 e-23</t>
  </si>
  <si>
    <t>0.000 000 000 58 e-23</t>
  </si>
  <si>
    <t>2.350 517 570 77 e5</t>
  </si>
  <si>
    <t>0.000 000 000 73 e5</t>
  </si>
  <si>
    <t>7.891 036 5794 e-29</t>
  </si>
  <si>
    <t>0.000 000 0049 e-29</t>
  </si>
  <si>
    <t>9.109 383 7139 e-31</t>
  </si>
  <si>
    <t>0.000 000 0028 e-31</t>
  </si>
  <si>
    <t>1.992 851 915 45 e-24</t>
  </si>
  <si>
    <t>0.000 000 000 31 e-24</t>
  </si>
  <si>
    <t>1.112 650 056 20 e-10</t>
  </si>
  <si>
    <t>0.000 000 000 17 e-10</t>
  </si>
  <si>
    <t>2.418 884 326 5864 e-17</t>
  </si>
  <si>
    <t>0.000 000 000 0026 e-17</t>
  </si>
  <si>
    <t>2.187 691 262 16 e6</t>
  </si>
  <si>
    <t>0.000 000 000 34 e6</t>
  </si>
  <si>
    <t>6.022 140 76 e23</t>
  </si>
  <si>
    <t>9.274 010 0657 e-24</t>
  </si>
  <si>
    <t>0.000 000 0029 e-24</t>
  </si>
  <si>
    <t>5.788 381 7982 e-5</t>
  </si>
  <si>
    <t>0.000 000 0018 e-5</t>
  </si>
  <si>
    <t>1.399 624 491 71 e10</t>
  </si>
  <si>
    <t>0.000 000 000 44 e10</t>
  </si>
  <si>
    <t>46.686 447 719</t>
  </si>
  <si>
    <t>0.000 000 015</t>
  </si>
  <si>
    <t>0.671 713 814 72</t>
  </si>
  <si>
    <t>0.000 000 000 21</t>
  </si>
  <si>
    <t>1.380 649 e-23</t>
  </si>
  <si>
    <t>8.617 333 262 e-5</t>
  </si>
  <si>
    <t>2.083 661 912 e10</t>
  </si>
  <si>
    <t>69.503 480 04</t>
  </si>
  <si>
    <t>376.730 313 412</t>
  </si>
  <si>
    <t>0.000 000 059</t>
  </si>
  <si>
    <t>2.817 940 3205 e-15</t>
  </si>
  <si>
    <t>0.000 000 0013 e-15</t>
  </si>
  <si>
    <t>2.426 310 235 38 e-12</t>
  </si>
  <si>
    <t>0.000 000 000 76 e-12</t>
  </si>
  <si>
    <t>7.748 091 729 e-5</t>
  </si>
  <si>
    <t>1.000 000 088 87</t>
  </si>
  <si>
    <t>0.999 999 982 20</t>
  </si>
  <si>
    <t>1.000 000 017 79</t>
  </si>
  <si>
    <t>483 597.9 e9</t>
  </si>
  <si>
    <t>1.000 000 106 66</t>
  </si>
  <si>
    <t>25 812.807</t>
  </si>
  <si>
    <t>1.000 000 195 53</t>
  </si>
  <si>
    <t>1.002 076 97 e-13</t>
  </si>
  <si>
    <t>0.000 000 28 e-13</t>
  </si>
  <si>
    <t>-4.664 345 550 e-4</t>
  </si>
  <si>
    <t>0.000 000 012 e-4</t>
  </si>
  <si>
    <t>3670.482 967 655</t>
  </si>
  <si>
    <t>0.000 000 063</t>
  </si>
  <si>
    <t>0.857 438 2335</t>
  </si>
  <si>
    <t>0.000 000 0022</t>
  </si>
  <si>
    <t>4.330 735 087 e-27</t>
  </si>
  <si>
    <t>0.000 000 011 e-27</t>
  </si>
  <si>
    <t>4.669 754 568 e-4</t>
  </si>
  <si>
    <t>3.343 583 7768 e-27</t>
  </si>
  <si>
    <t>0.000 000 0010 e-27</t>
  </si>
  <si>
    <t>3.005 063 234 91 e-10</t>
  </si>
  <si>
    <t>0.000 000 000 94 e-10</t>
  </si>
  <si>
    <t>1875.612 945 00</t>
  </si>
  <si>
    <t>0.000 000 58</t>
  </si>
  <si>
    <t>2.013 553 212 544</t>
  </si>
  <si>
    <t>0.000 000 000 015</t>
  </si>
  <si>
    <t>2.013 553 214 66 e-3</t>
  </si>
  <si>
    <t>0.000 000 000 63 e-3</t>
  </si>
  <si>
    <t>-0.448 206 52</t>
  </si>
  <si>
    <t>0.000 000 11</t>
  </si>
  <si>
    <t>0.307 012 209 30</t>
  </si>
  <si>
    <t>0.000 000 000 79</t>
  </si>
  <si>
    <t>1.999 007 501 2699</t>
  </si>
  <si>
    <t>0.000 000 000 0084</t>
  </si>
  <si>
    <t>2.127 78 e-15</t>
  </si>
  <si>
    <t>0.000 27 e-15</t>
  </si>
  <si>
    <t>-1.758 820 008 38 e11</t>
  </si>
  <si>
    <t>0.000 000 000 55 e11</t>
  </si>
  <si>
    <t>-2143.923 4921</t>
  </si>
  <si>
    <t>0.000 0056</t>
  </si>
  <si>
    <t>2.724 437 107 629 e-4</t>
  </si>
  <si>
    <t>0.000 000 000 047 e-4</t>
  </si>
  <si>
    <t>-2.002 319 304 360 92</t>
  </si>
  <si>
    <t>0.000 000 000 000 36</t>
  </si>
  <si>
    <t>1.760 859 627 84 e11</t>
  </si>
  <si>
    <t>28 024.951 3861</t>
  </si>
  <si>
    <t>0.000 0087</t>
  </si>
  <si>
    <t>1.819 543 074 649 e-4</t>
  </si>
  <si>
    <t>0.000 000 000 053 e-4</t>
  </si>
  <si>
    <t>-9.284 764 6917 e-24</t>
  </si>
  <si>
    <t>1.159 652 180 46 e-3</t>
  </si>
  <si>
    <t>0.000 000 000 18 e-3</t>
  </si>
  <si>
    <t>-1.001 159 652 180 46</t>
  </si>
  <si>
    <t>0.000 000 000 000 18</t>
  </si>
  <si>
    <t>-1838.281 971 877</t>
  </si>
  <si>
    <t>0.000 000 032</t>
  </si>
  <si>
    <t>8.187 105 7880 e-14</t>
  </si>
  <si>
    <t>0.000 000 0026 e-14</t>
  </si>
  <si>
    <t>0.510 998 950 69</t>
  </si>
  <si>
    <t>0.000 000 000 16</t>
  </si>
  <si>
    <t>5.485 799 090 441 e-4</t>
  </si>
  <si>
    <t>0.000 000 000 097 e-4</t>
  </si>
  <si>
    <t>5.485 799 0962 e-7</t>
  </si>
  <si>
    <t>0.000 000 0017 e-7</t>
  </si>
  <si>
    <t>206.766 9881</t>
  </si>
  <si>
    <t>0.000 0046</t>
  </si>
  <si>
    <t>4.836 331 70 e-3</t>
  </si>
  <si>
    <t>0.000 000 11 e-3</t>
  </si>
  <si>
    <t>960.920 48</t>
  </si>
  <si>
    <t>0.000 23</t>
  </si>
  <si>
    <t>5.438 673 4416 e-4</t>
  </si>
  <si>
    <t>0.000 000 0022 e-4</t>
  </si>
  <si>
    <t>-658.210 687 89</t>
  </si>
  <si>
    <t>0.000 000 19</t>
  </si>
  <si>
    <t>5.446 170 214 889 e-4</t>
  </si>
  <si>
    <t>0.000 000 000 094 e-4</t>
  </si>
  <si>
    <t>2.875 85 e-4</t>
  </si>
  <si>
    <t>0.000 19 e-4</t>
  </si>
  <si>
    <t>1.370 933 554 733 e-4</t>
  </si>
  <si>
    <t>0.000 000 000 032 e-4</t>
  </si>
  <si>
    <t>864.058 239 86</t>
  </si>
  <si>
    <t>0.000 000 70</t>
  </si>
  <si>
    <t>-658.227 5856</t>
  </si>
  <si>
    <t>0.000 0027</t>
  </si>
  <si>
    <t>1.819 200 062 327 e-4</t>
  </si>
  <si>
    <t>0.000 000 000 068 e-4</t>
  </si>
  <si>
    <t>1.073 544 100 83 e-9</t>
  </si>
  <si>
    <t>0.000 000 000 33 e-9</t>
  </si>
  <si>
    <t>3.674 932 217 5665 e-2</t>
  </si>
  <si>
    <t>0.000 000 000 0040 e-2</t>
  </si>
  <si>
    <t>2.417 989 242 e14</t>
  </si>
  <si>
    <t>8.065 543 937 e5</t>
  </si>
  <si>
    <t>1.160 451 812 e4</t>
  </si>
  <si>
    <t>1.782 661 921 e-36</t>
  </si>
  <si>
    <t>1.519 267 447 e15</t>
  </si>
  <si>
    <t>96 485.332 12</t>
  </si>
  <si>
    <t>1.166 3787 e-5</t>
  </si>
  <si>
    <t>0.000 0006 e-5</t>
  </si>
  <si>
    <t>7.297 352 5643 e-3</t>
  </si>
  <si>
    <t>0.000 000 0011 e-3</t>
  </si>
  <si>
    <t>3.741 771 852 e-16</t>
  </si>
  <si>
    <t>1.191 042 972 e-16</t>
  </si>
  <si>
    <t>2.921 262 317 97 e-8</t>
  </si>
  <si>
    <t>0.000 000 000 91 e-8</t>
  </si>
  <si>
    <t>6.579 683 920 4999 e15</t>
  </si>
  <si>
    <t>0.000 000 000 0072 e15</t>
  </si>
  <si>
    <t>2.194 746 313 6314 e7</t>
  </si>
  <si>
    <t>0.000 000 000 0024 e7</t>
  </si>
  <si>
    <t>3.157 750 248 0398 e5</t>
  </si>
  <si>
    <t>0.000 000 000 0034 e5</t>
  </si>
  <si>
    <t>4.850 870 209 5419 e-35</t>
  </si>
  <si>
    <t>0.000 000 000 0053 e-35</t>
  </si>
  <si>
    <t>5495.885 279 84</t>
  </si>
  <si>
    <t>0.000 000 16</t>
  </si>
  <si>
    <t>-4.255 250 6995</t>
  </si>
  <si>
    <t>0.000 000 0034</t>
  </si>
  <si>
    <t>-1.074 617 551 98 e-26</t>
  </si>
  <si>
    <t>0.000 000 000 93 e-26</t>
  </si>
  <si>
    <t>-1.158 740 980 83 e-3</t>
  </si>
  <si>
    <t>0.000 000 000 94 e-3</t>
  </si>
  <si>
    <t>-2.127 625 3498</t>
  </si>
  <si>
    <t>0.000 000 0017</t>
  </si>
  <si>
    <t>5.006 412 7862 e-27</t>
  </si>
  <si>
    <t>0.000 000 0016 e-27</t>
  </si>
  <si>
    <t>4.499 539 4185 e-10</t>
  </si>
  <si>
    <t>0.000 000 0014 e-10</t>
  </si>
  <si>
    <t>2808.391 611 12</t>
  </si>
  <si>
    <t>0.000 000 88</t>
  </si>
  <si>
    <t>3.014 932 246 932</t>
  </si>
  <si>
    <t>0.000 000 000 074</t>
  </si>
  <si>
    <t>3.014 932 250 10 e-3</t>
  </si>
  <si>
    <t>2.993 152 671 552</t>
  </si>
  <si>
    <t>5.996 7029 e-5</t>
  </si>
  <si>
    <t>0.000 0023 e-5</t>
  </si>
  <si>
    <t>4.439 821 6590 e-24</t>
  </si>
  <si>
    <t>0.000 000 0014 e-24</t>
  </si>
  <si>
    <t>4.135 667 696 e-15</t>
  </si>
  <si>
    <t>1.519 829 846 0574 e-16</t>
  </si>
  <si>
    <t>0.000 000 000 0017 e-16</t>
  </si>
  <si>
    <t>3.335 640 951 e-9</t>
  </si>
  <si>
    <t>6.626 070 15 e-34</t>
  </si>
  <si>
    <t>4.799 243 073 e-11</t>
  </si>
  <si>
    <t>7.372 497 323 e-51</t>
  </si>
  <si>
    <t>9 192 631 770</t>
  </si>
  <si>
    <t>137.035 999 177</t>
  </si>
  <si>
    <t>0.000 000 021</t>
  </si>
  <si>
    <t>1.331 025 048 24 e-15</t>
  </si>
  <si>
    <t>0.000 000 000 41 e-15</t>
  </si>
  <si>
    <t>1.239 841 984 e-6</t>
  </si>
  <si>
    <t>4.556 335 252 9132 e-8</t>
  </si>
  <si>
    <t>0.000 000 000 0050 e-8</t>
  </si>
  <si>
    <t>299 792 458</t>
  </si>
  <si>
    <t>1.986 445 857 e-25</t>
  </si>
  <si>
    <t>1.438 776 877 e-2</t>
  </si>
  <si>
    <t>2.210 219 094 e-42</t>
  </si>
  <si>
    <t>12 906.403 72</t>
  </si>
  <si>
    <t>483 597.848 4 e9</t>
  </si>
  <si>
    <t>6.700 535 2471 e9</t>
  </si>
  <si>
    <t>0.000 000 0021 e9</t>
  </si>
  <si>
    <t>6.241 509 074 e18</t>
  </si>
  <si>
    <t>2.293 712 278 3969 e17</t>
  </si>
  <si>
    <t>0.000 000 000 0025 e17</t>
  </si>
  <si>
    <t>1.509 190 179 e33</t>
  </si>
  <si>
    <t>5.034 116 567 e24</t>
  </si>
  <si>
    <t>7.242 970 516 e22</t>
  </si>
  <si>
    <t>1.112 650 056 e-17</t>
  </si>
  <si>
    <t>9.251 087 2884 e-14</t>
  </si>
  <si>
    <t>0.000 000 0029 e-14</t>
  </si>
  <si>
    <t>3.166 811 563 4564 e-6</t>
  </si>
  <si>
    <t>0.000 000 000 0035 e-6</t>
  </si>
  <si>
    <t>1.536 179 187 e-40</t>
  </si>
  <si>
    <t>6.022 140 7537 e26</t>
  </si>
  <si>
    <t>0.000 000 0019 e26</t>
  </si>
  <si>
    <t>5.609 588 603 e35</t>
  </si>
  <si>
    <t>2.061 485 788 7415 e34</t>
  </si>
  <si>
    <t>0.000 000 000 0022 e34</t>
  </si>
  <si>
    <t>1.356 392 489 e50</t>
  </si>
  <si>
    <t>4.524 438 335 e41</t>
  </si>
  <si>
    <t>8.987 551 787 e16</t>
  </si>
  <si>
    <t>6.509 657 260 e39</t>
  </si>
  <si>
    <t>5.431 020 511 e-10</t>
  </si>
  <si>
    <t>0.000 000 089 e-10</t>
  </si>
  <si>
    <t>1.920 155 716 e-10</t>
  </si>
  <si>
    <t>0.000 000 032 e-10</t>
  </si>
  <si>
    <t>2.651 645 804 e25</t>
  </si>
  <si>
    <t>2.686 780 111 e25</t>
  </si>
  <si>
    <t>683</t>
  </si>
  <si>
    <t>2.067 833 848 e-15</t>
  </si>
  <si>
    <t>8.314 462 618</t>
  </si>
  <si>
    <t>1.000 000 001 05 e-3</t>
  </si>
  <si>
    <t>0.000 000 000 31 e-3</t>
  </si>
  <si>
    <t>12.000 000 0126 e-3</t>
  </si>
  <si>
    <t>0.000 000 0037 e-3</t>
  </si>
  <si>
    <t>3.990 312 712 e-10</t>
  </si>
  <si>
    <t>22.710 954 64 e-3</t>
  </si>
  <si>
    <t>22.413 969 54 e-3</t>
  </si>
  <si>
    <t>1.205 883 199 e-5</t>
  </si>
  <si>
    <t>0.000 000 060 e-5</t>
  </si>
  <si>
    <t>1.002 099 52 e-13</t>
  </si>
  <si>
    <t>0.000 000 53 e-13</t>
  </si>
  <si>
    <t>1.173 444 110 e-14</t>
  </si>
  <si>
    <t>0.000 000 026 e-14</t>
  </si>
  <si>
    <t>206.768 2827</t>
  </si>
  <si>
    <t>-2.002 331 841 23</t>
  </si>
  <si>
    <t>0.000 000 000 82</t>
  </si>
  <si>
    <t>-4.490 448 30 e-26</t>
  </si>
  <si>
    <t>0.000 000 10 e-26</t>
  </si>
  <si>
    <t>1.165 920 62 e-3</t>
  </si>
  <si>
    <t>0.000 000 41 e-3</t>
  </si>
  <si>
    <t>-4.841 970 48 e-3</t>
  </si>
  <si>
    <t>-8.890 597 04</t>
  </si>
  <si>
    <t>0.000 000 20</t>
  </si>
  <si>
    <t>1.883 531 627 e-28</t>
  </si>
  <si>
    <t>0.000 000 042 e-28</t>
  </si>
  <si>
    <t>1.692 833 804 e-11</t>
  </si>
  <si>
    <t>0.000 000 038 e-11</t>
  </si>
  <si>
    <t>105.658 3755</t>
  </si>
  <si>
    <t>0.000 0023</t>
  </si>
  <si>
    <t>0.113 428 9257</t>
  </si>
  <si>
    <t>0.000 000 0025</t>
  </si>
  <si>
    <t>1.134 289 258 e-4</t>
  </si>
  <si>
    <t>0.000 000 025 e-4</t>
  </si>
  <si>
    <t>0.112 454 5168</t>
  </si>
  <si>
    <t>-3.183 345 146</t>
  </si>
  <si>
    <t>0.000 000 071</t>
  </si>
  <si>
    <t>0.112 609 5262</t>
  </si>
  <si>
    <t>5.946 35 e-2</t>
  </si>
  <si>
    <t>0.000 40 e-2</t>
  </si>
  <si>
    <t>6.582 119 569 e-16</t>
  </si>
  <si>
    <t>3.861 592 6744 e-13</t>
  </si>
  <si>
    <t>0.000 000 0012 e-13</t>
  </si>
  <si>
    <t>2.730 924 534 46 e-22</t>
  </si>
  <si>
    <t>0.000 000 000 85 e-22</t>
  </si>
  <si>
    <t>1.288 088 666 44 e-21</t>
  </si>
  <si>
    <t>0.000 000 000 40 e-21</t>
  </si>
  <si>
    <t>1.319 590 903 82 e-15</t>
  </si>
  <si>
    <t>0.000 000 000 67 e-15</t>
  </si>
  <si>
    <t>1.040 668 84 e-3</t>
  </si>
  <si>
    <t>0.000 000 24 e-3</t>
  </si>
  <si>
    <t>1838.683 662 00</t>
  </si>
  <si>
    <t>0.000 000 74</t>
  </si>
  <si>
    <t>-3.826 085 52</t>
  </si>
  <si>
    <t>0.000 000 90</t>
  </si>
  <si>
    <t>1.832 471 74 e8</t>
  </si>
  <si>
    <t>0.000 000 43 e8</t>
  </si>
  <si>
    <t>neutron gyromag. ratio in MHz/T</t>
  </si>
  <si>
    <t>29.164 6935</t>
  </si>
  <si>
    <t>0.000 0069</t>
  </si>
  <si>
    <t>NeutronGyromagneticRatioOver2Pi</t>
  </si>
  <si>
    <t>-9.662 3653 e-27</t>
  </si>
  <si>
    <t>0.000 0023 e-27</t>
  </si>
  <si>
    <t>-1.041 875 65 e-3</t>
  </si>
  <si>
    <t>0.000 000 25 e-3</t>
  </si>
  <si>
    <t>-1.913 042 76</t>
  </si>
  <si>
    <t>0.000 000 45</t>
  </si>
  <si>
    <t>1.674 927 500 56 e-27</t>
  </si>
  <si>
    <t>0.000 000 000 85 e-27</t>
  </si>
  <si>
    <t>1.505 349 765 14 e-10</t>
  </si>
  <si>
    <t>0.000 000 000 76 e-10</t>
  </si>
  <si>
    <t>939.565 421 94</t>
  </si>
  <si>
    <t>0.000 000 48</t>
  </si>
  <si>
    <t>1.008 664 916 06</t>
  </si>
  <si>
    <t>0.000 000 000 40</t>
  </si>
  <si>
    <t>1.008 664 917 12 e-3</t>
  </si>
  <si>
    <t>0.000 000 000 51 e-3</t>
  </si>
  <si>
    <t>8.892 484 08</t>
  </si>
  <si>
    <t>-0.684 979 35</t>
  </si>
  <si>
    <t>2.305 574 61 e-30</t>
  </si>
  <si>
    <t>0.000 000 67 e-30</t>
  </si>
  <si>
    <t>2.072 147 12 e-13</t>
  </si>
  <si>
    <t>0.000 000 60 e-13</t>
  </si>
  <si>
    <t>1.293 332 51</t>
  </si>
  <si>
    <t>0.000 000 38</t>
  </si>
  <si>
    <t>1.388 449 48 e-3</t>
  </si>
  <si>
    <t>0.000 000 40 e-3</t>
  </si>
  <si>
    <t>1.001 378 419 46</t>
  </si>
  <si>
    <t>0.528 779</t>
  </si>
  <si>
    <t>0.000 036</t>
  </si>
  <si>
    <t>-0.684 996 94</t>
  </si>
  <si>
    <t>6.674 30 e-11</t>
  </si>
  <si>
    <t>0.000 15 e-11</t>
  </si>
  <si>
    <t>6.708 83 e-39</t>
  </si>
  <si>
    <t>0.000 15 e-39</t>
  </si>
  <si>
    <t>5.050 783 7393 e-27</t>
  </si>
  <si>
    <t>3.152 451 254 17 e-8</t>
  </si>
  <si>
    <t>0.000 000 000 98 e-8</t>
  </si>
  <si>
    <t>2.542 623 410 09 e-2</t>
  </si>
  <si>
    <t>0.000 000 000 79 e-2</t>
  </si>
  <si>
    <t>3.658 267 7706 e-4</t>
  </si>
  <si>
    <t>0.000 000 0011 e-4</t>
  </si>
  <si>
    <t>7.622 593 2188</t>
  </si>
  <si>
    <t>0.000 000 0024</t>
  </si>
  <si>
    <t>1.616 255 e-35</t>
  </si>
  <si>
    <t>0.000 018 e-35</t>
  </si>
  <si>
    <t>2.176 434 e-8</t>
  </si>
  <si>
    <t>0.000 024 e-8</t>
  </si>
  <si>
    <t>1.220 890 e19</t>
  </si>
  <si>
    <t>0.000 014 e19</t>
  </si>
  <si>
    <t>1.416 784 e32</t>
  </si>
  <si>
    <t>0.000 016 e32</t>
  </si>
  <si>
    <t>5.391 247 e-44</t>
  </si>
  <si>
    <t>0.000 060 e-44</t>
  </si>
  <si>
    <t>9.578 833 1430 e7</t>
  </si>
  <si>
    <t>0.000 000 0030 e7</t>
  </si>
  <si>
    <t>1.321 409 853 60 e-15</t>
  </si>
  <si>
    <t>1836.152 673 426</t>
  </si>
  <si>
    <t>5.585 694 6893</t>
  </si>
  <si>
    <t>0.000 000 0016</t>
  </si>
  <si>
    <t>2.675 221 8708 e8</t>
  </si>
  <si>
    <t>0.000 000 0011 e8</t>
  </si>
  <si>
    <t>proton gyromag. ratio in MHz/T</t>
  </si>
  <si>
    <t>42.577 478 461</t>
  </si>
  <si>
    <t>0.000 000 018</t>
  </si>
  <si>
    <t>ProtonGyromagneticRatioOver2Pi</t>
  </si>
  <si>
    <t>1.410 606 795 45 e-26</t>
  </si>
  <si>
    <t>0.000 000 000 60 e-26</t>
  </si>
  <si>
    <t>1.521 032 202 30 e-3</t>
  </si>
  <si>
    <t>0.000 000 000 45 e-3</t>
  </si>
  <si>
    <t>2.792 847 344 63</t>
  </si>
  <si>
    <t>2.567 15 e-5</t>
  </si>
  <si>
    <t>0.000 41 e-5</t>
  </si>
  <si>
    <t>1.672 621 925 95 e-27</t>
  </si>
  <si>
    <t>1.503 277 618 02 e-10</t>
  </si>
  <si>
    <t>0.000 000 000 47 e-10</t>
  </si>
  <si>
    <t>938.272 089 43</t>
  </si>
  <si>
    <t>1.007 276 466 5789</t>
  </si>
  <si>
    <t>0.000 000 000 0083</t>
  </si>
  <si>
    <t>1.007 276 467 64 e-3</t>
  </si>
  <si>
    <t>8.880 243 38</t>
  </si>
  <si>
    <t>-1.459 898 02</t>
  </si>
  <si>
    <t>0.000 000 34</t>
  </si>
  <si>
    <t>0.998 623 477 97</t>
  </si>
  <si>
    <t>8.4075 e-16</t>
  </si>
  <si>
    <t>0.0064 e-16</t>
  </si>
  <si>
    <t>0.528 051</t>
  </si>
  <si>
    <t>3.636 947 5467 e-4</t>
  </si>
  <si>
    <t>7.273 895 0934 e-4</t>
  </si>
  <si>
    <t>0.000 000 0023 e-4</t>
  </si>
  <si>
    <t>1.867 594 306 e-15</t>
  </si>
  <si>
    <t>0.000 000 042 e-15</t>
  </si>
  <si>
    <t>2.100 194 1520 e-16</t>
  </si>
  <si>
    <t>0.000 000 0011 e-16</t>
  </si>
  <si>
    <t>197.326 980 4</t>
  </si>
  <si>
    <t>2.103 089 100 51 e-16</t>
  </si>
  <si>
    <t>0.000 000 000 66 e-16</t>
  </si>
  <si>
    <t>1.110 538 e-16</t>
  </si>
  <si>
    <t>0.000 075 e-16</t>
  </si>
  <si>
    <t>10 973 731.568 157</t>
  </si>
  <si>
    <t>0.000 012</t>
  </si>
  <si>
    <t>3.289 841 960 2500 e15</t>
  </si>
  <si>
    <t>0.000 000 000 0036 e15</t>
  </si>
  <si>
    <t>13.605 693 122 990</t>
  </si>
  <si>
    <t>2.179 872 361 1030 e-18</t>
  </si>
  <si>
    <t>0.000 000 000 0024 e-18</t>
  </si>
  <si>
    <t>-1.151 707 534 96</t>
  </si>
  <si>
    <t>0.000 000 000 47</t>
  </si>
  <si>
    <t>-1.164 870 521 49</t>
  </si>
  <si>
    <t>2.037 894 6078 e8</t>
  </si>
  <si>
    <t>0.000 000 0018 e8</t>
  </si>
  <si>
    <t>shielded helion gyromag. ratio in MHz/T</t>
  </si>
  <si>
    <t>32.434 100 033</t>
  </si>
  <si>
    <t>0.000 000 028</t>
  </si>
  <si>
    <t>ShieldedHelionGyromagneticRatioOver2Pi</t>
  </si>
  <si>
    <t>-1.074 553 110 35 e-26</t>
  </si>
  <si>
    <t>-1.158 671 494 57 e-3</t>
  </si>
  <si>
    <t>-2.127 497 7624</t>
  </si>
  <si>
    <t>-0.761 766 577 21</t>
  </si>
  <si>
    <t>0.000 000 000 66</t>
  </si>
  <si>
    <t>-0.761 786 1334</t>
  </si>
  <si>
    <t>0.000 000 0031</t>
  </si>
  <si>
    <t>2.675 153 194 e8</t>
  </si>
  <si>
    <t>0.000 000 011 e8</t>
  </si>
  <si>
    <t>42.576 385 43</t>
  </si>
  <si>
    <t>1.410 570 5830 e-26</t>
  </si>
  <si>
    <t>0.000 000 0058 e-26</t>
  </si>
  <si>
    <t>1.520 993 1551 e-3</t>
  </si>
  <si>
    <t>0.000 000 0062 e-3</t>
  </si>
  <si>
    <t>2.792 775 648</t>
  </si>
  <si>
    <t>0.000 000 011</t>
  </si>
  <si>
    <t>1.987 70 e-8</t>
  </si>
  <si>
    <t>0.000 10 e-8</t>
  </si>
  <si>
    <t>2.394 50 e-8</t>
  </si>
  <si>
    <t>0.000 20 e-8</t>
  </si>
  <si>
    <t>9.806 65</t>
  </si>
  <si>
    <t>101 325</t>
  </si>
  <si>
    <t>100 000</t>
  </si>
  <si>
    <t>5.670 374 419 e-8</t>
  </si>
  <si>
    <t>6.977 71 e-16</t>
  </si>
  <si>
    <t>0.000 47 e-16</t>
  </si>
  <si>
    <t>3477.23</t>
  </si>
  <si>
    <t>0.23</t>
  </si>
  <si>
    <t>1776.86</t>
  </si>
  <si>
    <t>0.12</t>
  </si>
  <si>
    <t>3.167 54 e-27</t>
  </si>
  <si>
    <t>0.000 21 e-27</t>
  </si>
  <si>
    <t>2.846 84 e-10</t>
  </si>
  <si>
    <t>0.000 19 e-10</t>
  </si>
  <si>
    <t>1.907 54</t>
  </si>
  <si>
    <t>0.000 13</t>
  </si>
  <si>
    <t>1.907 54 e-3</t>
  </si>
  <si>
    <t>0.000 13 e-3</t>
  </si>
  <si>
    <t>16.8170</t>
  </si>
  <si>
    <t>0.0011</t>
  </si>
  <si>
    <t>1.891 15</t>
  </si>
  <si>
    <t>1.893 76</t>
  </si>
  <si>
    <t>6.652 458 7051 e-29</t>
  </si>
  <si>
    <t>0.000 000 0062 e-29</t>
  </si>
  <si>
    <t>5496.921 535 51</t>
  </si>
  <si>
    <t>0.000 000 21</t>
  </si>
  <si>
    <t>5.957 924 930</t>
  </si>
  <si>
    <t>0.000 000 012</t>
  </si>
  <si>
    <t>1.504 609 5178 e-26</t>
  </si>
  <si>
    <t>0.000 000 0030 e-26</t>
  </si>
  <si>
    <t>1.622 393 6648 e-3</t>
  </si>
  <si>
    <t>0.000 000 0032 e-3</t>
  </si>
  <si>
    <t>2.978 962 4650</t>
  </si>
  <si>
    <t>0.000 000 0059</t>
  </si>
  <si>
    <t>5.007 356 7512 e-27</t>
  </si>
  <si>
    <t>4.500 387 8119 e-10</t>
  </si>
  <si>
    <t>2808.921 136 68</t>
  </si>
  <si>
    <t>3.015 500 715 97</t>
  </si>
  <si>
    <t>0.000 000 000 10</t>
  </si>
  <si>
    <t>3.015 500 719 13 e-3</t>
  </si>
  <si>
    <t>2.993 717 034 03</t>
  </si>
  <si>
    <t>1.066 639 9189</t>
  </si>
  <si>
    <t>0.000 000 0021</t>
  </si>
  <si>
    <t>8.854 187 8188 e-12</t>
  </si>
  <si>
    <t>0.000 000 0014 e-12</t>
  </si>
  <si>
    <t>1.256 637 061 27 e-6</t>
  </si>
  <si>
    <t>0.000 000 000 20 e-6</t>
  </si>
  <si>
    <t>25 812.807 45</t>
  </si>
  <si>
    <t>0.223 05</t>
  </si>
  <si>
    <t>5.878 925 757 e10</t>
  </si>
  <si>
    <t>2.897 771 955 e-3</t>
  </si>
  <si>
    <t>0.881 45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</si>
  <si>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</si>
  <si>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</si>
  <si>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</si>
  <si>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</si>
  <si>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</si>
  <si>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</si>
  <si>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</si>
  <si>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</si>
  <si>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</si>
  <si>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</si>
  <si>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</si>
  <si>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 xml:space="preserve"> 3.972 599 690 09</t>
  </si>
  <si>
    <t>0.000 000 000 22</t>
  </si>
  <si>
    <t xml:space="preserve"> 1.000 014 95 e-10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</si>
  <si>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</si>
  <si>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</si>
  <si>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</si>
  <si>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</si>
  <si>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</si>
  <si>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</si>
  <si>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</si>
  <si>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</si>
  <si>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</si>
  <si>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</si>
  <si>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</si>
  <si>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</si>
  <si>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</si>
  <si>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 xml:space="preserve"> 1.080 954 019 16 e13</t>
  </si>
  <si>
    <t>0.000 000 000 33 e13</t>
  </si>
  <si>
    <t xml:space="preserve"> 3.206 361 3061 e-53</t>
  </si>
  <si>
    <t xml:space="preserve"> 6.235 379 9905 e-65</t>
  </si>
  <si>
    <t>0.000 000 0038 e-65</t>
  </si>
  <si>
    <t xml:space="preserve"> 1.054 571 817... e-34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</si>
  <si>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</si>
  <si>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</si>
  <si>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</si>
  <si>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</si>
  <si>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</si>
  <si>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</si>
  <si>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</si>
  <si>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</si>
  <si>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</si>
  <si>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</si>
  <si>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</si>
  <si>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</si>
  <si>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</si>
  <si>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</si>
  <si>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</si>
  <si>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</si>
  <si>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</si>
  <si>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</si>
  <si>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</si>
  <si>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</si>
  <si>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</si>
  <si>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</si>
  <si>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</si>
  <si>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</si>
  <si>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</si>
  <si>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</si>
  <si>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</si>
  <si>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</si>
  <si>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 xml:space="preserve"> 1.992 851 914 10 e-24</t>
  </si>
  <si>
    <t>0.000 000 000 30 e-24</t>
  </si>
  <si>
    <t xml:space="preserve"> 1.112 650 055 45 e-10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</si>
  <si>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</si>
  <si>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</si>
  <si>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</si>
  <si>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</si>
  <si>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</si>
  <si>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</si>
  <si>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</si>
  <si>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</si>
  <si>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</si>
  <si>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</si>
  <si>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</si>
  <si>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</si>
  <si>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</si>
  <si>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</si>
  <si>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</si>
  <si>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</si>
  <si>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</si>
  <si>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</si>
  <si>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</si>
  <si>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</si>
  <si>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</si>
  <si>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</si>
  <si>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</si>
  <si>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</si>
  <si>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</si>
  <si>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</si>
  <si>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</si>
  <si>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</si>
  <si>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</si>
  <si>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</si>
  <si>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</si>
  <si>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</si>
  <si>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</si>
  <si>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 xml:space="preserve"> -4.664 345 551 e-4</t>
  </si>
  <si>
    <t xml:space="preserve"> 3670.482 967 88</t>
  </si>
  <si>
    <t>0.000 000 13</t>
  </si>
  <si>
    <t xml:space="preserve"> 0.857 438 2338</t>
  </si>
  <si>
    <t xml:space="preserve"> 4.330 735 094 e-27</t>
  </si>
  <si>
    <t xml:space="preserve"> 4.669 754 570 e-4</t>
  </si>
  <si>
    <t xml:space="preserve"> 3.343 583 7724 e-27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</si>
  <si>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</si>
  <si>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</si>
  <si>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</si>
  <si>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</si>
  <si>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</si>
  <si>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</si>
  <si>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</si>
  <si>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</si>
  <si>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</si>
  <si>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 xml:space="preserve"> 0.307 012 209 39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</si>
  <si>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</si>
  <si>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</si>
  <si>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</si>
  <si>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</si>
  <si>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</si>
  <si>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</si>
  <si>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</si>
  <si>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</si>
  <si>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</si>
  <si>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</si>
  <si>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</si>
  <si>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</si>
  <si>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</si>
  <si>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</si>
  <si>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</si>
  <si>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</si>
  <si>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</si>
  <si>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</si>
  <si>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 xml:space="preserve"> -1.001 159 652 181 28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</si>
  <si>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</si>
  <si>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</si>
  <si>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</si>
  <si>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</si>
  <si>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</si>
  <si>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</si>
  <si>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</si>
  <si>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</si>
  <si>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 xml:space="preserve"> 206.766 9883</t>
  </si>
  <si>
    <t xml:space="preserve"> 4.836 331 69 e-3</t>
  </si>
  <si>
    <t xml:space="preserve"> 960.920 50</t>
  </si>
  <si>
    <t xml:space="preserve"> 5.438 673 4424 e-4</t>
  </si>
  <si>
    <t>0.000 000 0026 e-4</t>
  </si>
  <si>
    <t xml:space="preserve"> -658.210 687 89</t>
  </si>
  <si>
    <t xml:space="preserve"> 5.446 170 214 87 e-4</t>
  </si>
  <si>
    <t>0.000 000 000 33 e-4</t>
  </si>
  <si>
    <t xml:space="preserve"> 2.875 85 e-4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</si>
  <si>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</si>
  <si>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</si>
  <si>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</si>
  <si>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</si>
  <si>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</si>
  <si>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</si>
  <si>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</si>
  <si>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</si>
  <si>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</si>
  <si>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</si>
  <si>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</si>
  <si>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</si>
  <si>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</si>
  <si>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</si>
  <si>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</si>
  <si>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</si>
  <si>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</si>
  <si>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</si>
  <si>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</si>
  <si>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 xml:space="preserve"> 7.297 352 5693 e-3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</si>
  <si>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</si>
  <si>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</si>
  <si>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</si>
  <si>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</si>
  <si>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</si>
  <si>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</si>
  <si>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</si>
  <si>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</si>
  <si>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</si>
  <si>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</si>
  <si>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</si>
  <si>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</si>
  <si>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</si>
  <si>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</si>
  <si>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</si>
  <si>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</si>
  <si>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</si>
  <si>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</si>
  <si>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</si>
  <si>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</si>
  <si>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</si>
  <si>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</si>
  <si>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</si>
  <si>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</si>
  <si>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</si>
  <si>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</si>
  <si>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</si>
  <si>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</si>
  <si>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</si>
  <si>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</si>
  <si>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</si>
  <si>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</si>
  <si>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</si>
  <si>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</si>
  <si>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</si>
  <si>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</si>
  <si>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</si>
  <si>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</si>
  <si>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</si>
  <si>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</si>
  <si>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</si>
  <si>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</si>
  <si>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</si>
  <si>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</si>
  <si>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</si>
  <si>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</si>
  <si>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</si>
  <si>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</si>
  <si>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</si>
  <si>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</si>
  <si>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</si>
  <si>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</si>
  <si>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</si>
  <si>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</si>
  <si>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</si>
  <si>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</si>
  <si>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</si>
  <si>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</si>
  <si>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</si>
  <si>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</si>
  <si>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</si>
  <si>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</si>
  <si>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</si>
  <si>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</si>
  <si>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</si>
  <si>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</si>
  <si>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</si>
  <si>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</si>
  <si>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</si>
  <si>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</si>
  <si>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</si>
  <si>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</si>
  <si>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</si>
  <si>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</si>
  <si>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</si>
  <si>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</si>
  <si>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</si>
  <si>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</si>
  <si>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</si>
  <si>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</si>
  <si>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 xml:space="preserve"> 1.920 155 716 e-10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</si>
  <si>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</si>
  <si>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</si>
  <si>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</si>
  <si>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</si>
  <si>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</si>
  <si>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</si>
  <si>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</si>
  <si>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</si>
  <si>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</si>
  <si>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</si>
  <si>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</si>
  <si>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</si>
  <si>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</si>
  <si>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 xml:space="preserve"> 1.002 099 52 e-13</t>
  </si>
  <si>
    <t xml:space="preserve"> 1.173 444 110 e-14</t>
  </si>
  <si>
    <t xml:space="preserve"> 206.768 2830</t>
  </si>
  <si>
    <t xml:space="preserve"> -2.002 331 8418</t>
  </si>
  <si>
    <t>0.000 000 0013</t>
  </si>
  <si>
    <t xml:space="preserve"> -4.490 448 30 e-26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</si>
  <si>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</si>
  <si>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</si>
  <si>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</si>
  <si>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</si>
  <si>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</si>
  <si>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 xml:space="preserve"> 1.692 833 804 e-11</t>
  </si>
  <si>
    <t xml:space="preserve"> 105.658 3755</t>
  </si>
  <si>
    <t xml:space="preserve"> 0.113 428 9259</t>
  </si>
  <si>
    <t xml:space="preserve"> 1.134 289 259 e-4</t>
  </si>
  <si>
    <t xml:space="preserve"> 0.112 454 5170</t>
  </si>
  <si>
    <t xml:space="preserve"> -3.183 345 142</t>
  </si>
  <si>
    <t xml:space="preserve"> 0.112 609 5264</t>
  </si>
  <si>
    <t xml:space="preserve"> 5.946 35 e-2</t>
  </si>
  <si>
    <t xml:space="preserve"> 6.582 119 569... e-16</t>
  </si>
  <si>
    <t xml:space="preserve"> 3.861 592 6796 e-13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</si>
  <si>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</si>
  <si>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</si>
  <si>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</si>
  <si>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</si>
  <si>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</si>
  <si>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</si>
  <si>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</si>
  <si>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 xml:space="preserve"> 1838.683 661 73</t>
  </si>
  <si>
    <t>0.000 000 89</t>
  </si>
  <si>
    <t xml:space="preserve"> -3.826 085 45</t>
  </si>
  <si>
    <t xml:space="preserve"> 1.832 471 71 e8</t>
  </si>
  <si>
    <t xml:space="preserve"> 29.164 6931</t>
  </si>
  <si>
    <t xml:space="preserve"> -9.662 3651 e-27</t>
  </si>
  <si>
    <t xml:space="preserve"> -1.041 875 63 e-3</t>
  </si>
  <si>
    <t xml:space="preserve"> -1.913 042 73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</si>
  <si>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</si>
  <si>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</si>
  <si>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</si>
  <si>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</si>
  <si>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</si>
  <si>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</si>
  <si>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</si>
  <si>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</si>
  <si>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</si>
  <si>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</si>
  <si>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</si>
  <si>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</si>
  <si>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</si>
  <si>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</si>
  <si>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</si>
  <si>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</si>
  <si>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</si>
  <si>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</si>
  <si>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</si>
  <si>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</si>
  <si>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</si>
  <si>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</si>
  <si>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 xml:space="preserve"> -0.684 996 94</t>
  </si>
  <si>
    <t xml:space="preserve"> 6.674 30 e-11</t>
  </si>
  <si>
    <t xml:space="preserve"> 6.708 83 e-39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</si>
  <si>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</si>
  <si>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</si>
  <si>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</si>
  <si>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</si>
  <si>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</si>
  <si>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</si>
  <si>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 xml:space="preserve"> 7.622 593 2291</t>
  </si>
  <si>
    <t>0.000 000 0023</t>
  </si>
  <si>
    <t xml:space="preserve"> 1.616 255 e-35</t>
  </si>
  <si>
    <t xml:space="preserve"> 2.176 434 e-8</t>
  </si>
  <si>
    <t xml:space="preserve"> 1.220 890 e19</t>
  </si>
  <si>
    <t xml:space="preserve"> 1.416 784 e32</t>
  </si>
  <si>
    <t xml:space="preserve"> 5.391 247 e-44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</si>
  <si>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</si>
  <si>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</si>
  <si>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</si>
  <si>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</si>
  <si>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</si>
  <si>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 xml:space="preserve"> 2.675 221 8744 e8</t>
  </si>
  <si>
    <t xml:space="preserve"> 42.577 478 518</t>
  </si>
  <si>
    <t xml:space="preserve"> 1.410 606 797 36 e-26</t>
  </si>
  <si>
    <t xml:space="preserve"> 1.521 032 202 30 e-3</t>
  </si>
  <si>
    <t>0.000 000 000 46 e-3</t>
  </si>
  <si>
    <t xml:space="preserve"> 2.792 847 344 63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</si>
  <si>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</si>
  <si>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</si>
  <si>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</si>
  <si>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</si>
  <si>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</si>
  <si>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 xml:space="preserve"> 938.272 088 16</t>
  </si>
  <si>
    <t xml:space="preserve"> 1.007 276 466 621</t>
  </si>
  <si>
    <t xml:space="preserve"> 1.007 276 466 27 e-3</t>
  </si>
  <si>
    <t xml:space="preserve"> 8.880 243 37</t>
  </si>
  <si>
    <t xml:space="preserve"> -1.459 898 05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</si>
  <si>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</si>
  <si>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</si>
  <si>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</si>
  <si>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</si>
  <si>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</si>
  <si>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</si>
  <si>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 xml:space="preserve"> 1.867 594 306 e-15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</si>
  <si>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</si>
  <si>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</si>
  <si>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</si>
  <si>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</si>
  <si>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</si>
  <si>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</si>
  <si>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</si>
  <si>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</si>
  <si>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</si>
  <si>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</si>
  <si>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</si>
  <si>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</si>
  <si>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</si>
  <si>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</si>
  <si>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</si>
  <si>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</si>
  <si>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</si>
  <si>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</si>
  <si>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</si>
  <si>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</si>
  <si>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</si>
  <si>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</si>
  <si>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</si>
  <si>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</si>
  <si>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</si>
  <si>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</si>
  <si>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</si>
  <si>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</si>
  <si>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</si>
  <si>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</si>
  <si>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</si>
  <si>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</si>
  <si>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</si>
  <si>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</si>
  <si>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</si>
  <si>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</si>
  <si>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</si>
  <si>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</si>
  <si>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</si>
  <si>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</si>
  <si>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</si>
  <si>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</si>
  <si>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</si>
  <si>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</si>
  <si>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 xml:space="preserve"> 3477.23</t>
  </si>
  <si>
    <t xml:space="preserve"> 1776.86</t>
  </si>
  <si>
    <t xml:space="preserve"> 3.167 54 e-27</t>
  </si>
  <si>
    <t xml:space="preserve"> 2.846 84 e-10</t>
  </si>
  <si>
    <t xml:space="preserve"> 1.907 54</t>
  </si>
  <si>
    <t xml:space="preserve"> 1.907 54 e-3</t>
  </si>
  <si>
    <t xml:space="preserve"> 16.8170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</si>
  <si>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</si>
  <si>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</si>
  <si>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</si>
  <si>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</si>
  <si>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</si>
  <si>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</si>
  <si>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</si>
  <si>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 xml:space="preserve"> 1.504 609 5202 e-26</t>
  </si>
  <si>
    <t xml:space="preserve"> 1.622 393 6651 e-3</t>
  </si>
  <si>
    <t xml:space="preserve"> 2.978 962 4656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</si>
  <si>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</si>
  <si>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</si>
  <si>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</si>
  <si>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</si>
  <si>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</si>
  <si>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</si>
  <si>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</si>
  <si>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</si>
  <si>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</si>
  <si>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</si>
  <si>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</si>
  <si>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</si>
  <si>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</si>
  <si>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</si>
  <si>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</si>
  <si>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</si>
  <si>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</si>
  <si>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</si>
  <si>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</si>
  <si>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</si>
  <si>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</si>
  <si>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</si>
  <si>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</si>
  <si>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</si>
  <si>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</si>
  <si>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</si>
  <si>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</si>
  <si>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</si>
  <si>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</si>
  <si>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</si>
  <si>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</si>
  <si>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</si>
  <si>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</si>
  <si>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</si>
  <si>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</si>
  <si>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</si>
  <si>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</si>
  <si>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</si>
  <si>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</si>
  <si>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</si>
  <si>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</si>
  <si>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</si>
  <si>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</si>
  <si>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</si>
  <si>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</si>
  <si>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</si>
  <si>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</si>
  <si>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</si>
  <si>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</si>
  <si>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</si>
  <si>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</si>
  <si>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</si>
  <si>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</si>
  <si>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</si>
  <si>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</si>
  <si>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</si>
  <si>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</si>
  <si>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</si>
  <si>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</si>
  <si>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</si>
  <si>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</si>
  <si>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</si>
  <si>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</si>
  <si>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</si>
  <si>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</si>
  <si>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</si>
  <si>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</si>
  <si>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</si>
  <si>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</si>
  <si>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</si>
  <si>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</si>
  <si>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</si>
  <si>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</si>
  <si>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</si>
  <si>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</si>
  <si>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</si>
  <si>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</si>
  <si>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</si>
  <si>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</si>
  <si>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</si>
  <si>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</si>
  <si>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</si>
  <si>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</si>
  <si>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</si>
  <si>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</si>
  <si>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</si>
  <si>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</si>
  <si>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</si>
  <si>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</si>
  <si>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</si>
  <si>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</si>
  <si>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</si>
  <si>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</si>
  <si>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</si>
  <si>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</si>
  <si>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</si>
  <si>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</si>
  <si>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</si>
  <si>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</si>
  <si>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</si>
  <si>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</si>
  <si>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</si>
  <si>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</si>
  <si>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</si>
  <si>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</si>
  <si>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>BohrMagnetonInInverseMetersPerTesla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</si>
  <si>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</si>
  <si>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</si>
  <si>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</si>
  <si>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</si>
  <si>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</si>
  <si>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</si>
  <si>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</si>
  <si>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</si>
  <si>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</si>
  <si>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</si>
  <si>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</si>
  <si>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>BoltzmannConstantInInverseMetersPerKelvin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</si>
  <si>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</si>
  <si>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</si>
  <si>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</si>
  <si>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</si>
  <si>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</si>
  <si>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</si>
  <si>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</si>
  <si>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</si>
  <si>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</si>
  <si>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</si>
  <si>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</si>
  <si>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</si>
  <si>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</si>
  <si>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</si>
  <si>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</si>
  <si>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</si>
  <si>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</si>
  <si>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</si>
  <si>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</si>
  <si>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</si>
  <si>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</si>
  <si>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</si>
  <si>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</si>
  <si>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</si>
  <si>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</si>
  <si>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</si>
  <si>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</si>
  <si>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</si>
  <si>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</si>
  <si>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</si>
  <si>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</si>
  <si>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</si>
  <si>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</si>
  <si>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</si>
  <si>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</si>
  <si>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</si>
  <si>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</si>
  <si>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</si>
  <si>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</si>
  <si>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</si>
  <si>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</si>
  <si>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</si>
  <si>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</si>
  <si>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</si>
  <si>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</si>
  <si>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</si>
  <si>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</si>
  <si>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</si>
  <si>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</si>
  <si>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</si>
  <si>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</si>
  <si>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</si>
  <si>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</si>
  <si>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</si>
  <si>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</si>
  <si>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</si>
  <si>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</si>
  <si>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</si>
  <si>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</si>
  <si>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</si>
  <si>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</si>
  <si>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</si>
  <si>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</si>
  <si>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</si>
  <si>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</si>
  <si>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</si>
  <si>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</si>
  <si>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</si>
  <si>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</si>
  <si>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</si>
  <si>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</si>
  <si>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</si>
  <si>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</si>
  <si>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</si>
  <si>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</si>
  <si>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</si>
  <si>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</si>
  <si>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</si>
  <si>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</si>
  <si>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</si>
  <si>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</si>
  <si>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</si>
  <si>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</si>
  <si>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</si>
  <si>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</si>
  <si>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</si>
  <si>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</si>
  <si>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</si>
  <si>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</si>
  <si>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</si>
  <si>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</si>
  <si>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</si>
  <si>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</si>
  <si>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</si>
  <si>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</si>
  <si>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</si>
  <si>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</si>
  <si>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</si>
  <si>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</si>
  <si>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</si>
  <si>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</si>
  <si>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</si>
  <si>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</si>
  <si>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</si>
  <si>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</si>
  <si>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</si>
  <si>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</si>
  <si>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</si>
  <si>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</si>
  <si>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</si>
  <si>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</si>
  <si>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</si>
  <si>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</si>
  <si>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</si>
  <si>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</si>
  <si>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</si>
  <si>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</si>
  <si>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</si>
  <si>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</si>
  <si>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</si>
  <si>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</si>
  <si>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</si>
  <si>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</si>
  <si>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</si>
  <si>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</si>
  <si>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</si>
  <si>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</si>
  <si>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</si>
  <si>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</si>
  <si>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</si>
  <si>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</si>
  <si>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</si>
  <si>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</si>
  <si>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</si>
  <si>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</si>
  <si>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</si>
  <si>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</si>
  <si>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</si>
  <si>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</si>
  <si>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</si>
  <si>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</si>
  <si>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</si>
  <si>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</si>
  <si>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</si>
  <si>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</si>
  <si>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</si>
  <si>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</si>
  <si>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</si>
  <si>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</si>
  <si>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</si>
  <si>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</si>
  <si>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</si>
  <si>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</si>
  <si>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</si>
  <si>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</si>
  <si>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</si>
  <si>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</si>
  <si>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</si>
  <si>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</si>
  <si>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</si>
  <si>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</si>
  <si>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</si>
  <si>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</si>
  <si>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</si>
  <si>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</si>
  <si>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</si>
  <si>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</si>
  <si>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</si>
  <si>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</si>
  <si>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</si>
  <si>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</si>
  <si>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</si>
  <si>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</si>
  <si>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</si>
  <si>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</si>
  <si>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</si>
  <si>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</si>
  <si>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</si>
  <si>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</si>
  <si>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</si>
  <si>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</si>
  <si>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</si>
  <si>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</si>
  <si>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</si>
  <si>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</si>
  <si>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</si>
  <si>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</si>
  <si>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</si>
  <si>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</si>
  <si>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</si>
  <si>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</si>
  <si>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</si>
  <si>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</si>
  <si>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</si>
  <si>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</si>
  <si>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</si>
  <si>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</si>
  <si>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</si>
  <si>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</si>
  <si>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</si>
  <si>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</si>
  <si>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</si>
  <si>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</si>
  <si>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</si>
  <si>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</si>
  <si>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</si>
  <si>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</si>
  <si>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</si>
  <si>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</si>
  <si>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</si>
  <si>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</si>
  <si>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</si>
  <si>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</si>
  <si>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</si>
  <si>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</si>
  <si>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</si>
  <si>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</si>
  <si>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</si>
  <si>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</si>
  <si>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</si>
  <si>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</si>
  <si>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</si>
  <si>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</si>
  <si>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</si>
  <si>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</si>
  <si>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</si>
  <si>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</si>
  <si>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</si>
  <si>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</si>
  <si>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</si>
  <si>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</si>
  <si>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</si>
  <si>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</si>
  <si>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</si>
  <si>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</si>
  <si>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</si>
  <si>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</si>
  <si>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</si>
  <si>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</si>
  <si>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</si>
  <si>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</si>
  <si>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</si>
  <si>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</si>
  <si>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</si>
  <si>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</si>
  <si>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</si>
  <si>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</si>
  <si>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</si>
  <si>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</si>
  <si>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</si>
  <si>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</si>
  <si>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</si>
  <si>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</si>
  <si>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</si>
  <si>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</si>
  <si>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</si>
  <si>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</si>
  <si>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</si>
  <si>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</si>
  <si>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</si>
  <si>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</si>
  <si>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</si>
  <si>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</si>
  <si>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</si>
  <si>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</si>
  <si>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</si>
  <si>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</si>
  <si>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</si>
  <si>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</si>
  <si>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</si>
  <si>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</si>
  <si>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</si>
  <si>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>NuclearMagnetonInInverseMetersPerTesla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</si>
  <si>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</si>
  <si>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</si>
  <si>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</si>
  <si>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</si>
  <si>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</si>
  <si>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</si>
  <si>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PlanckConstantOver2Pi</t>
  </si>
  <si>
    <t>PlanckConstantOver2PiInEVS</t>
  </si>
  <si>
    <t xml:space="preserve"> 197.326 9788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</si>
  <si>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</si>
  <si>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</si>
  <si>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</si>
  <si>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</si>
  <si>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</si>
  <si>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</si>
  <si>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</si>
  <si>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</si>
  <si>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</si>
  <si>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</si>
  <si>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</si>
  <si>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</si>
  <si>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</si>
  <si>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</si>
  <si>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</si>
  <si>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</si>
  <si>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</si>
  <si>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</si>
  <si>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</si>
  <si>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</si>
  <si>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</si>
  <si>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</si>
  <si>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</si>
  <si>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</si>
  <si>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</si>
  <si>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</si>
  <si>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</si>
  <si>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</si>
  <si>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</si>
  <si>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</si>
  <si>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</si>
  <si>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</si>
  <si>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</si>
  <si>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</si>
  <si>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</si>
  <si>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</si>
  <si>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</si>
  <si>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</si>
  <si>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</si>
  <si>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</si>
  <si>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</si>
  <si>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</si>
  <si>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</si>
  <si>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</si>
  <si>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</si>
  <si>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</si>
  <si>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</si>
  <si>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</si>
  <si>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</si>
  <si>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</si>
  <si>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</si>
  <si>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</si>
  <si>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</si>
  <si>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</si>
  <si>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</si>
  <si>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</si>
  <si>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</si>
  <si>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</si>
  <si>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</si>
  <si>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</si>
  <si>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</si>
  <si>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</si>
  <si>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</si>
  <si>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</si>
  <si>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</si>
  <si>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</si>
  <si>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</si>
  <si>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</si>
  <si>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</si>
  <si>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</si>
  <si>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</si>
  <si>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</si>
  <si>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</si>
  <si>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</si>
  <si>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</si>
  <si>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</si>
  <si>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</si>
  <si>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</si>
  <si>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</si>
  <si>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</si>
  <si>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</si>
  <si>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</si>
  <si>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</si>
  <si>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</si>
  <si>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</si>
  <si>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</si>
  <si>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</si>
  <si>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</si>
  <si>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</si>
  <si>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</si>
  <si>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</si>
  <si>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</si>
  <si>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</si>
  <si>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</si>
  <si>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</si>
  <si>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</si>
  <si>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</si>
  <si>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</si>
  <si>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</si>
  <si>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</si>
  <si>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</si>
  <si>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</si>
  <si>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</si>
  <si>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</si>
  <si>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</si>
  <si>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</si>
  <si>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</si>
  <si>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</si>
  <si>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</si>
  <si>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</si>
  <si>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</si>
  <si>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</si>
  <si>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</si>
  <si>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</si>
  <si>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</si>
  <si>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</si>
  <si>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</si>
  <si>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</si>
  <si>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</si>
  <si>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</si>
  <si>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</si>
  <si>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</si>
  <si>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</si>
  <si>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</si>
  <si>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</si>
  <si>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</si>
  <si>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</si>
  <si>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</si>
  <si>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</si>
  <si>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</si>
  <si>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</si>
  <si>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</si>
  <si>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</si>
  <si>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</si>
  <si>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</si>
  <si>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</si>
  <si>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</si>
  <si>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</si>
  <si>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</si>
  <si>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</si>
  <si>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</si>
  <si>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</si>
  <si>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</si>
  <si>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</si>
  <si>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</si>
  <si>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</si>
  <si>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</si>
  <si>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</si>
  <si>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</si>
  <si>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</si>
  <si>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</si>
  <si>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</si>
  <si>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</si>
  <si>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</si>
  <si>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</si>
  <si>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</si>
  <si>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</si>
  <si>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</si>
  <si>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</si>
  <si>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</si>
  <si>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</si>
  <si>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</si>
  <si>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</si>
  <si>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</si>
  <si>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</si>
  <si>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</si>
  <si>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</si>
  <si>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</si>
  <si>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</si>
  <si>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</si>
  <si>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</si>
  <si>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</si>
  <si>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</si>
  <si>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</si>
  <si>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</si>
  <si>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</si>
  <si>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</si>
  <si>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</si>
  <si>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</si>
  <si>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</si>
  <si>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</si>
  <si>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</si>
  <si>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</si>
  <si>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</si>
  <si>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</si>
  <si>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</si>
  <si>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</si>
  <si>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</si>
  <si>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</si>
  <si>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</si>
  <si>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</si>
  <si>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</si>
  <si>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</si>
  <si>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</si>
  <si>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</si>
  <si>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</si>
  <si>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</si>
  <si>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</si>
  <si>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</si>
  <si>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</si>
  <si>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</si>
  <si>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</si>
  <si>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</si>
  <si>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</si>
  <si>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</si>
  <si>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</si>
  <si>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</si>
  <si>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</si>
  <si>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</si>
  <si>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</si>
  <si>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</si>
  <si>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</si>
  <si>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</si>
  <si>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</si>
  <si>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</si>
  <si>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</si>
  <si>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</si>
  <si>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</si>
  <si>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</si>
  <si>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</si>
  <si>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</si>
  <si>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</si>
  <si>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</si>
  <si>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</si>
  <si>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</si>
  <si>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</si>
  <si>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</si>
  <si>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</si>
  <si>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</si>
  <si>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</si>
  <si>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</si>
  <si>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</si>
  <si>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</si>
  <si>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</si>
  <si>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</si>
  <si>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</si>
  <si>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</si>
  <si>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</si>
  <si>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</si>
  <si>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</si>
  <si>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</si>
  <si>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</si>
  <si>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 xml:space="preserve"> 1.999 007 500 97</t>
  </si>
  <si>
    <t>0.000 000 000 18</t>
  </si>
  <si>
    <t xml:space="preserve"> 2.1424 e-15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</si>
  <si>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</si>
  <si>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</si>
  <si>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</si>
  <si>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</si>
  <si>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</si>
  <si>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</si>
  <si>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</si>
  <si>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</si>
  <si>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</si>
  <si>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</si>
  <si>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</si>
  <si>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</si>
  <si>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</si>
  <si>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</si>
  <si>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</si>
  <si>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</si>
  <si>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</si>
  <si>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</si>
  <si>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</si>
  <si>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</si>
  <si>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</si>
  <si>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</si>
  <si>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</si>
  <si>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</si>
  <si>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</si>
  <si>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</si>
  <si>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</si>
  <si>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</si>
  <si>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</si>
  <si>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</si>
  <si>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</si>
  <si>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</si>
  <si>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</si>
  <si>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</si>
  <si>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</si>
  <si>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</si>
  <si>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</si>
  <si>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</si>
  <si>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</si>
  <si>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</si>
  <si>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</si>
  <si>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</si>
  <si>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</si>
  <si>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</si>
  <si>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</si>
  <si>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</si>
  <si>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</si>
  <si>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</si>
  <si>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</si>
  <si>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</si>
  <si>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</si>
  <si>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</si>
  <si>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</si>
  <si>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</si>
  <si>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</si>
  <si>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</si>
  <si>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</si>
  <si>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</si>
  <si>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</si>
  <si>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</si>
  <si>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</si>
  <si>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</si>
  <si>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</si>
  <si>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</si>
  <si>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</si>
  <si>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</si>
  <si>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</si>
  <si>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</si>
  <si>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</si>
  <si>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</si>
  <si>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</si>
  <si>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</si>
  <si>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</si>
  <si>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</si>
  <si>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</si>
  <si>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</si>
  <si>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</si>
  <si>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</si>
  <si>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</si>
  <si>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</si>
  <si>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</si>
  <si>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</si>
  <si>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</si>
  <si>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</si>
  <si>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</si>
  <si>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</si>
  <si>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</si>
  <si>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</si>
  <si>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</si>
  <si>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</si>
  <si>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</si>
  <si>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</si>
  <si>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</si>
  <si>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</si>
  <si>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</si>
  <si>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</si>
  <si>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</si>
  <si>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</si>
  <si>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</si>
  <si>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</si>
  <si>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</si>
  <si>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</si>
  <si>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</si>
  <si>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</si>
  <si>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</si>
  <si>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</si>
  <si>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</si>
  <si>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</si>
  <si>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</si>
  <si>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</si>
  <si>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</si>
  <si>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</si>
  <si>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</si>
  <si>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</si>
  <si>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</si>
  <si>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</si>
  <si>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</si>
  <si>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</si>
  <si>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</si>
  <si>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</si>
  <si>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</si>
  <si>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</si>
  <si>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</si>
  <si>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</si>
  <si>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</si>
  <si>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</si>
  <si>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</si>
  <si>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</si>
  <si>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</si>
  <si>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</si>
  <si>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</si>
  <si>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</si>
  <si>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</si>
  <si>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</si>
  <si>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</si>
  <si>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</si>
  <si>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</si>
  <si>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</si>
  <si>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</si>
  <si>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</si>
  <si>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</si>
  <si>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</si>
  <si>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</si>
  <si>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</si>
  <si>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</si>
  <si>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</si>
  <si>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</si>
  <si>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</si>
  <si>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</si>
  <si>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</si>
  <si>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</si>
  <si>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</si>
  <si>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</si>
  <si>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</si>
  <si>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</si>
  <si>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</si>
  <si>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</si>
  <si>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</si>
  <si>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</si>
  <si>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</si>
  <si>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</si>
  <si>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</si>
  <si>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</si>
  <si>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</si>
  <si>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</si>
  <si>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</si>
  <si>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</si>
  <si>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</si>
  <si>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</si>
  <si>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</si>
  <si>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</si>
  <si>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</si>
  <si>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</si>
  <si>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</si>
  <si>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</si>
  <si>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</si>
  <si>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</si>
  <si>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</si>
  <si>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</si>
  <si>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</si>
  <si>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</si>
  <si>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</si>
  <si>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</si>
  <si>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</si>
  <si>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</si>
  <si>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</si>
  <si>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</si>
  <si>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</si>
  <si>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</si>
  <si>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</si>
  <si>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</si>
  <si>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</si>
  <si>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</si>
  <si>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</si>
  <si>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</si>
  <si>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</si>
  <si>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</si>
  <si>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</si>
  <si>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</si>
  <si>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</si>
  <si>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</si>
  <si>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</si>
  <si>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</si>
  <si>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</si>
  <si>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</si>
  <si>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</si>
  <si>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</si>
  <si>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</si>
  <si>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</si>
  <si>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</si>
  <si>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</si>
  <si>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</si>
  <si>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</si>
  <si>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</si>
  <si>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</si>
  <si>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</si>
  <si>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</si>
  <si>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</si>
  <si>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</si>
  <si>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</si>
  <si>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</si>
  <si>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</si>
  <si>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</si>
  <si>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</si>
  <si>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</si>
  <si>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</si>
  <si>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</si>
  <si>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</si>
  <si>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</si>
  <si>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</si>
  <si>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</si>
  <si>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</si>
  <si>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</si>
  <si>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</si>
  <si>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</si>
  <si>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</si>
  <si>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</si>
  <si>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</si>
  <si>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</si>
  <si>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</si>
  <si>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</si>
  <si>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</si>
  <si>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</si>
  <si>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</si>
  <si>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</si>
  <si>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</si>
  <si>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</si>
  <si>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</si>
  <si>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</si>
  <si>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</si>
  <si>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</si>
  <si>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</si>
  <si>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</si>
  <si>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</si>
  <si>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</si>
  <si>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</si>
  <si>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</si>
  <si>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</si>
  <si>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</si>
  <si>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</si>
  <si>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</si>
  <si>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</si>
  <si>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</si>
  <si>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</si>
  <si>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</si>
  <si>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</si>
  <si>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</si>
  <si>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</si>
  <si>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</si>
  <si>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</si>
  <si>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</si>
  <si>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</si>
  <si>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</si>
  <si>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</si>
  <si>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</si>
  <si>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</si>
  <si>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</si>
  <si>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</si>
  <si>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</si>
  <si>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</si>
  <si>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</si>
  <si>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</si>
  <si>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</si>
  <si>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</si>
  <si>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</si>
  <si>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</si>
  <si>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</si>
  <si>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</si>
  <si>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</si>
  <si>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</si>
  <si>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</si>
  <si>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</si>
  <si>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</si>
  <si>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</si>
  <si>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</si>
  <si>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</si>
  <si>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</si>
  <si>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</si>
  <si>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</si>
  <si>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</si>
  <si>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</si>
  <si>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</si>
  <si>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</si>
  <si>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</si>
  <si>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</si>
  <si>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</si>
  <si>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</si>
  <si>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</si>
  <si>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</si>
  <si>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</si>
  <si>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</si>
  <si>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</si>
  <si>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</si>
  <si>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</si>
  <si>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</si>
  <si>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</si>
  <si>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</si>
  <si>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</si>
  <si>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</si>
  <si>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</si>
  <si>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</si>
  <si>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</si>
  <si>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</si>
  <si>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</si>
  <si>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</si>
  <si>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</si>
  <si>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</si>
  <si>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unit_nist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</si>
  <si>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</si>
  <si>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</si>
  <si>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</si>
  <si>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</si>
  <si>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</si>
  <si>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</si>
  <si>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</si>
  <si>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</si>
  <si>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</si>
  <si>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</si>
  <si>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</si>
  <si>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</si>
  <si>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</si>
  <si>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</si>
  <si>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</si>
  <si>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</si>
  <si>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</si>
  <si>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</si>
  <si>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</si>
  <si>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</si>
  <si>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</si>
  <si>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</si>
  <si>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</si>
  <si>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</si>
  <si>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</si>
  <si>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</si>
  <si>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</si>
  <si>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</si>
  <si>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</si>
  <si>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</si>
  <si>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</si>
  <si>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</si>
  <si>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</si>
  <si>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</si>
  <si>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4.486 551 07(11) e-40</t>
  </si>
  <si>
    <t>4.359 743 94(22) e-18</t>
  </si>
  <si>
    <t>8.238 722 06(41) e-8</t>
  </si>
  <si>
    <t>0.529 177 208 59(36) e-10</t>
  </si>
  <si>
    <t>1.854 801 830(46) e-23</t>
  </si>
  <si>
    <t>J T^{-1}</t>
  </si>
  <si>
    <t>atomic unit of magnetic flux density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</si>
  <si>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</si>
  <si>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</si>
  <si>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</si>
  <si>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</si>
  <si>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</si>
  <si>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</si>
  <si>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</si>
  <si>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</si>
  <si>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</si>
  <si>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</si>
  <si>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</si>
  <si>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</si>
  <si>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</si>
  <si>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</si>
  <si>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</si>
  <si>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</si>
  <si>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</si>
  <si>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</si>
  <si>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</si>
  <si>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</si>
  <si>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</si>
  <si>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</si>
  <si>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</si>
  <si>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</si>
  <si>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</si>
  <si>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</si>
  <si>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</si>
  <si>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</si>
  <si>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</si>
  <si>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</si>
  <si>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</si>
  <si>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</si>
  <si>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</si>
  <si>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</si>
  <si>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</si>
  <si>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Hz V^{-1}</t>
  </si>
  <si>
    <t>1.002 076 99(28) e-13</t>
  </si>
  <si>
    <t>0.857 438 2308(72)</t>
  </si>
  <si>
    <t>0.433 073 465(11) e-26</t>
  </si>
  <si>
    <t>0.466 975 4556(39) e-3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</si>
  <si>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</si>
  <si>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</si>
  <si>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</si>
  <si>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</si>
  <si>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</si>
  <si>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</si>
  <si>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deuteron-electron magnetic moment ratio</t>
  </si>
  <si>
    <t>-4.664 345 537(39) e-4</t>
  </si>
  <si>
    <t>3670.482 9654(16)</t>
  </si>
  <si>
    <t>deuteron-neutron magnetic moment ratio</t>
  </si>
  <si>
    <t>-0.448 206 52(11)</t>
  </si>
  <si>
    <t>deuteron-proton magnetic moment ratio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</si>
  <si>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</si>
  <si>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</si>
  <si>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</si>
  <si>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</si>
  <si>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</si>
  <si>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</si>
  <si>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1.760 859 770(44) e11</t>
  </si>
  <si>
    <t>s^{-1} T^{-1}</t>
  </si>
  <si>
    <t>28 024.953 64(70)</t>
  </si>
  <si>
    <t>MHz T^{-1}</t>
  </si>
  <si>
    <t>-928.476 377(23) e-26</t>
  </si>
  <si>
    <t>1.159 652 181 11(74) e-3</t>
  </si>
  <si>
    <t>-1.001 159 652 181 11(74)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</si>
  <si>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</si>
  <si>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</si>
  <si>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</si>
  <si>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</si>
  <si>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</si>
  <si>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</si>
  <si>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864.058 257(10)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</si>
  <si>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</si>
  <si>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</si>
  <si>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</si>
  <si>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</si>
  <si>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</si>
  <si>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</si>
  <si>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</si>
  <si>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</si>
  <si>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electron-deuteron magnetic moment ratio</t>
  </si>
  <si>
    <t>-2143.923 498(18)</t>
  </si>
  <si>
    <t>2.724 437 1093(12) e-4</t>
  </si>
  <si>
    <t>electron-muon magnetic moment ratio</t>
  </si>
  <si>
    <t>206.766 9877(52)</t>
  </si>
  <si>
    <t>4.836 331 71(12) e-3</t>
  </si>
  <si>
    <t>electron-neutron magnetic moment ratio</t>
  </si>
  <si>
    <t>960.920 50(23)</t>
  </si>
  <si>
    <t>5.438 673 4459(33) e-4</t>
  </si>
  <si>
    <t>electron-proton magnetic moment ratio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</si>
  <si>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</si>
  <si>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</si>
  <si>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</si>
  <si>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</si>
  <si>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</si>
  <si>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</si>
  <si>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</si>
  <si>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</si>
  <si>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</si>
  <si>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</si>
  <si>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</si>
  <si>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</si>
  <si>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</si>
  <si>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</si>
  <si>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</si>
  <si>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hartree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</si>
  <si>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</si>
  <si>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</si>
  <si>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</si>
  <si>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</si>
  <si>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</si>
  <si>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</si>
  <si>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</si>
  <si>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</si>
  <si>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</si>
  <si>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</si>
  <si>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</si>
  <si>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</si>
  <si>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</si>
  <si>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</si>
  <si>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</si>
  <si>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</si>
  <si>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</si>
  <si>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</si>
  <si>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</si>
  <si>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</si>
  <si>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</si>
  <si>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</si>
  <si>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</si>
  <si>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</si>
  <si>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</si>
  <si>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</si>
  <si>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</si>
  <si>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</si>
  <si>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</si>
  <si>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</si>
  <si>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</si>
  <si>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</si>
  <si>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</si>
  <si>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</si>
  <si>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</si>
  <si>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</si>
  <si>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</si>
  <si>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</si>
  <si>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</si>
  <si>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</si>
  <si>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</si>
  <si>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</si>
  <si>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</si>
  <si>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</si>
  <si>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</si>
  <si>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</si>
  <si>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lattice spacing of Si (220)</t>
  </si>
  <si>
    <t>192.015 5762(50) e-12</t>
  </si>
  <si>
    <t>2.686 7774(47) e25</t>
  </si>
  <si>
    <t>m^{-3}</t>
  </si>
  <si>
    <t>12.566 370 614... e-7</t>
  </si>
  <si>
    <t>N A^{-2}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</si>
  <si>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</si>
  <si>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</si>
  <si>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</si>
  <si>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</si>
  <si>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</si>
  <si>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</si>
  <si>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</si>
  <si>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</si>
  <si>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</si>
  <si>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</si>
  <si>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</si>
  <si>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</si>
  <si>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</si>
  <si>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</si>
  <si>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</si>
  <si>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</si>
  <si>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</si>
  <si>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-4.490 447 86(16) e-26</t>
  </si>
  <si>
    <t>1.165 920 69(60) e-3</t>
  </si>
  <si>
    <t>-4.841 970 49(12) e-3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</si>
  <si>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</si>
  <si>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</si>
  <si>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</si>
  <si>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</si>
  <si>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</si>
  <si>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</si>
  <si>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</si>
  <si>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</si>
  <si>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muon-proton magnetic moment ratio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</si>
  <si>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</si>
  <si>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</si>
  <si>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</si>
  <si>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</si>
  <si>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</si>
  <si>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</si>
  <si>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</si>
  <si>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</si>
  <si>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</si>
  <si>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1.832 471 85(43) e8</t>
  </si>
  <si>
    <t>29.164 6954(69)</t>
  </si>
  <si>
    <t>-0.966 236 41(23) e-26</t>
  </si>
  <si>
    <t>-1.041 875 63(25) e-3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</si>
  <si>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</si>
  <si>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</si>
  <si>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</si>
  <si>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</si>
  <si>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</si>
  <si>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</si>
  <si>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-0.684 996 94(16)</t>
  </si>
  <si>
    <t>neutron-electron magnetic moment ratio</t>
  </si>
  <si>
    <t>1.040 668 82(25) e-3</t>
  </si>
  <si>
    <t>1838.683 6605(11)</t>
  </si>
  <si>
    <t>8.892 484 09(23)</t>
  </si>
  <si>
    <t>neutron-proton magnetic moment ratio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</si>
  <si>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</si>
  <si>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</si>
  <si>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</si>
  <si>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</si>
  <si>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</si>
  <si>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</si>
  <si>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</si>
  <si>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</si>
  <si>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</si>
  <si>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</si>
  <si>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</si>
  <si>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</si>
  <si>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</si>
  <si>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</si>
  <si>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</si>
  <si>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</si>
  <si>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</si>
  <si>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</si>
  <si>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</si>
  <si>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</si>
  <si>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</si>
  <si>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</si>
  <si>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2.675 222 099(70) e8</t>
  </si>
  <si>
    <t>42.577 4821(11)</t>
  </si>
  <si>
    <t>1.410 606 662(37) e-26</t>
  </si>
  <si>
    <t>1.521 032 209(12) e-3</t>
  </si>
  <si>
    <t>2.792 847 356(23)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</si>
  <si>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</si>
  <si>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</si>
  <si>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</si>
  <si>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</si>
  <si>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</si>
  <si>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</si>
  <si>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</si>
  <si>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</si>
  <si>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</si>
  <si>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proton-neutron magnetic moment ratio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</si>
  <si>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</si>
  <si>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</si>
  <si>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</si>
  <si>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</si>
  <si>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</si>
  <si>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</si>
  <si>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</si>
  <si>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</si>
  <si>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</si>
  <si>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</si>
  <si>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Sackur-Tetrode constant (p0 = 100 kPa)</t>
  </si>
  <si>
    <t>-1.151 7047(44)</t>
  </si>
  <si>
    <t>Sackur-Tetrode constant (p0 = 101 325 Pa)</t>
  </si>
  <si>
    <t>-1.164 8677(44)</t>
  </si>
  <si>
    <t>2.037 894 730(56) e8</t>
  </si>
  <si>
    <t>32.434 101 98(90)</t>
  </si>
  <si>
    <t>-1.074 552 982(30) e-26</t>
  </si>
  <si>
    <t>-1.158 671 471(14) e-3</t>
  </si>
  <si>
    <t>-2.127 497 718(25)</t>
  </si>
  <si>
    <t>-0.761 766 558(11)</t>
  </si>
  <si>
    <t>-0.761 786 1313(33)</t>
  </si>
  <si>
    <t>2.675 153 362(73) e8</t>
  </si>
  <si>
    <t>shielded proton gyromagnetic ratio over 2 pi</t>
  </si>
  <si>
    <t>42.576 3881(12)</t>
  </si>
  <si>
    <t>1.410 570 419(38) e-26</t>
  </si>
  <si>
    <t>1.520 993 128(17) e-3</t>
  </si>
  <si>
    <t>2.792 775 598(30)</t>
  </si>
  <si>
    <t>m s^{-2}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</si>
  <si>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</si>
  <si>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</si>
  <si>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</si>
  <si>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</si>
  <si>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</si>
  <si>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</si>
  <si>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</si>
  <si>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</si>
  <si>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</si>
  <si>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</si>
  <si>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</si>
  <si>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</si>
  <si>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</si>
  <si>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</si>
  <si>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</si>
  <si>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1.504 609 361(42) e-26</t>
  </si>
  <si>
    <t>1.622 393 657(21) e-3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</si>
  <si>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</si>
  <si>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</si>
  <si>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</si>
  <si>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</si>
  <si>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</si>
  <si>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</si>
  <si>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</si>
  <si>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</si>
  <si>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</si>
  <si>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</si>
  <si>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</si>
  <si>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</si>
  <si>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</si>
  <si>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</si>
  <si>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</si>
  <si>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</si>
  <si>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</si>
  <si>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</si>
  <si>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</si>
  <si>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</si>
  <si>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</si>
  <si>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</si>
  <si>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</si>
  <si>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</si>
  <si>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</si>
  <si>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</si>
  <si>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</si>
  <si>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</si>
  <si>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</si>
  <si>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</si>
  <si>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</si>
  <si>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</si>
  <si>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</si>
  <si>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</si>
  <si>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</si>
  <si>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</si>
  <si>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</si>
  <si>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</si>
  <si>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</si>
  <si>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</si>
  <si>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</si>
  <si>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</si>
  <si>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</si>
  <si>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</si>
  <si>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</si>
  <si>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</si>
  <si>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</si>
  <si>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</si>
  <si>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</si>
  <si>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</si>
  <si>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</si>
  <si>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</si>
  <si>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</si>
  <si>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</si>
  <si>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</si>
  <si>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</si>
  <si>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</si>
  <si>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</si>
  <si>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</si>
  <si>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</si>
  <si>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</si>
  <si>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</si>
  <si>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</si>
  <si>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</si>
  <si>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</si>
  <si>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</si>
  <si>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</si>
  <si>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</si>
  <si>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</si>
  <si>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</si>
  <si>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</si>
  <si>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</si>
  <si>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</si>
  <si>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</si>
  <si>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</si>
  <si>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</si>
  <si>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</si>
  <si>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</si>
  <si>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</si>
  <si>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</si>
  <si>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</si>
  <si>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</si>
  <si>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</si>
  <si>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</si>
  <si>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</si>
  <si>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</si>
  <si>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</si>
  <si>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</si>
  <si>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</si>
  <si>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</si>
  <si>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</si>
  <si>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</si>
  <si>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</si>
  <si>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</si>
  <si>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</si>
  <si>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</si>
  <si>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</si>
  <si>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</si>
  <si>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</si>
  <si>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</si>
  <si>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</si>
  <si>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</si>
  <si>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</si>
  <si>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</si>
  <si>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</si>
  <si>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</si>
  <si>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</si>
  <si>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</si>
  <si>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</si>
  <si>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</si>
  <si>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</si>
  <si>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</si>
  <si>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</si>
  <si>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</si>
  <si>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</si>
  <si>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</si>
  <si>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</si>
  <si>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</si>
  <si>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</si>
  <si>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</si>
  <si>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</si>
  <si>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</si>
  <si>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</si>
  <si>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</si>
  <si>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</si>
  <si>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</si>
  <si>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</si>
  <si>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</si>
  <si>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</si>
  <si>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</si>
  <si>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</si>
  <si>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</si>
  <si>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</si>
  <si>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</si>
  <si>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</si>
  <si>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</si>
  <si>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</si>
  <si>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</si>
  <si>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</si>
  <si>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</si>
  <si>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</si>
  <si>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</si>
  <si>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</si>
  <si>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</si>
  <si>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</si>
  <si>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</si>
  <si>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</si>
  <si>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</si>
  <si>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</si>
  <si>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</si>
  <si>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</si>
  <si>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</si>
  <si>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</si>
  <si>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</si>
  <si>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</si>
  <si>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</si>
  <si>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</si>
  <si>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</si>
  <si>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</si>
  <si>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</si>
  <si>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</si>
  <si>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</si>
  <si>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</si>
  <si>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</si>
  <si>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</si>
  <si>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</si>
  <si>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</si>
  <si>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</si>
  <si>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</si>
  <si>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</si>
  <si>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</si>
  <si>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</si>
  <si>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</si>
  <si>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</si>
  <si>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</si>
  <si>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</si>
  <si>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</si>
  <si>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</si>
  <si>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</si>
  <si>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</si>
  <si>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</si>
  <si>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</si>
  <si>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</si>
  <si>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</si>
  <si>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</si>
  <si>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</si>
  <si>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</si>
  <si>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</si>
  <si>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</si>
  <si>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</si>
  <si>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</si>
  <si>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</si>
  <si>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</si>
  <si>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</si>
  <si>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</si>
  <si>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</si>
  <si>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</si>
  <si>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</si>
  <si>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</si>
  <si>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</si>
  <si>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</si>
  <si>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</si>
  <si>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</si>
  <si>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</si>
  <si>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</si>
  <si>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</si>
  <si>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</si>
  <si>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</si>
  <si>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</si>
  <si>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</si>
  <si>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</si>
  <si>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</si>
  <si>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</si>
  <si>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</si>
  <si>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</si>
  <si>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</si>
  <si>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</si>
  <si>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</si>
  <si>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</si>
  <si>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</si>
  <si>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</si>
  <si>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</si>
  <si>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</si>
  <si>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</si>
  <si>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</si>
  <si>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</si>
  <si>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</si>
  <si>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</si>
  <si>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</si>
  <si>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</si>
  <si>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</si>
  <si>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</si>
  <si>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Wien displacement law constant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</si>
  <si>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</si>
  <si>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</si>
  <si>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</si>
  <si>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</si>
  <si>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</si>
  <si>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</si>
  <si>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</si>
  <si>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</si>
  <si>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</si>
  <si>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</si>
  <si>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</si>
  <si>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</si>
  <si>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</si>
  <si>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</si>
  <si>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</si>
  <si>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</si>
  <si>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</si>
  <si>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</si>
  <si>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</si>
  <si>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</si>
  <si>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</si>
  <si>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</si>
  <si>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</si>
  <si>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</si>
  <si>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</si>
  <si>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</si>
  <si>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</si>
  <si>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</si>
  <si>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</si>
  <si>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</si>
  <si>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</si>
  <si>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</si>
  <si>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</si>
  <si>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</si>
  <si>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</si>
  <si>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</si>
  <si>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</si>
  <si>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</si>
  <si>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</si>
  <si>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</si>
  <si>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</si>
  <si>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</si>
  <si>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</si>
  <si>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</si>
  <si>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</si>
  <si>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</si>
  <si>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</si>
  <si>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</si>
  <si>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</si>
  <si>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</si>
  <si>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</si>
  <si>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</si>
  <si>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</si>
  <si>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</si>
  <si>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</si>
  <si>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</si>
  <si>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</si>
  <si>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</si>
  <si>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</si>
  <si>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</si>
  <si>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</si>
  <si>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</si>
  <si>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</si>
  <si>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</si>
  <si>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</si>
  <si>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</si>
  <si>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</si>
  <si>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</si>
  <si>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</si>
  <si>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</si>
  <si>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</si>
  <si>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</si>
  <si>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</si>
  <si>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</si>
  <si>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</si>
  <si>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</si>
  <si>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</si>
  <si>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</si>
  <si>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</si>
  <si>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</si>
  <si>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</si>
  <si>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</si>
  <si>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</si>
  <si>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</si>
  <si>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</si>
  <si>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</si>
  <si>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</si>
  <si>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</si>
  <si>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</si>
  <si>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</si>
  <si>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</si>
  <si>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</si>
  <si>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</si>
  <si>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</si>
  <si>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</si>
  <si>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</si>
  <si>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</si>
  <si>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</si>
  <si>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</si>
  <si>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</si>
  <si>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</si>
  <si>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</si>
  <si>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</si>
  <si>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</si>
  <si>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</si>
  <si>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</si>
  <si>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</si>
  <si>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</si>
  <si>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</si>
  <si>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</si>
  <si>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</si>
  <si>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</si>
  <si>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</si>
  <si>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</si>
  <si>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</si>
  <si>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</si>
  <si>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</si>
  <si>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</si>
  <si>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</si>
  <si>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</si>
  <si>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</si>
  <si>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</si>
  <si>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</si>
  <si>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</si>
  <si>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</si>
  <si>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</si>
  <si>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</si>
  <si>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</si>
  <si>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</si>
  <si>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6.022 141 99(47) e26</t>
  </si>
  <si>
    <t>5.609 589 21(22) e35</t>
  </si>
  <si>
    <t>2.061 486 22(16) e34</t>
  </si>
  <si>
    <t>1.356 392 77(11) e50</t>
  </si>
  <si>
    <t>4.524 439 29(35) e41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</si>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</sst>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00000000000E+0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rgb="FF999999"/>
      <name val="Arial"/>
      <scheme val="minor"/>
    </font>
    <font>
      <color rgb="FF0000FF"/>
      <name val="Arial"/>
      <scheme val="minor"/>
    </font>
    <font>
      <b/>
      <color rgb="FF999999"/>
      <name val="Arial"/>
      <scheme val="minor"/>
    </font>
    <font>
      <color rgb="FF666666"/>
      <name val="Arial"/>
      <scheme val="minor"/>
    </font>
    <font>
      <u/>
      <color rgb="FF0000FF"/>
    </font>
    <font>
      <i/>
      <color rgb="FF666666"/>
      <name val="Arial"/>
      <scheme val="minor"/>
    </font>
    <font>
      <i/>
      <color theme="1"/>
      <name val="Arial"/>
      <scheme val="minor"/>
    </font>
    <font>
      <i/>
      <u/>
      <color rgb="FF0000FF"/>
    </font>
    <font>
      <i/>
      <color rgb="FF999999"/>
      <name val="Arial"/>
      <scheme val="minor"/>
    </font>
    <font>
      <i/>
      <color rgb="FF000000"/>
      <name val="Arial"/>
      <scheme val="minor"/>
    </font>
    <font>
      <b/>
      <color rgb="FF666666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6" numFmtId="0" xfId="0" applyFont="1"/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4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0" fillId="0" fontId="4" numFmtId="3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6" numFmtId="164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0" fillId="0" fontId="1" numFmtId="3" xfId="0" applyFont="1" applyNumberFormat="1"/>
    <xf borderId="0" fillId="0" fontId="9" numFmtId="165" xfId="0" applyFont="1" applyNumberFormat="1"/>
    <xf borderId="0" fillId="0" fontId="9" numFmtId="164" xfId="0" applyFont="1" applyNumberFormat="1"/>
    <xf borderId="0" fillId="0" fontId="9" numFmtId="0" xfId="0" applyAlignment="1" applyFont="1">
      <alignment horizontal="center"/>
    </xf>
    <xf quotePrefix="1" borderId="0" fillId="0" fontId="1" numFmtId="0" xfId="0" applyAlignment="1" applyFont="1">
      <alignment readingOrder="0"/>
    </xf>
    <xf borderId="0" fillId="0" fontId="7" numFmtId="0" xfId="0" applyFont="1"/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idigitalframework/constant/AlphaParticleElectronMassRati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13"/>
    <col customWidth="1" min="2" max="2" width="16.75"/>
    <col customWidth="1" min="3" max="3" width="19.88"/>
    <col customWidth="1" min="4" max="4" width="17.38"/>
    <col customWidth="1" min="5" max="5" width="17.88"/>
    <col customWidth="1" min="6" max="6" width="34.38"/>
    <col customWidth="1" min="7" max="7" width="63.75"/>
    <col customWidth="1" min="8" max="9" width="3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9</v>
      </c>
      <c r="B2" s="1" t="s">
        <v>10</v>
      </c>
      <c r="C2" s="3"/>
      <c r="D2" s="3"/>
      <c r="E2" s="3"/>
      <c r="F2" s="1" t="s">
        <v>9</v>
      </c>
      <c r="G2" s="2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12</v>
      </c>
      <c r="B3" s="1" t="s">
        <v>13</v>
      </c>
      <c r="C3" s="3"/>
      <c r="D3" s="3"/>
      <c r="E3" s="3"/>
      <c r="F3" s="1" t="s">
        <v>14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15</v>
      </c>
      <c r="B4" s="1" t="s">
        <v>16</v>
      </c>
      <c r="C4" s="1" t="s">
        <v>17</v>
      </c>
      <c r="D4" s="1"/>
      <c r="E4" s="1"/>
      <c r="F4" s="1" t="s">
        <v>18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19</v>
      </c>
      <c r="B5" s="1" t="s">
        <v>20</v>
      </c>
      <c r="C5" s="1" t="s">
        <v>12</v>
      </c>
      <c r="D5" s="1"/>
      <c r="E5" s="1"/>
      <c r="F5" s="1" t="s">
        <v>21</v>
      </c>
      <c r="G5" s="2" t="s">
        <v>22</v>
      </c>
      <c r="H5" s="1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3" t="s">
        <v>23</v>
      </c>
      <c r="B6" s="1" t="s">
        <v>24</v>
      </c>
      <c r="C6" s="1" t="s">
        <v>12</v>
      </c>
      <c r="D6" s="1"/>
      <c r="E6" s="1"/>
      <c r="F6" s="1" t="s">
        <v>25</v>
      </c>
      <c r="G6" s="2" t="s">
        <v>26</v>
      </c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3" t="s">
        <v>27</v>
      </c>
      <c r="B7" s="1" t="s">
        <v>16</v>
      </c>
      <c r="C7" s="1" t="s">
        <v>28</v>
      </c>
      <c r="D7" s="1"/>
      <c r="E7" s="1"/>
      <c r="F7" s="1" t="s">
        <v>29</v>
      </c>
      <c r="G7" s="5"/>
      <c r="H7" s="1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3" t="s">
        <v>30</v>
      </c>
      <c r="B8" s="1" t="s">
        <v>31</v>
      </c>
      <c r="C8" s="1" t="s">
        <v>12</v>
      </c>
      <c r="D8" s="1"/>
      <c r="E8" s="1"/>
      <c r="F8" s="1" t="s">
        <v>32</v>
      </c>
      <c r="G8" s="5"/>
      <c r="H8" s="1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33</v>
      </c>
      <c r="B9" s="1" t="s">
        <v>34</v>
      </c>
      <c r="C9" s="1" t="s">
        <v>12</v>
      </c>
      <c r="D9" s="3"/>
      <c r="E9" s="1"/>
      <c r="F9" s="1" t="s">
        <v>35</v>
      </c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36</v>
      </c>
      <c r="B10" s="1" t="s">
        <v>37</v>
      </c>
      <c r="C10" s="3"/>
      <c r="D10" s="3"/>
      <c r="E10" s="1" t="s">
        <v>38</v>
      </c>
      <c r="F10" s="1" t="s">
        <v>39</v>
      </c>
      <c r="G10" s="2" t="s">
        <v>40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31</v>
      </c>
      <c r="B11" s="1" t="s">
        <v>20</v>
      </c>
      <c r="C11" s="3"/>
      <c r="D11" s="3"/>
      <c r="E11" s="3"/>
      <c r="F11" s="1" t="s">
        <v>41</v>
      </c>
      <c r="G11" s="5"/>
      <c r="H11" s="1"/>
      <c r="I11" s="1"/>
      <c r="J11" s="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42</v>
      </c>
      <c r="B12" s="1" t="s">
        <v>24</v>
      </c>
      <c r="C12" s="3"/>
      <c r="D12" s="3"/>
      <c r="E12" s="1" t="s">
        <v>43</v>
      </c>
      <c r="F12" s="1" t="s">
        <v>44</v>
      </c>
      <c r="G12" s="2" t="s">
        <v>45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46</v>
      </c>
      <c r="B13" s="1" t="s">
        <v>42</v>
      </c>
      <c r="C13" s="1" t="s">
        <v>47</v>
      </c>
      <c r="D13" s="3"/>
      <c r="E13" s="3"/>
      <c r="F13" s="1" t="s">
        <v>48</v>
      </c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49</v>
      </c>
      <c r="B14" s="1" t="s">
        <v>42</v>
      </c>
      <c r="C14" s="1" t="s">
        <v>50</v>
      </c>
      <c r="D14" s="3"/>
      <c r="E14" s="3"/>
      <c r="F14" s="1" t="s">
        <v>51</v>
      </c>
      <c r="G14" s="2" t="s">
        <v>52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 t="s">
        <v>53</v>
      </c>
      <c r="B15" s="1" t="s">
        <v>42</v>
      </c>
      <c r="C15" s="1" t="s">
        <v>54</v>
      </c>
      <c r="D15" s="3"/>
      <c r="E15" s="3"/>
      <c r="F15" s="1" t="s">
        <v>55</v>
      </c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 t="s">
        <v>56</v>
      </c>
      <c r="B16" s="1" t="s">
        <v>42</v>
      </c>
      <c r="C16" s="1" t="s">
        <v>57</v>
      </c>
      <c r="D16" s="3"/>
      <c r="E16" s="3"/>
      <c r="F16" s="1" t="s">
        <v>58</v>
      </c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 t="s">
        <v>59</v>
      </c>
      <c r="B17" s="1" t="s">
        <v>42</v>
      </c>
      <c r="C17" s="1" t="s">
        <v>60</v>
      </c>
      <c r="D17" s="3"/>
      <c r="E17" s="3"/>
      <c r="F17" s="1" t="s">
        <v>61</v>
      </c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 t="s">
        <v>62</v>
      </c>
      <c r="B18" s="1" t="s">
        <v>42</v>
      </c>
      <c r="C18" s="1" t="s">
        <v>63</v>
      </c>
      <c r="D18" s="3"/>
      <c r="E18" s="3"/>
      <c r="F18" s="1" t="s">
        <v>64</v>
      </c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 t="s">
        <v>65</v>
      </c>
      <c r="B19" s="1" t="s">
        <v>42</v>
      </c>
      <c r="C19" s="1" t="s">
        <v>66</v>
      </c>
      <c r="D19" s="3"/>
      <c r="E19" s="3"/>
      <c r="F19" s="1" t="s">
        <v>67</v>
      </c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68</v>
      </c>
      <c r="B20" s="3"/>
      <c r="C20" s="3"/>
      <c r="D20" s="3"/>
      <c r="E20" s="3"/>
      <c r="F20" s="1" t="s">
        <v>69</v>
      </c>
      <c r="G20" s="2" t="s">
        <v>70</v>
      </c>
      <c r="H20" s="1"/>
      <c r="I20" s="1"/>
      <c r="J20" s="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 t="s">
        <v>71</v>
      </c>
      <c r="B21" s="1" t="s">
        <v>68</v>
      </c>
      <c r="C21" s="1" t="s">
        <v>72</v>
      </c>
      <c r="D21" s="3"/>
      <c r="E21" s="3"/>
      <c r="F21" s="1" t="s">
        <v>73</v>
      </c>
      <c r="G21" s="2" t="s">
        <v>74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 t="s">
        <v>75</v>
      </c>
      <c r="B22" s="1" t="s">
        <v>68</v>
      </c>
      <c r="C22" s="1" t="s">
        <v>76</v>
      </c>
      <c r="D22" s="3"/>
      <c r="E22" s="3"/>
      <c r="F22" s="1" t="s">
        <v>77</v>
      </c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 t="s">
        <v>78</v>
      </c>
      <c r="B23" s="1" t="s">
        <v>68</v>
      </c>
      <c r="C23" s="1" t="s">
        <v>9</v>
      </c>
      <c r="D23" s="3"/>
      <c r="E23" s="3"/>
      <c r="F23" s="3" t="s">
        <v>79</v>
      </c>
      <c r="G23" s="2" t="s">
        <v>80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 t="s">
        <v>81</v>
      </c>
      <c r="B24" s="1" t="s">
        <v>68</v>
      </c>
      <c r="C24" s="1" t="s">
        <v>82</v>
      </c>
      <c r="D24" s="3"/>
      <c r="E24" s="3"/>
      <c r="F24" s="3" t="s">
        <v>83</v>
      </c>
      <c r="G24" s="2" t="s">
        <v>84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 t="s">
        <v>85</v>
      </c>
      <c r="B25" s="1" t="s">
        <v>68</v>
      </c>
      <c r="C25" s="1" t="s">
        <v>86</v>
      </c>
      <c r="D25" s="3"/>
      <c r="E25" s="3"/>
      <c r="F25" s="3" t="s">
        <v>87</v>
      </c>
      <c r="G25" s="2" t="s">
        <v>88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 t="s">
        <v>89</v>
      </c>
      <c r="B26" s="1" t="s">
        <v>68</v>
      </c>
      <c r="C26" s="1" t="s">
        <v>90</v>
      </c>
      <c r="D26" s="3"/>
      <c r="E26" s="3"/>
      <c r="F26" s="3" t="s">
        <v>91</v>
      </c>
      <c r="G26" s="2" t="s">
        <v>92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 t="s">
        <v>93</v>
      </c>
      <c r="B27" s="1" t="s">
        <v>68</v>
      </c>
      <c r="C27" s="1" t="s">
        <v>94</v>
      </c>
      <c r="D27" s="3"/>
      <c r="E27" s="3"/>
      <c r="F27" s="3" t="s">
        <v>95</v>
      </c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 t="s">
        <v>96</v>
      </c>
      <c r="B28" s="1" t="s">
        <v>68</v>
      </c>
      <c r="C28" s="1" t="s">
        <v>97</v>
      </c>
      <c r="D28" s="3"/>
      <c r="E28" s="3"/>
      <c r="F28" s="3" t="s">
        <v>98</v>
      </c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 t="s">
        <v>99</v>
      </c>
      <c r="B29" s="1" t="s">
        <v>68</v>
      </c>
      <c r="C29" s="1" t="s">
        <v>100</v>
      </c>
      <c r="D29" s="3"/>
      <c r="E29" s="3"/>
      <c r="F29" s="3" t="s">
        <v>101</v>
      </c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 t="s">
        <v>102</v>
      </c>
      <c r="B30" s="1" t="s">
        <v>68</v>
      </c>
      <c r="C30" s="1" t="s">
        <v>103</v>
      </c>
      <c r="D30" s="3"/>
      <c r="E30" s="3"/>
      <c r="F30" s="3" t="s">
        <v>104</v>
      </c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 t="s">
        <v>105</v>
      </c>
      <c r="B31" s="1" t="s">
        <v>68</v>
      </c>
      <c r="C31" s="1" t="s">
        <v>106</v>
      </c>
      <c r="D31" s="3"/>
      <c r="E31" s="3"/>
      <c r="F31" s="3" t="s">
        <v>107</v>
      </c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 t="s">
        <v>108</v>
      </c>
      <c r="B32" s="1" t="s">
        <v>68</v>
      </c>
      <c r="C32" s="1" t="s">
        <v>109</v>
      </c>
      <c r="D32" s="3"/>
      <c r="E32" s="3"/>
      <c r="F32" s="3" t="s">
        <v>110</v>
      </c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 t="s">
        <v>111</v>
      </c>
      <c r="B33" s="1" t="s">
        <v>68</v>
      </c>
      <c r="C33" s="1" t="s">
        <v>112</v>
      </c>
      <c r="D33" s="3"/>
      <c r="E33" s="3"/>
      <c r="F33" s="3" t="s">
        <v>113</v>
      </c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 t="s">
        <v>114</v>
      </c>
      <c r="B34" s="1" t="s">
        <v>68</v>
      </c>
      <c r="C34" s="1" t="s">
        <v>115</v>
      </c>
      <c r="D34" s="3"/>
      <c r="E34" s="3"/>
      <c r="F34" s="3" t="s">
        <v>116</v>
      </c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 t="s">
        <v>117</v>
      </c>
      <c r="B35" s="1" t="s">
        <v>68</v>
      </c>
      <c r="C35" s="1" t="s">
        <v>37</v>
      </c>
      <c r="D35" s="3"/>
      <c r="E35" s="3"/>
      <c r="F35" s="3" t="s">
        <v>118</v>
      </c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 t="s">
        <v>119</v>
      </c>
      <c r="B36" s="1" t="s">
        <v>68</v>
      </c>
      <c r="C36" s="1" t="s">
        <v>120</v>
      </c>
      <c r="D36" s="3"/>
      <c r="E36" s="3"/>
      <c r="F36" s="3" t="s">
        <v>121</v>
      </c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 t="s">
        <v>122</v>
      </c>
      <c r="B37" s="1" t="s">
        <v>68</v>
      </c>
      <c r="C37" s="1" t="s">
        <v>123</v>
      </c>
      <c r="D37" s="3"/>
      <c r="E37" s="3"/>
      <c r="F37" s="3" t="s">
        <v>124</v>
      </c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 t="s">
        <v>125</v>
      </c>
      <c r="B38" s="1" t="s">
        <v>68</v>
      </c>
      <c r="C38" s="1" t="s">
        <v>126</v>
      </c>
      <c r="D38" s="3"/>
      <c r="E38" s="3"/>
      <c r="F38" s="3" t="s">
        <v>127</v>
      </c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 t="s">
        <v>128</v>
      </c>
      <c r="B39" s="1" t="s">
        <v>68</v>
      </c>
      <c r="C39" s="1" t="s">
        <v>20</v>
      </c>
      <c r="D39" s="3"/>
      <c r="E39" s="3"/>
      <c r="F39" s="3" t="s">
        <v>129</v>
      </c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 t="s">
        <v>130</v>
      </c>
      <c r="B40" s="1" t="s">
        <v>68</v>
      </c>
      <c r="C40" s="1" t="s">
        <v>131</v>
      </c>
      <c r="D40" s="3"/>
      <c r="E40" s="3"/>
      <c r="F40" s="3" t="s">
        <v>132</v>
      </c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 t="s">
        <v>133</v>
      </c>
      <c r="B41" s="1" t="s">
        <v>68</v>
      </c>
      <c r="C41" s="1" t="s">
        <v>134</v>
      </c>
      <c r="D41" s="3"/>
      <c r="E41" s="3"/>
      <c r="F41" s="3" t="s">
        <v>135</v>
      </c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 t="s">
        <v>136</v>
      </c>
      <c r="B42" s="1" t="s">
        <v>68</v>
      </c>
      <c r="C42" s="1" t="s">
        <v>137</v>
      </c>
      <c r="D42" s="3"/>
      <c r="E42" s="3"/>
      <c r="F42" s="3" t="s">
        <v>138</v>
      </c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 t="s">
        <v>139</v>
      </c>
      <c r="B43" s="1" t="s">
        <v>68</v>
      </c>
      <c r="C43" s="1" t="s">
        <v>140</v>
      </c>
      <c r="D43" s="3"/>
      <c r="E43" s="3"/>
      <c r="F43" s="3" t="s">
        <v>141</v>
      </c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142</v>
      </c>
      <c r="B44" s="1" t="s">
        <v>143</v>
      </c>
      <c r="C44" s="3"/>
      <c r="D44" s="3"/>
      <c r="E44" s="1" t="s">
        <v>144</v>
      </c>
      <c r="F44" s="1" t="s">
        <v>145</v>
      </c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146</v>
      </c>
      <c r="B45" s="1" t="s">
        <v>147</v>
      </c>
      <c r="C45" s="3"/>
      <c r="D45" s="3"/>
      <c r="E45" s="3"/>
      <c r="F45" s="1" t="s">
        <v>148</v>
      </c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149</v>
      </c>
      <c r="B46" s="1" t="s">
        <v>143</v>
      </c>
      <c r="C46" s="3"/>
      <c r="D46" s="3"/>
      <c r="E46" s="1" t="s">
        <v>150</v>
      </c>
      <c r="F46" s="1" t="s">
        <v>151</v>
      </c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4" t="s">
        <v>82</v>
      </c>
      <c r="B47" s="1" t="s">
        <v>10</v>
      </c>
      <c r="C47" s="3"/>
      <c r="D47" s="3"/>
      <c r="E47" s="3"/>
      <c r="F47" s="1" t="s">
        <v>82</v>
      </c>
      <c r="G47" s="2" t="s">
        <v>152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4" t="s">
        <v>86</v>
      </c>
      <c r="B48" s="1" t="s">
        <v>10</v>
      </c>
      <c r="C48" s="3"/>
      <c r="D48" s="3"/>
      <c r="E48" s="3"/>
      <c r="F48" s="1" t="s">
        <v>153</v>
      </c>
      <c r="G48" s="2" t="s">
        <v>154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155</v>
      </c>
      <c r="B49" s="3"/>
      <c r="C49" s="3"/>
      <c r="D49" s="3"/>
      <c r="E49" s="3"/>
      <c r="F49" s="1" t="s">
        <v>155</v>
      </c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4" t="s">
        <v>90</v>
      </c>
      <c r="B50" s="1" t="s">
        <v>10</v>
      </c>
      <c r="C50" s="3"/>
      <c r="D50" s="3"/>
      <c r="E50" s="3"/>
      <c r="F50" s="1" t="s">
        <v>90</v>
      </c>
      <c r="G50" s="2" t="s">
        <v>156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4" t="s">
        <v>94</v>
      </c>
      <c r="B51" s="1" t="s">
        <v>10</v>
      </c>
      <c r="C51" s="3"/>
      <c r="D51" s="3"/>
      <c r="E51" s="3"/>
      <c r="F51" s="1" t="s">
        <v>157</v>
      </c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4" t="s">
        <v>97</v>
      </c>
      <c r="B52" s="1" t="s">
        <v>10</v>
      </c>
      <c r="C52" s="3"/>
      <c r="D52" s="3"/>
      <c r="E52" s="3"/>
      <c r="F52" s="1" t="s">
        <v>158</v>
      </c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4" t="s">
        <v>100</v>
      </c>
      <c r="B53" s="1" t="s">
        <v>10</v>
      </c>
      <c r="C53" s="3"/>
      <c r="D53" s="3"/>
      <c r="E53" s="3"/>
      <c r="F53" s="1" t="s">
        <v>159</v>
      </c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4" t="s">
        <v>103</v>
      </c>
      <c r="B54" s="1" t="s">
        <v>10</v>
      </c>
      <c r="C54" s="3"/>
      <c r="D54" s="3"/>
      <c r="E54" s="3"/>
      <c r="F54" s="1" t="s">
        <v>160</v>
      </c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4" t="s">
        <v>106</v>
      </c>
      <c r="B55" s="1" t="s">
        <v>10</v>
      </c>
      <c r="C55" s="3"/>
      <c r="D55" s="3"/>
      <c r="E55" s="3"/>
      <c r="F55" s="1" t="s">
        <v>161</v>
      </c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4" t="s">
        <v>109</v>
      </c>
      <c r="B56" s="1" t="s">
        <v>10</v>
      </c>
      <c r="C56" s="3"/>
      <c r="D56" s="3"/>
      <c r="E56" s="3"/>
      <c r="F56" s="1" t="s">
        <v>162</v>
      </c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163</v>
      </c>
      <c r="B57" s="3"/>
      <c r="C57" s="3"/>
      <c r="D57" s="3"/>
      <c r="E57" s="1" t="s">
        <v>164</v>
      </c>
      <c r="F57" s="1" t="s">
        <v>165</v>
      </c>
      <c r="G57" s="2" t="s">
        <v>166</v>
      </c>
      <c r="H57" s="1"/>
      <c r="I57" s="1"/>
      <c r="J57" s="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167</v>
      </c>
      <c r="B58" s="1" t="s">
        <v>20</v>
      </c>
      <c r="C58" s="1" t="s">
        <v>163</v>
      </c>
      <c r="D58" s="1"/>
      <c r="E58" s="1"/>
      <c r="F58" s="1" t="s">
        <v>168</v>
      </c>
      <c r="G58" s="2" t="s">
        <v>169</v>
      </c>
      <c r="H58" s="1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170</v>
      </c>
      <c r="B59" s="1" t="s">
        <v>143</v>
      </c>
      <c r="C59" s="3"/>
      <c r="D59" s="3"/>
      <c r="E59" s="1" t="s">
        <v>171</v>
      </c>
      <c r="F59" s="1" t="s">
        <v>172</v>
      </c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173</v>
      </c>
      <c r="B60" s="3"/>
      <c r="C60" s="1" t="s">
        <v>174</v>
      </c>
      <c r="D60" s="3"/>
      <c r="E60" s="1" t="s">
        <v>175</v>
      </c>
      <c r="F60" s="1" t="s">
        <v>176</v>
      </c>
      <c r="G60" s="2" t="s">
        <v>177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4" t="s">
        <v>112</v>
      </c>
      <c r="B61" s="1" t="s">
        <v>10</v>
      </c>
      <c r="C61" s="3"/>
      <c r="D61" s="3"/>
      <c r="E61" s="3"/>
      <c r="F61" s="1" t="s">
        <v>112</v>
      </c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72</v>
      </c>
      <c r="B62" s="1" t="s">
        <v>178</v>
      </c>
      <c r="C62" s="3"/>
      <c r="D62" s="3"/>
      <c r="E62" s="3"/>
      <c r="F62" s="1" t="s">
        <v>179</v>
      </c>
      <c r="G62" s="2" t="s">
        <v>180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4" t="s">
        <v>115</v>
      </c>
      <c r="B63" s="1" t="s">
        <v>10</v>
      </c>
      <c r="C63" s="3"/>
      <c r="D63" s="3"/>
      <c r="E63" s="3"/>
      <c r="F63" s="1" t="s">
        <v>115</v>
      </c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50</v>
      </c>
      <c r="B64" s="1" t="s">
        <v>181</v>
      </c>
      <c r="C64" s="3"/>
      <c r="D64" s="3"/>
      <c r="E64" s="1" t="s">
        <v>182</v>
      </c>
      <c r="F64" s="1" t="s">
        <v>50</v>
      </c>
      <c r="G64" s="1" t="s">
        <v>183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54</v>
      </c>
      <c r="B65" s="1" t="s">
        <v>184</v>
      </c>
      <c r="C65" s="3"/>
      <c r="D65" s="3"/>
      <c r="E65" s="3"/>
      <c r="F65" s="1" t="s">
        <v>54</v>
      </c>
      <c r="G65" s="2" t="s">
        <v>185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6" t="s">
        <v>186</v>
      </c>
      <c r="B66" s="1" t="s">
        <v>143</v>
      </c>
      <c r="C66" s="3"/>
      <c r="D66" s="3"/>
      <c r="E66" s="7" t="s">
        <v>187</v>
      </c>
      <c r="F66" s="1" t="s">
        <v>188</v>
      </c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178</v>
      </c>
      <c r="B67" s="3"/>
      <c r="C67" s="3"/>
      <c r="D67" s="3"/>
      <c r="E67" s="3"/>
      <c r="F67" s="1" t="s">
        <v>178</v>
      </c>
      <c r="G67" s="2" t="s">
        <v>189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57</v>
      </c>
      <c r="B68" s="1" t="s">
        <v>184</v>
      </c>
      <c r="C68" s="3"/>
      <c r="D68" s="3"/>
      <c r="E68" s="3"/>
      <c r="F68" s="1" t="s">
        <v>190</v>
      </c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60</v>
      </c>
      <c r="B69" s="1" t="s">
        <v>184</v>
      </c>
      <c r="C69" s="3"/>
      <c r="D69" s="3"/>
      <c r="E69" s="3"/>
      <c r="F69" s="1" t="s">
        <v>60</v>
      </c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63</v>
      </c>
      <c r="B70" s="1" t="s">
        <v>191</v>
      </c>
      <c r="C70" s="3"/>
      <c r="D70" s="3"/>
      <c r="E70" s="3"/>
      <c r="F70" s="1" t="s">
        <v>63</v>
      </c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66</v>
      </c>
      <c r="B71" s="1" t="s">
        <v>191</v>
      </c>
      <c r="C71" s="3"/>
      <c r="D71" s="3"/>
      <c r="E71" s="3"/>
      <c r="F71" s="1" t="s">
        <v>66</v>
      </c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37</v>
      </c>
      <c r="B72" s="1" t="s">
        <v>10</v>
      </c>
      <c r="C72" s="3"/>
      <c r="D72" s="3"/>
      <c r="E72" s="3"/>
      <c r="F72" s="1" t="s">
        <v>37</v>
      </c>
      <c r="G72" s="2" t="s">
        <v>192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193</v>
      </c>
      <c r="B73" s="1" t="s">
        <v>143</v>
      </c>
      <c r="C73" s="3"/>
      <c r="D73" s="3"/>
      <c r="E73" s="1" t="s">
        <v>194</v>
      </c>
      <c r="F73" s="1" t="s">
        <v>195</v>
      </c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4" t="s">
        <v>120</v>
      </c>
      <c r="B74" s="1" t="s">
        <v>10</v>
      </c>
      <c r="C74" s="3"/>
      <c r="D74" s="3"/>
      <c r="E74" s="3"/>
      <c r="F74" s="1" t="s">
        <v>196</v>
      </c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4" t="s">
        <v>123</v>
      </c>
      <c r="B75" s="1" t="s">
        <v>10</v>
      </c>
      <c r="C75" s="3"/>
      <c r="D75" s="3"/>
      <c r="E75" s="3"/>
      <c r="F75" s="1" t="s">
        <v>197</v>
      </c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4" t="s">
        <v>126</v>
      </c>
      <c r="B76" s="1" t="s">
        <v>10</v>
      </c>
      <c r="C76" s="3"/>
      <c r="D76" s="3"/>
      <c r="E76" s="3"/>
      <c r="F76" s="4" t="s">
        <v>126</v>
      </c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20</v>
      </c>
      <c r="B77" s="1" t="s">
        <v>10</v>
      </c>
      <c r="C77" s="3"/>
      <c r="D77" s="3"/>
      <c r="E77" s="3"/>
      <c r="F77" s="1" t="s">
        <v>20</v>
      </c>
      <c r="G77" s="2" t="s">
        <v>198</v>
      </c>
      <c r="H77" s="1"/>
      <c r="I77" s="1"/>
      <c r="J77" s="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16</v>
      </c>
      <c r="B78" s="1" t="s">
        <v>199</v>
      </c>
      <c r="C78" s="1" t="s">
        <v>20</v>
      </c>
      <c r="D78" s="3"/>
      <c r="E78" s="3"/>
      <c r="F78" s="1" t="s">
        <v>200</v>
      </c>
      <c r="G78" s="5"/>
      <c r="H78" s="1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201</v>
      </c>
      <c r="B79" s="1" t="s">
        <v>191</v>
      </c>
      <c r="C79" s="3"/>
      <c r="D79" s="3"/>
      <c r="E79" s="3"/>
      <c r="F79" s="1" t="s">
        <v>201</v>
      </c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24</v>
      </c>
      <c r="B80" s="1" t="s">
        <v>20</v>
      </c>
      <c r="C80" s="3"/>
      <c r="D80" s="3"/>
      <c r="E80" s="3"/>
      <c r="F80" s="1" t="s">
        <v>202</v>
      </c>
      <c r="G80" s="2" t="s">
        <v>203</v>
      </c>
      <c r="H80" s="1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4" t="s">
        <v>131</v>
      </c>
      <c r="B81" s="1" t="s">
        <v>10</v>
      </c>
      <c r="C81" s="3"/>
      <c r="D81" s="3"/>
      <c r="E81" s="3"/>
      <c r="F81" s="4" t="s">
        <v>131</v>
      </c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204</v>
      </c>
      <c r="B82" s="1" t="s">
        <v>13</v>
      </c>
      <c r="C82" s="3"/>
      <c r="D82" s="3"/>
      <c r="E82" s="3"/>
      <c r="F82" s="1" t="s">
        <v>204</v>
      </c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13</v>
      </c>
      <c r="B83" s="3"/>
      <c r="C83" s="3"/>
      <c r="D83" s="3"/>
      <c r="E83" s="3"/>
      <c r="F83" s="1" t="s">
        <v>13</v>
      </c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205</v>
      </c>
      <c r="B84" s="1" t="s">
        <v>199</v>
      </c>
      <c r="C84" s="1" t="s">
        <v>206</v>
      </c>
      <c r="D84" s="1"/>
      <c r="E84" s="1"/>
      <c r="F84" s="1" t="s">
        <v>207</v>
      </c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4" t="s">
        <v>134</v>
      </c>
      <c r="B85" s="1" t="s">
        <v>10</v>
      </c>
      <c r="C85" s="3"/>
      <c r="D85" s="3"/>
      <c r="E85" s="3"/>
      <c r="F85" s="4" t="s">
        <v>134</v>
      </c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208</v>
      </c>
      <c r="B86" s="1" t="s">
        <v>143</v>
      </c>
      <c r="C86" s="3"/>
      <c r="D86" s="3"/>
      <c r="E86" s="1" t="s">
        <v>209</v>
      </c>
      <c r="F86" s="1" t="s">
        <v>210</v>
      </c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211</v>
      </c>
      <c r="B87" s="1" t="s">
        <v>13</v>
      </c>
      <c r="C87" s="3"/>
      <c r="D87" s="3"/>
      <c r="E87" s="3"/>
      <c r="F87" s="1" t="s">
        <v>211</v>
      </c>
      <c r="G87" s="5"/>
      <c r="H87" s="1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199</v>
      </c>
      <c r="B88" s="3"/>
      <c r="C88" s="3"/>
      <c r="D88" s="3"/>
      <c r="E88" s="3"/>
      <c r="F88" s="1" t="s">
        <v>199</v>
      </c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8" t="s">
        <v>212</v>
      </c>
      <c r="B89" s="3"/>
      <c r="C89" s="3"/>
      <c r="D89" s="3"/>
      <c r="E89" s="3"/>
      <c r="F89" s="1" t="s">
        <v>212</v>
      </c>
      <c r="G89" s="5"/>
      <c r="H89" s="1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213</v>
      </c>
      <c r="B90" s="1" t="s">
        <v>20</v>
      </c>
      <c r="C90" s="1" t="s">
        <v>31</v>
      </c>
      <c r="D90" s="1"/>
      <c r="E90" s="1"/>
      <c r="F90" s="1" t="s">
        <v>214</v>
      </c>
      <c r="G90" s="5"/>
      <c r="H90" s="1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215</v>
      </c>
      <c r="B91" s="1" t="s">
        <v>82</v>
      </c>
      <c r="C91" s="3"/>
      <c r="D91" s="3"/>
      <c r="E91" s="3"/>
      <c r="F91" s="1" t="s">
        <v>216</v>
      </c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34</v>
      </c>
      <c r="B92" s="1" t="s">
        <v>215</v>
      </c>
      <c r="C92" s="1" t="s">
        <v>217</v>
      </c>
      <c r="D92" s="3"/>
      <c r="E92" s="3"/>
      <c r="F92" s="1" t="s">
        <v>218</v>
      </c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76</v>
      </c>
      <c r="B93" s="1" t="s">
        <v>178</v>
      </c>
      <c r="C93" s="3"/>
      <c r="D93" s="3"/>
      <c r="E93" s="3"/>
      <c r="F93" s="1" t="s">
        <v>219</v>
      </c>
      <c r="G93" s="2" t="s">
        <v>220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221</v>
      </c>
      <c r="B94" s="3"/>
      <c r="C94" s="1" t="s">
        <v>221</v>
      </c>
      <c r="D94" s="3"/>
      <c r="E94" s="3"/>
      <c r="F94" s="1" t="s">
        <v>222</v>
      </c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191</v>
      </c>
      <c r="B95" s="1" t="s">
        <v>147</v>
      </c>
      <c r="C95" s="1"/>
      <c r="D95" s="3"/>
      <c r="E95" s="3"/>
      <c r="F95" s="1" t="s">
        <v>223</v>
      </c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224</v>
      </c>
      <c r="B96" s="1" t="s">
        <v>155</v>
      </c>
      <c r="C96" s="1" t="s">
        <v>225</v>
      </c>
      <c r="D96" s="3"/>
      <c r="E96" s="3"/>
      <c r="F96" s="1" t="s">
        <v>226</v>
      </c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143</v>
      </c>
      <c r="B97" s="1" t="s">
        <v>224</v>
      </c>
      <c r="C97" s="1"/>
      <c r="D97" s="3"/>
      <c r="E97" s="3"/>
      <c r="F97" s="1" t="s">
        <v>227</v>
      </c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228</v>
      </c>
      <c r="B98" s="1" t="s">
        <v>224</v>
      </c>
      <c r="C98" s="3"/>
      <c r="D98" s="3"/>
      <c r="E98" s="3"/>
      <c r="F98" s="1" t="s">
        <v>229</v>
      </c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184</v>
      </c>
      <c r="B99" s="1" t="s">
        <v>147</v>
      </c>
      <c r="C99" s="3"/>
      <c r="D99" s="3"/>
      <c r="E99" s="3"/>
      <c r="F99" s="1" t="s">
        <v>230</v>
      </c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147</v>
      </c>
      <c r="B100" s="1" t="s">
        <v>231</v>
      </c>
      <c r="C100" s="1" t="s">
        <v>221</v>
      </c>
      <c r="D100" s="3"/>
      <c r="E100" s="3"/>
      <c r="F100" s="1" t="s">
        <v>232</v>
      </c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1" t="s">
        <v>233</v>
      </c>
      <c r="B101" s="1" t="s">
        <v>143</v>
      </c>
      <c r="C101" s="3"/>
      <c r="D101" s="3"/>
      <c r="E101" s="1" t="s">
        <v>234</v>
      </c>
      <c r="F101" s="1" t="s">
        <v>235</v>
      </c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4" t="s">
        <v>137</v>
      </c>
      <c r="B102" s="1" t="s">
        <v>10</v>
      </c>
      <c r="C102" s="3"/>
      <c r="D102" s="3"/>
      <c r="E102" s="3"/>
      <c r="F102" s="1" t="s">
        <v>137</v>
      </c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4" t="s">
        <v>140</v>
      </c>
      <c r="B103" s="1" t="s">
        <v>10</v>
      </c>
      <c r="C103" s="3"/>
      <c r="D103" s="3"/>
      <c r="E103" s="3"/>
      <c r="F103" s="1" t="s">
        <v>140</v>
      </c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1" t="s">
        <v>236</v>
      </c>
      <c r="B104" s="1" t="s">
        <v>184</v>
      </c>
      <c r="C104" s="3"/>
      <c r="D104" s="3"/>
      <c r="E104" s="1" t="s">
        <v>237</v>
      </c>
      <c r="F104" s="1" t="s">
        <v>236</v>
      </c>
      <c r="G104" s="2" t="s">
        <v>238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 t="s">
        <v>239</v>
      </c>
      <c r="B105" s="1" t="s">
        <v>240</v>
      </c>
      <c r="C105" s="1" t="s">
        <v>241</v>
      </c>
      <c r="D105" s="3"/>
      <c r="E105" s="3"/>
      <c r="F105" s="1" t="s">
        <v>242</v>
      </c>
      <c r="G105" s="2" t="s">
        <v>243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 t="s">
        <v>244</v>
      </c>
      <c r="B106" s="1" t="s">
        <v>240</v>
      </c>
      <c r="C106" s="1" t="s">
        <v>217</v>
      </c>
      <c r="D106" s="3"/>
      <c r="E106" s="3"/>
      <c r="F106" s="1" t="s">
        <v>245</v>
      </c>
      <c r="G106" s="2" t="s">
        <v>246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1" t="s">
        <v>217</v>
      </c>
      <c r="B107" s="1" t="s">
        <v>37</v>
      </c>
      <c r="C107" s="3"/>
      <c r="D107" s="3"/>
      <c r="E107" s="3"/>
      <c r="F107" s="1" t="s">
        <v>217</v>
      </c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1" t="s">
        <v>241</v>
      </c>
      <c r="B108" s="1" t="s">
        <v>184</v>
      </c>
      <c r="C108" s="3"/>
      <c r="D108" s="3"/>
      <c r="E108" s="3"/>
      <c r="F108" s="3"/>
      <c r="G108" s="2" t="s">
        <v>247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5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5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5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3"/>
      <c r="F1004" s="3"/>
      <c r="G1004" s="5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3"/>
      <c r="C1005" s="3"/>
      <c r="D1005" s="3"/>
      <c r="E1005" s="3"/>
      <c r="F1005" s="3"/>
      <c r="G1005" s="5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3"/>
      <c r="C1006" s="3"/>
      <c r="D1006" s="3"/>
      <c r="E1006" s="3"/>
      <c r="F1006" s="3"/>
      <c r="G1006" s="5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3"/>
      <c r="C1007" s="3"/>
      <c r="D1007" s="3"/>
      <c r="E1007" s="3"/>
      <c r="F1007" s="3"/>
      <c r="G1007" s="5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3"/>
      <c r="C1008" s="3"/>
      <c r="D1008" s="3"/>
      <c r="E1008" s="3"/>
      <c r="F1008" s="3"/>
      <c r="G1008" s="5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3"/>
      <c r="C1009" s="3"/>
      <c r="D1009" s="3"/>
      <c r="E1009" s="3"/>
      <c r="F1009" s="3"/>
      <c r="G1009" s="5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3"/>
      <c r="B1010" s="3"/>
      <c r="C1010" s="3"/>
      <c r="D1010" s="3"/>
      <c r="E1010" s="3"/>
      <c r="F1010" s="3"/>
      <c r="G1010" s="5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3"/>
      <c r="B1011" s="3"/>
      <c r="C1011" s="3"/>
      <c r="D1011" s="3"/>
      <c r="E1011" s="3"/>
      <c r="F1011" s="3"/>
      <c r="G1011" s="5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>
      <c r="A1012" s="3"/>
      <c r="B1012" s="3"/>
      <c r="C1012" s="3"/>
      <c r="D1012" s="3"/>
      <c r="E1012" s="3"/>
      <c r="F1012" s="3"/>
      <c r="G1012" s="5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>
      <c r="A1013" s="3"/>
      <c r="B1013" s="3"/>
      <c r="C1013" s="3"/>
      <c r="D1013" s="3"/>
      <c r="E1013" s="3"/>
      <c r="F1013" s="3"/>
      <c r="G1013" s="5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</sheetData>
  <conditionalFormatting sqref="A2:A1013 F59 F85">
    <cfRule type="expression" dxfId="0" priority="1">
      <formula>COUNTIF($A2:$A1013,$A2)&gt;1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75"/>
    <col customWidth="1" min="2" max="2" width="21.63"/>
    <col customWidth="1" min="3" max="3" width="14.38"/>
    <col customWidth="1" min="5" max="5" width="7.25"/>
    <col customWidth="1" min="6" max="6" width="34.63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6.63"/>
    <col customWidth="1" min="12" max="12" width="8.38"/>
  </cols>
  <sheetData>
    <row r="1">
      <c r="A1" s="48" t="s">
        <v>249</v>
      </c>
      <c r="B1" s="48" t="s">
        <v>2210</v>
      </c>
      <c r="C1" s="48" t="s">
        <v>4157</v>
      </c>
      <c r="D1" s="10" t="s">
        <v>2212</v>
      </c>
      <c r="E1" s="38" t="s">
        <v>2213</v>
      </c>
      <c r="F1" s="39" t="s">
        <v>0</v>
      </c>
      <c r="G1" s="39" t="s">
        <v>2214</v>
      </c>
      <c r="H1" s="39" t="s">
        <v>2215</v>
      </c>
      <c r="I1" s="39" t="s">
        <v>2216</v>
      </c>
      <c r="J1" s="39" t="s">
        <v>2217</v>
      </c>
      <c r="K1" s="39" t="s">
        <v>2218</v>
      </c>
      <c r="L1" s="39" t="s">
        <v>2219</v>
      </c>
    </row>
    <row r="2">
      <c r="A2" s="34" t="s">
        <v>537</v>
      </c>
      <c r="B2" s="34" t="s">
        <v>4727</v>
      </c>
      <c r="C2" s="34" t="s">
        <v>538</v>
      </c>
      <c r="D2" s="13" t="str">
        <f t="shared" ref="D2:D304" si="1">SUBSTITUTE(SUBSTITUTE(C2,"{",""),"}","")</f>
        <v>kg</v>
      </c>
      <c r="E2" s="42">
        <f>countif(Constants!F:F,F2)</f>
        <v>1</v>
      </c>
      <c r="F2" s="21" t="str">
        <f>ifna(VLOOKUP($A2,'v2002'!$A:$F,6,false),"")</f>
        <v>AlphaParticleMass</v>
      </c>
      <c r="G2" s="21" t="str">
        <f>IFERROR(__xludf.DUMMYFUNCTION("REGEXREPLACE(substitute(substitute(B2,"" "",""""),""..."",""""),""\(.*\)"","""")"),"6.64465598e-27")</f>
        <v>6.64465598e-27</v>
      </c>
      <c r="H2" s="43">
        <f t="shared" ref="H2:H304" si="2">value(G2)</f>
        <v>0</v>
      </c>
      <c r="I2" s="21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43">
        <f t="shared" ref="J2:J304" si="3">if(LEN(I2),value(I2),"")</f>
        <v>0</v>
      </c>
      <c r="K2" s="43" t="b">
        <f t="shared" ref="K2:K304" si="4">ISNUMBER(search("...",B2))</f>
        <v>0</v>
      </c>
      <c r="L2" s="21" t="str">
        <f>IFERROR(__xludf.DUMMYFUNCTION("if(regexmatch(B2,""e(.*)$""),regexextract(B2,""e(.*)$""),"""")"),"-27")</f>
        <v>-27</v>
      </c>
    </row>
    <row r="3">
      <c r="A3" s="34" t="s">
        <v>542</v>
      </c>
      <c r="B3" s="34" t="s">
        <v>4728</v>
      </c>
      <c r="C3" s="34" t="s">
        <v>543</v>
      </c>
      <c r="D3" s="13" t="str">
        <f t="shared" si="1"/>
        <v>J</v>
      </c>
      <c r="E3" s="42">
        <f>countif(Constants!F:F,F3)</f>
        <v>1</v>
      </c>
      <c r="F3" s="21" t="str">
        <f>ifna(VLOOKUP($A3,'v2002'!$A:$F,6,false),"")</f>
        <v>AlphaParticleMassEnergyEquivalent</v>
      </c>
      <c r="G3" s="21" t="str">
        <f>IFERROR(__xludf.DUMMYFUNCTION("REGEXREPLACE(substitute(substitute(B3,"" "",""""),""..."",""""),""\(.*\)"","""")"),"5.97191897e-10")</f>
        <v>5.97191897e-10</v>
      </c>
      <c r="H3" s="43">
        <f t="shared" si="2"/>
        <v>0.000000000597191897</v>
      </c>
      <c r="I3" s="21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43">
        <f t="shared" si="3"/>
        <v>0</v>
      </c>
      <c r="K3" s="43" t="b">
        <f t="shared" si="4"/>
        <v>0</v>
      </c>
      <c r="L3" s="21" t="str">
        <f>IFERROR(__xludf.DUMMYFUNCTION("if(regexmatch(B3,""e(.*)$""),regexextract(B3,""e(.*)$""),"""")"),"-10")</f>
        <v>-10</v>
      </c>
    </row>
    <row r="4">
      <c r="A4" s="34" t="s">
        <v>547</v>
      </c>
      <c r="B4" s="34" t="s">
        <v>4729</v>
      </c>
      <c r="C4" s="34" t="s">
        <v>548</v>
      </c>
      <c r="D4" s="13" t="str">
        <f t="shared" si="1"/>
        <v>MeV</v>
      </c>
      <c r="E4" s="42">
        <f>countif(Constants!F:F,F4)</f>
        <v>1</v>
      </c>
      <c r="F4" s="21" t="str">
        <f>ifna(VLOOKUP($A4,'v2002'!$A:$F,6,false),"")</f>
        <v>AlphaParticleMassEnergyEquivalentInMeV</v>
      </c>
      <c r="G4" s="21" t="str">
        <f>IFERROR(__xludf.DUMMYFUNCTION("REGEXREPLACE(substitute(substitute(B4,"" "",""""),""..."",""""),""\(.*\)"","""")"),"3727.37904")</f>
        <v>3727.37904</v>
      </c>
      <c r="H4" s="43">
        <f t="shared" si="2"/>
        <v>3727.37904</v>
      </c>
      <c r="I4" s="21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43">
        <f t="shared" si="3"/>
        <v>0.0000015</v>
      </c>
      <c r="K4" s="43" t="b">
        <f t="shared" si="4"/>
        <v>0</v>
      </c>
      <c r="L4" s="21" t="str">
        <f>IFERROR(__xludf.DUMMYFUNCTION("if(regexmatch(B4,""e(.*)$""),regexextract(B4,""e(.*)$""),"""")"),"")</f>
        <v/>
      </c>
    </row>
    <row r="5">
      <c r="A5" s="34" t="s">
        <v>552</v>
      </c>
      <c r="B5" s="34" t="s">
        <v>4730</v>
      </c>
      <c r="C5" s="34" t="s">
        <v>553</v>
      </c>
      <c r="D5" s="13" t="str">
        <f t="shared" si="1"/>
        <v>u</v>
      </c>
      <c r="E5" s="42">
        <f>countif(Constants!F:F,F5)</f>
        <v>1</v>
      </c>
      <c r="F5" s="21" t="str">
        <f>ifna(VLOOKUP($A5,'v2002'!$A:$F,6,false),"")</f>
        <v>AlphaParticleMassInAtomicMassUnit</v>
      </c>
      <c r="G5" s="21" t="str">
        <f>IFERROR(__xludf.DUMMYFUNCTION("REGEXREPLACE(substitute(substitute(B5,"" "",""""),""..."",""""),""\(.*\)"","""")"),"4.0015061747")</f>
        <v>4.0015061747</v>
      </c>
      <c r="H5" s="43">
        <f t="shared" si="2"/>
        <v>4.001506175</v>
      </c>
      <c r="I5" s="21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43">
        <f t="shared" si="3"/>
        <v>0</v>
      </c>
      <c r="K5" s="43" t="b">
        <f t="shared" si="4"/>
        <v>0</v>
      </c>
      <c r="L5" s="21" t="str">
        <f>IFERROR(__xludf.DUMMYFUNCTION("if(regexmatch(B5,""e(.*)$""),regexextract(B5,""e(.*)$""),"""")"),"")</f>
        <v/>
      </c>
    </row>
    <row r="6">
      <c r="A6" s="34" t="s">
        <v>556</v>
      </c>
      <c r="B6" s="34" t="s">
        <v>4731</v>
      </c>
      <c r="C6" s="34" t="s">
        <v>4163</v>
      </c>
      <c r="D6" s="13" t="str">
        <f t="shared" si="1"/>
        <v>kg mol^-1</v>
      </c>
      <c r="E6" s="42">
        <f>countif(Constants!F:F,F6)</f>
        <v>1</v>
      </c>
      <c r="F6" s="21" t="str">
        <f>ifna(VLOOKUP($A6,'v2002'!$A:$F,6,false),"")</f>
        <v>AlphaParticleMolarMass</v>
      </c>
      <c r="G6" s="21" t="str">
        <f>IFERROR(__xludf.DUMMYFUNCTION("REGEXREPLACE(substitute(substitute(B6,"" "",""""),""..."",""""),""\(.*\)"","""")"),"4.0015061747e-3")</f>
        <v>4.0015061747e-3</v>
      </c>
      <c r="H6" s="43">
        <f t="shared" si="2"/>
        <v>0.004001506175</v>
      </c>
      <c r="I6" s="21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43">
        <f t="shared" si="3"/>
        <v>0</v>
      </c>
      <c r="K6" s="43" t="b">
        <f t="shared" si="4"/>
        <v>0</v>
      </c>
      <c r="L6" s="21" t="str">
        <f>IFERROR(__xludf.DUMMYFUNCTION("if(regexmatch(B6,""e(.*)$""),regexextract(B6,""e(.*)$""),"""")"),"-3")</f>
        <v>-3</v>
      </c>
    </row>
    <row r="7">
      <c r="A7" s="34" t="s">
        <v>531</v>
      </c>
      <c r="B7" s="34" t="s">
        <v>4732</v>
      </c>
      <c r="C7" s="34"/>
      <c r="D7" s="13" t="str">
        <f t="shared" si="1"/>
        <v/>
      </c>
      <c r="E7" s="42">
        <f>countif(Constants!F:F,F7)</f>
        <v>1</v>
      </c>
      <c r="F7" s="21" t="str">
        <f>ifna(VLOOKUP($A7,'v2002'!$A:$F,6,false),"")</f>
        <v>AlphaParticleElectronMassRatio</v>
      </c>
      <c r="G7" s="21" t="str">
        <f>IFERROR(__xludf.DUMMYFUNCTION("REGEXREPLACE(substitute(substitute(B7,"" "",""""),""..."",""""),""\(.*\)"","""")"),"7294.299508")</f>
        <v>7294.299508</v>
      </c>
      <c r="H7" s="43">
        <f t="shared" si="2"/>
        <v>7294.299508</v>
      </c>
      <c r="I7" s="21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43">
        <f t="shared" si="3"/>
        <v>0.00000016</v>
      </c>
      <c r="K7" s="43" t="b">
        <f t="shared" si="4"/>
        <v>0</v>
      </c>
      <c r="L7" s="21" t="str">
        <f>IFERROR(__xludf.DUMMYFUNCTION("if(regexmatch(B7,""e(.*)$""),regexextract(B7,""e(.*)$""),"""")"),"")</f>
        <v/>
      </c>
    </row>
    <row r="8">
      <c r="A8" s="34" t="s">
        <v>562</v>
      </c>
      <c r="B8" s="34" t="s">
        <v>4733</v>
      </c>
      <c r="C8" s="34"/>
      <c r="D8" s="13" t="str">
        <f t="shared" si="1"/>
        <v/>
      </c>
      <c r="E8" s="42">
        <f>countif(Constants!F:F,F8)</f>
        <v>1</v>
      </c>
      <c r="F8" s="21" t="str">
        <f>ifna(VLOOKUP($A8,'v2002'!$A:$F,6,false),"")</f>
        <v>AlphaParticleProtonMassRatio</v>
      </c>
      <c r="G8" s="21" t="str">
        <f>IFERROR(__xludf.DUMMYFUNCTION("REGEXREPLACE(substitute(substitute(B8,"" "",""""),""..."",""""),""\(.*\)"","""")"),"3.9725996846")</f>
        <v>3.9725996846</v>
      </c>
      <c r="H8" s="43">
        <f t="shared" si="2"/>
        <v>3.972599685</v>
      </c>
      <c r="I8" s="21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43">
        <f t="shared" si="3"/>
        <v>0</v>
      </c>
      <c r="K8" s="43" t="b">
        <f t="shared" si="4"/>
        <v>0</v>
      </c>
      <c r="L8" s="21" t="str">
        <f>IFERROR(__xludf.DUMMYFUNCTION("if(regexmatch(B8,""e(.*)$""),regexextract(B8,""e(.*)$""),"""")"),"")</f>
        <v/>
      </c>
    </row>
    <row r="9">
      <c r="A9" s="34" t="s">
        <v>573</v>
      </c>
      <c r="B9" s="34" t="s">
        <v>4734</v>
      </c>
      <c r="C9" s="34" t="s">
        <v>571</v>
      </c>
      <c r="D9" s="13" t="str">
        <f t="shared" si="1"/>
        <v>m</v>
      </c>
      <c r="E9" s="42">
        <f>countif(Constants!F:F,F9)</f>
        <v>1</v>
      </c>
      <c r="F9" s="21" t="str">
        <f>ifna(VLOOKUP($A9,'v2002'!$A:$F,6,false),"")</f>
        <v>AngstromStar</v>
      </c>
      <c r="G9" s="21" t="str">
        <f>IFERROR(__xludf.DUMMYFUNCTION("REGEXREPLACE(substitute(substitute(B9,"" "",""""),""..."",""""),""\(.*\)"","""")"),"1.00001501e-10")</f>
        <v>1.00001501e-10</v>
      </c>
      <c r="H9" s="43">
        <f t="shared" si="2"/>
        <v>0.000000000100001501</v>
      </c>
      <c r="I9" s="21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43">
        <f t="shared" si="3"/>
        <v>0</v>
      </c>
      <c r="K9" s="43" t="b">
        <f t="shared" si="4"/>
        <v>0</v>
      </c>
      <c r="L9" s="21" t="str">
        <f>IFERROR(__xludf.DUMMYFUNCTION("if(regexmatch(B9,""e(.*)$""),regexextract(B9,""e(.*)$""),"""")"),"-10")</f>
        <v>-10</v>
      </c>
    </row>
    <row r="10">
      <c r="A10" s="34" t="s">
        <v>575</v>
      </c>
      <c r="B10" s="34" t="s">
        <v>4735</v>
      </c>
      <c r="C10" s="34" t="s">
        <v>538</v>
      </c>
      <c r="D10" s="13" t="str">
        <f t="shared" si="1"/>
        <v>kg</v>
      </c>
      <c r="E10" s="42">
        <f>countif(Constants!F:F,F10)</f>
        <v>1</v>
      </c>
      <c r="F10" s="21" t="str">
        <f>ifna(VLOOKUP($A10,'v2002'!$A:$F,6,false),"")</f>
        <v>AtomicMassConstant</v>
      </c>
      <c r="G10" s="21" t="str">
        <f>IFERROR(__xludf.DUMMYFUNCTION("REGEXREPLACE(substitute(substitute(B10,"" "",""""),""..."",""""),""\(.*\)"","""")"),"1.66053873e-27")</f>
        <v>1.66053873e-27</v>
      </c>
      <c r="H10" s="43">
        <f t="shared" si="2"/>
        <v>0</v>
      </c>
      <c r="I10" s="21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43">
        <f t="shared" si="3"/>
        <v>0</v>
      </c>
      <c r="K10" s="43" t="b">
        <f t="shared" si="4"/>
        <v>0</v>
      </c>
      <c r="L10" s="21" t="str">
        <f>IFERROR(__xludf.DUMMYFUNCTION("if(regexmatch(B10,""e(.*)$""),regexextract(B10,""e(.*)$""),"""")"),"-27")</f>
        <v>-27</v>
      </c>
    </row>
    <row r="11">
      <c r="A11" s="34" t="s">
        <v>579</v>
      </c>
      <c r="B11" s="34" t="s">
        <v>4736</v>
      </c>
      <c r="C11" s="34" t="s">
        <v>543</v>
      </c>
      <c r="D11" s="13" t="str">
        <f t="shared" si="1"/>
        <v>J</v>
      </c>
      <c r="E11" s="42">
        <f>countif(Constants!F:F,F11)</f>
        <v>1</v>
      </c>
      <c r="F11" s="21" t="str">
        <f>ifna(VLOOKUP($A11,'v2002'!$A:$F,6,false),"")</f>
        <v>AtomicMassConstantEnergyEquivalent</v>
      </c>
      <c r="G11" s="21" t="str">
        <f>IFERROR(__xludf.DUMMYFUNCTION("REGEXREPLACE(substitute(substitute(B11,"" "",""""),""..."",""""),""\(.*\)"","""")"),"1.49241778e-10")</f>
        <v>1.49241778e-10</v>
      </c>
      <c r="H11" s="43">
        <f t="shared" si="2"/>
        <v>0.000000000149241778</v>
      </c>
      <c r="I11" s="21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43">
        <f t="shared" si="3"/>
        <v>0</v>
      </c>
      <c r="K11" s="43" t="b">
        <f t="shared" si="4"/>
        <v>0</v>
      </c>
      <c r="L11" s="21" t="str">
        <f>IFERROR(__xludf.DUMMYFUNCTION("if(regexmatch(B11,""e(.*)$""),regexextract(B11,""e(.*)$""),"""")"),"-10")</f>
        <v>-10</v>
      </c>
    </row>
    <row r="12">
      <c r="A12" s="34" t="s">
        <v>583</v>
      </c>
      <c r="B12" s="34" t="s">
        <v>4737</v>
      </c>
      <c r="C12" s="34" t="s">
        <v>548</v>
      </c>
      <c r="D12" s="13" t="str">
        <f t="shared" si="1"/>
        <v>MeV</v>
      </c>
      <c r="E12" s="42">
        <f>countif(Constants!F:F,F12)</f>
        <v>1</v>
      </c>
      <c r="F12" s="21" t="str">
        <f>ifna(VLOOKUP($A12,'v2002'!$A:$F,6,false),"")</f>
        <v>AtomicMassConstantEnergyEquivalentInMeV</v>
      </c>
      <c r="G12" s="21" t="str">
        <f>IFERROR(__xludf.DUMMYFUNCTION("REGEXREPLACE(substitute(substitute(B12,"" "",""""),""..."",""""),""\(.*\)"","""")"),"931.494013")</f>
        <v>931.494013</v>
      </c>
      <c r="H12" s="43">
        <f t="shared" si="2"/>
        <v>931.494013</v>
      </c>
      <c r="I12" s="21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43">
        <f t="shared" si="3"/>
        <v>0.00000037</v>
      </c>
      <c r="K12" s="43" t="b">
        <f t="shared" si="4"/>
        <v>0</v>
      </c>
      <c r="L12" s="21" t="str">
        <f>IFERROR(__xludf.DUMMYFUNCTION("if(regexmatch(B12,""e(.*)$""),regexextract(B12,""e(.*)$""),"""")"),"")</f>
        <v/>
      </c>
    </row>
    <row r="13">
      <c r="A13" s="34" t="s">
        <v>587</v>
      </c>
      <c r="B13" s="34" t="s">
        <v>4738</v>
      </c>
      <c r="C13" s="34" t="s">
        <v>175</v>
      </c>
      <c r="D13" s="13" t="str">
        <f t="shared" si="1"/>
        <v>eV</v>
      </c>
      <c r="E13" s="42">
        <f>countif(Constants!F:F,F13)</f>
        <v>1</v>
      </c>
      <c r="F13" s="21" t="str">
        <f>ifna(VLOOKUP($A13,'v2002'!$A:$F,6,false),"")</f>
        <v>AtomicMassUnitElectronVoltRelationship</v>
      </c>
      <c r="G13" s="21" t="str">
        <f>IFERROR(__xludf.DUMMYFUNCTION("REGEXREPLACE(substitute(substitute(B13,"" "",""""),""..."",""""),""\(.*\)"","""")"),"931.494013e6")</f>
        <v>931.494013e6</v>
      </c>
      <c r="H13" s="43">
        <f t="shared" si="2"/>
        <v>931494013</v>
      </c>
      <c r="I13" s="21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43">
        <f t="shared" si="3"/>
        <v>0.37</v>
      </c>
      <c r="K13" s="43" t="b">
        <f t="shared" si="4"/>
        <v>0</v>
      </c>
      <c r="L13" s="21" t="str">
        <f>IFERROR(__xludf.DUMMYFUNCTION("if(regexmatch(B13,""e(.*)$""),regexextract(B13,""e(.*)$""),"""")"),"6")</f>
        <v>6</v>
      </c>
    </row>
    <row r="14">
      <c r="A14" s="34" t="s">
        <v>592</v>
      </c>
      <c r="B14" s="34" t="s">
        <v>4739</v>
      </c>
      <c r="C14" s="34" t="s">
        <v>593</v>
      </c>
      <c r="D14" s="13" t="str">
        <f t="shared" si="1"/>
        <v>E_h</v>
      </c>
      <c r="E14" s="42">
        <f>countif(Constants!F:F,F14)</f>
        <v>1</v>
      </c>
      <c r="F14" s="21" t="str">
        <f>ifna(VLOOKUP($A14,'v2002'!$A:$F,6,false),"")</f>
        <v>AtomicMassUnitHartreeRelationship</v>
      </c>
      <c r="G14" s="21" t="str">
        <f>IFERROR(__xludf.DUMMYFUNCTION("REGEXREPLACE(substitute(substitute(B14,"" "",""""),""..."",""""),""\(.*\)"","""")"),"3.423177709e7")</f>
        <v>3.423177709e7</v>
      </c>
      <c r="H14" s="43">
        <f t="shared" si="2"/>
        <v>34231777.09</v>
      </c>
      <c r="I14" s="21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43">
        <f t="shared" si="3"/>
        <v>0.0026</v>
      </c>
      <c r="K14" s="43" t="b">
        <f t="shared" si="4"/>
        <v>0</v>
      </c>
      <c r="L14" s="21" t="str">
        <f>IFERROR(__xludf.DUMMYFUNCTION("if(regexmatch(B14,""e(.*)$""),regexextract(B14,""e(.*)$""),"""")"),"7")</f>
        <v>7</v>
      </c>
    </row>
    <row r="15">
      <c r="A15" s="34" t="s">
        <v>599</v>
      </c>
      <c r="B15" s="34" t="s">
        <v>4740</v>
      </c>
      <c r="C15" s="34" t="s">
        <v>600</v>
      </c>
      <c r="D15" s="13" t="str">
        <f t="shared" si="1"/>
        <v>Hz</v>
      </c>
      <c r="E15" s="42">
        <f>countif(Constants!F:F,F15)</f>
        <v>1</v>
      </c>
      <c r="F15" s="21" t="str">
        <f>ifna(VLOOKUP($A15,'v2002'!$A:$F,6,false),"")</f>
        <v>AtomicMassUnitHertzRelationship</v>
      </c>
      <c r="G15" s="21" t="str">
        <f>IFERROR(__xludf.DUMMYFUNCTION("REGEXREPLACE(substitute(substitute(B15,"" "",""""),""..."",""""),""\(.*\)"","""")"),"2.252342733e23")</f>
        <v>2.252342733e23</v>
      </c>
      <c r="H15" s="43">
        <f t="shared" si="2"/>
        <v>2.25234E+23</v>
      </c>
      <c r="I15" s="21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43">
        <f t="shared" si="3"/>
        <v>17000000000000</v>
      </c>
      <c r="K15" s="43" t="b">
        <f t="shared" si="4"/>
        <v>0</v>
      </c>
      <c r="L15" s="21" t="str">
        <f>IFERROR(__xludf.DUMMYFUNCTION("if(regexmatch(B15,""e(.*)$""),regexextract(B15,""e(.*)$""),"""")"),"23")</f>
        <v>23</v>
      </c>
    </row>
    <row r="16">
      <c r="A16" s="34" t="s">
        <v>605</v>
      </c>
      <c r="B16" s="34" t="s">
        <v>4741</v>
      </c>
      <c r="C16" s="34" t="s">
        <v>4174</v>
      </c>
      <c r="D16" s="13" t="str">
        <f t="shared" si="1"/>
        <v>m^-1</v>
      </c>
      <c r="E16" s="42">
        <f>countif(Constants!F:F,F16)</f>
        <v>1</v>
      </c>
      <c r="F16" s="21" t="str">
        <f>ifna(VLOOKUP($A16,'v2002'!$A:$F,6,false),"")</f>
        <v>AtomicMassUnitInverseMeterRelationship</v>
      </c>
      <c r="G16" s="21" t="str">
        <f>IFERROR(__xludf.DUMMYFUNCTION("REGEXREPLACE(substitute(substitute(B16,"" "",""""),""..."",""""),""\(.*\)"","""")"),"7.513006658e14")</f>
        <v>7.513006658e14</v>
      </c>
      <c r="H16" s="43">
        <f t="shared" si="2"/>
        <v>751300665800000</v>
      </c>
      <c r="I16" s="21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43">
        <f t="shared" si="3"/>
        <v>57000</v>
      </c>
      <c r="K16" s="43" t="b">
        <f t="shared" si="4"/>
        <v>0</v>
      </c>
      <c r="L16" s="21" t="str">
        <f>IFERROR(__xludf.DUMMYFUNCTION("if(regexmatch(B16,""e(.*)$""),regexextract(B16,""e(.*)$""),"""")"),"14")</f>
        <v>14</v>
      </c>
    </row>
    <row r="17">
      <c r="A17" s="34" t="s">
        <v>612</v>
      </c>
      <c r="B17" s="34" t="s">
        <v>4736</v>
      </c>
      <c r="C17" s="34" t="s">
        <v>543</v>
      </c>
      <c r="D17" s="13" t="str">
        <f t="shared" si="1"/>
        <v>J</v>
      </c>
      <c r="E17" s="42">
        <f>countif(Constants!F:F,F17)</f>
        <v>1</v>
      </c>
      <c r="F17" s="21" t="str">
        <f>ifna(VLOOKUP($A17,'v2002'!$A:$F,6,false),"")</f>
        <v>AtomicMassUnitJouleRelationship</v>
      </c>
      <c r="G17" s="21" t="str">
        <f>IFERROR(__xludf.DUMMYFUNCTION("REGEXREPLACE(substitute(substitute(B17,"" "",""""),""..."",""""),""\(.*\)"","""")"),"1.49241778e-10")</f>
        <v>1.49241778e-10</v>
      </c>
      <c r="H17" s="43">
        <f t="shared" si="2"/>
        <v>0.000000000149241778</v>
      </c>
      <c r="I17" s="21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43">
        <f t="shared" si="3"/>
        <v>0</v>
      </c>
      <c r="K17" s="43" t="b">
        <f t="shared" si="4"/>
        <v>0</v>
      </c>
      <c r="L17" s="21" t="str">
        <f>IFERROR(__xludf.DUMMYFUNCTION("if(regexmatch(B17,""e(.*)$""),regexextract(B17,""e(.*)$""),"""")"),"-10")</f>
        <v>-10</v>
      </c>
    </row>
    <row r="18">
      <c r="A18" s="34" t="s">
        <v>617</v>
      </c>
      <c r="B18" s="34" t="s">
        <v>4742</v>
      </c>
      <c r="C18" s="34" t="s">
        <v>618</v>
      </c>
      <c r="D18" s="13" t="str">
        <f t="shared" si="1"/>
        <v>K</v>
      </c>
      <c r="E18" s="42">
        <f>countif(Constants!F:F,F18)</f>
        <v>1</v>
      </c>
      <c r="F18" s="21" t="str">
        <f>ifna(VLOOKUP($A18,'v2002'!$A:$F,6,false),"")</f>
        <v>AtomicMassUnitKelvinRelationship</v>
      </c>
      <c r="G18" s="21" t="str">
        <f>IFERROR(__xludf.DUMMYFUNCTION("REGEXREPLACE(substitute(substitute(B18,"" "",""""),""..."",""""),""\(.*\)"","""")"),"1.0809528e13")</f>
        <v>1.0809528e13</v>
      </c>
      <c r="H18" s="43">
        <f t="shared" si="2"/>
        <v>10809528000000</v>
      </c>
      <c r="I18" s="21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43">
        <f t="shared" si="3"/>
        <v>190000</v>
      </c>
      <c r="K18" s="43" t="b">
        <f t="shared" si="4"/>
        <v>0</v>
      </c>
      <c r="L18" s="21" t="str">
        <f>IFERROR(__xludf.DUMMYFUNCTION("if(regexmatch(B18,""e(.*)$""),regexextract(B18,""e(.*)$""),"""")"),"13")</f>
        <v>13</v>
      </c>
    </row>
    <row r="19">
      <c r="A19" s="34" t="s">
        <v>623</v>
      </c>
      <c r="B19" s="34" t="s">
        <v>4735</v>
      </c>
      <c r="C19" s="34" t="s">
        <v>538</v>
      </c>
      <c r="D19" s="13" t="str">
        <f t="shared" si="1"/>
        <v>kg</v>
      </c>
      <c r="E19" s="42">
        <f>countif(Constants!F:F,F19)</f>
        <v>1</v>
      </c>
      <c r="F19" s="21" t="str">
        <f>ifna(VLOOKUP($A19,'v2002'!$A:$F,6,false),"")</f>
        <v>AtomicMassUnitKilogramRelationship</v>
      </c>
      <c r="G19" s="21" t="str">
        <f>IFERROR(__xludf.DUMMYFUNCTION("REGEXREPLACE(substitute(substitute(B19,"" "",""""),""..."",""""),""\(.*\)"","""")"),"1.66053873e-27")</f>
        <v>1.66053873e-27</v>
      </c>
      <c r="H19" s="43">
        <f t="shared" si="2"/>
        <v>0</v>
      </c>
      <c r="I19" s="21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43">
        <f t="shared" si="3"/>
        <v>0</v>
      </c>
      <c r="K19" s="43" t="b">
        <f t="shared" si="4"/>
        <v>0</v>
      </c>
      <c r="L19" s="21" t="str">
        <f>IFERROR(__xludf.DUMMYFUNCTION("if(regexmatch(B19,""e(.*)$""),regexextract(B19,""e(.*)$""),"""")"),"-27")</f>
        <v>-27</v>
      </c>
    </row>
    <row r="20">
      <c r="A20" s="34" t="s">
        <v>628</v>
      </c>
      <c r="B20" s="34" t="s">
        <v>4743</v>
      </c>
      <c r="C20" s="34" t="s">
        <v>4177</v>
      </c>
      <c r="D20" s="13" t="str">
        <f t="shared" si="1"/>
        <v>C^3 m^3 J^-2</v>
      </c>
      <c r="E20" s="42">
        <f>countif(Constants!F:F,F20)</f>
        <v>1</v>
      </c>
      <c r="F20" s="21" t="str">
        <f>ifna(VLOOKUP($A20,'v2002'!$A:$F,6,false),"")</f>
        <v>AtomicUnitOf1stHyperpolarizablity</v>
      </c>
      <c r="G20" s="21" t="str">
        <f>IFERROR(__xludf.DUMMYFUNCTION("REGEXREPLACE(substitute(substitute(B20,"" "",""""),""..."",""""),""\(.*\)"","""")"),"3.20636157e-53")</f>
        <v>3.20636157e-53</v>
      </c>
      <c r="H20" s="43">
        <f t="shared" si="2"/>
        <v>0</v>
      </c>
      <c r="I20" s="21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43">
        <f t="shared" si="3"/>
        <v>0</v>
      </c>
      <c r="K20" s="43" t="b">
        <f t="shared" si="4"/>
        <v>0</v>
      </c>
      <c r="L20" s="21" t="str">
        <f>IFERROR(__xludf.DUMMYFUNCTION("if(regexmatch(B20,""e(.*)$""),regexextract(B20,""e(.*)$""),"""")"),"-53")</f>
        <v>-53</v>
      </c>
    </row>
    <row r="21">
      <c r="A21" s="34" t="s">
        <v>635</v>
      </c>
      <c r="B21" s="34" t="s">
        <v>4744</v>
      </c>
      <c r="C21" s="34" t="s">
        <v>4179</v>
      </c>
      <c r="D21" s="13" t="str">
        <f t="shared" si="1"/>
        <v>C^4 m^4 J^-3</v>
      </c>
      <c r="E21" s="42">
        <f>countif(Constants!F:F,F21)</f>
        <v>1</v>
      </c>
      <c r="F21" s="21" t="str">
        <f>ifna(VLOOKUP($A21,'v2002'!$A:$F,6,false),"")</f>
        <v>AtomicUnitOf2ndHyperpolarizablity</v>
      </c>
      <c r="G21" s="21" t="str">
        <f>IFERROR(__xludf.DUMMYFUNCTION("REGEXREPLACE(substitute(substitute(B21,"" "",""""),""..."",""""),""\(.*\)"","""")"),"6.23538112e-65")</f>
        <v>6.23538112e-65</v>
      </c>
      <c r="H21" s="43">
        <f t="shared" si="2"/>
        <v>0</v>
      </c>
      <c r="I21" s="21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43">
        <f t="shared" si="3"/>
        <v>0</v>
      </c>
      <c r="K21" s="43" t="b">
        <f t="shared" si="4"/>
        <v>0</v>
      </c>
      <c r="L21" s="21" t="str">
        <f>IFERROR(__xludf.DUMMYFUNCTION("if(regexmatch(B21,""e(.*)$""),regexextract(B21,""e(.*)$""),"""")"),"-65")</f>
        <v>-65</v>
      </c>
    </row>
    <row r="22">
      <c r="A22" s="34" t="s">
        <v>642</v>
      </c>
      <c r="B22" s="34" t="s">
        <v>4745</v>
      </c>
      <c r="C22" s="34" t="s">
        <v>643</v>
      </c>
      <c r="D22" s="13" t="str">
        <f t="shared" si="1"/>
        <v>J s</v>
      </c>
      <c r="E22" s="42">
        <f>countif(Constants!F:F,F22)</f>
        <v>1</v>
      </c>
      <c r="F22" s="21" t="str">
        <f>ifna(VLOOKUP($A22,'v2002'!$A:$F,6,false),"")</f>
        <v>AtomicUnitOfAction</v>
      </c>
      <c r="G22" s="21" t="str">
        <f>IFERROR(__xludf.DUMMYFUNCTION("REGEXREPLACE(substitute(substitute(B22,"" "",""""),""..."",""""),""\(.*\)"","""")"),"1.054571596e-34")</f>
        <v>1.054571596e-34</v>
      </c>
      <c r="H22" s="43">
        <f t="shared" si="2"/>
        <v>0</v>
      </c>
      <c r="I22" s="21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43">
        <f t="shared" si="3"/>
        <v>0</v>
      </c>
      <c r="K22" s="43" t="b">
        <f t="shared" si="4"/>
        <v>0</v>
      </c>
      <c r="L22" s="21" t="str">
        <f>IFERROR(__xludf.DUMMYFUNCTION("if(regexmatch(B22,""e(.*)$""),regexextract(B22,""e(.*)$""),"""")"),"-34")</f>
        <v>-34</v>
      </c>
    </row>
    <row r="23">
      <c r="A23" s="34" t="s">
        <v>654</v>
      </c>
      <c r="B23" s="34" t="s">
        <v>4746</v>
      </c>
      <c r="C23" s="34" t="s">
        <v>4182</v>
      </c>
      <c r="D23" s="13" t="str">
        <f t="shared" si="1"/>
        <v>C m^-3</v>
      </c>
      <c r="E23" s="42">
        <f>countif(Constants!F:F,F23)</f>
        <v>1</v>
      </c>
      <c r="F23" s="21" t="str">
        <f>ifna(VLOOKUP($A23,'v2002'!$A:$F,6,false),"")</f>
        <v>AtomicUnitOfChargeDensity</v>
      </c>
      <c r="G23" s="21" t="str">
        <f>IFERROR(__xludf.DUMMYFUNCTION("REGEXREPLACE(substitute(substitute(B23,"" "",""""),""..."",""""),""\(.*\)"","""")"),"1.081202285e12")</f>
        <v>1.081202285e12</v>
      </c>
      <c r="H23" s="43">
        <f t="shared" si="2"/>
        <v>1081202285000</v>
      </c>
      <c r="I23" s="21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43">
        <f t="shared" si="3"/>
        <v>430</v>
      </c>
      <c r="K23" s="43" t="b">
        <f t="shared" si="4"/>
        <v>0</v>
      </c>
      <c r="L23" s="21" t="str">
        <f>IFERROR(__xludf.DUMMYFUNCTION("if(regexmatch(B23,""e(.*)$""),regexextract(B23,""e(.*)$""),"""")"),"12")</f>
        <v>12</v>
      </c>
    </row>
    <row r="24">
      <c r="A24" s="34" t="s">
        <v>660</v>
      </c>
      <c r="B24" s="34" t="s">
        <v>4747</v>
      </c>
      <c r="C24" s="34" t="s">
        <v>661</v>
      </c>
      <c r="D24" s="13" t="str">
        <f t="shared" si="1"/>
        <v>A</v>
      </c>
      <c r="E24" s="42">
        <f>countif(Constants!F:F,F24)</f>
        <v>1</v>
      </c>
      <c r="F24" s="21" t="str">
        <f>ifna(VLOOKUP($A24,'v2002'!$A:$F,6,false),"")</f>
        <v>AtomicUnitOfCurrent</v>
      </c>
      <c r="G24" s="21" t="str">
        <f>IFERROR(__xludf.DUMMYFUNCTION("REGEXREPLACE(substitute(substitute(B24,"" "",""""),""..."",""""),""\(.*\)"","""")"),"6.62361753e-3")</f>
        <v>6.62361753e-3</v>
      </c>
      <c r="H24" s="43">
        <f t="shared" si="2"/>
        <v>0.00662361753</v>
      </c>
      <c r="I24" s="21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43">
        <f t="shared" si="3"/>
        <v>0</v>
      </c>
      <c r="K24" s="43" t="b">
        <f t="shared" si="4"/>
        <v>0</v>
      </c>
      <c r="L24" s="21" t="str">
        <f>IFERROR(__xludf.DUMMYFUNCTION("if(regexmatch(B24,""e(.*)$""),regexextract(B24,""e(.*)$""),"""")"),"-3")</f>
        <v>-3</v>
      </c>
    </row>
    <row r="25">
      <c r="A25" s="34" t="s">
        <v>667</v>
      </c>
      <c r="B25" s="34" t="s">
        <v>4748</v>
      </c>
      <c r="C25" s="34" t="s">
        <v>666</v>
      </c>
      <c r="D25" s="13" t="str">
        <f t="shared" si="1"/>
        <v>C m</v>
      </c>
      <c r="E25" s="42">
        <f>countif(Constants!F:F,F25)</f>
        <v>1</v>
      </c>
      <c r="F25" s="21" t="str">
        <f>ifna(VLOOKUP($A25,'v2002'!$A:$F,6,false),"")</f>
        <v>AtomicUnitOfElectricDipoleMoment</v>
      </c>
      <c r="G25" s="21" t="str">
        <f>IFERROR(__xludf.DUMMYFUNCTION("REGEXREPLACE(substitute(substitute(B25,"" "",""""),""..."",""""),""\(.*\)"","""")"),"8.47835267e-30")</f>
        <v>8.47835267e-30</v>
      </c>
      <c r="H25" s="43">
        <f t="shared" si="2"/>
        <v>0</v>
      </c>
      <c r="I25" s="21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43">
        <f t="shared" si="3"/>
        <v>0</v>
      </c>
      <c r="K25" s="43" t="b">
        <f t="shared" si="4"/>
        <v>0</v>
      </c>
      <c r="L25" s="21" t="str">
        <f>IFERROR(__xludf.DUMMYFUNCTION("if(regexmatch(B25,""e(.*)$""),regexextract(B25,""e(.*)$""),"""")"),"-30")</f>
        <v>-30</v>
      </c>
    </row>
    <row r="26">
      <c r="A26" s="34" t="s">
        <v>671</v>
      </c>
      <c r="B26" s="34" t="s">
        <v>4749</v>
      </c>
      <c r="C26" s="34" t="s">
        <v>4186</v>
      </c>
      <c r="D26" s="13" t="str">
        <f t="shared" si="1"/>
        <v>V m^-1</v>
      </c>
      <c r="E26" s="42">
        <f>countif(Constants!F:F,F26)</f>
        <v>1</v>
      </c>
      <c r="F26" s="21" t="str">
        <f>ifna(VLOOKUP($A26,'v2002'!$A:$F,6,false),"")</f>
        <v>AtomicUnitOfElectricField</v>
      </c>
      <c r="G26" s="21" t="str">
        <f>IFERROR(__xludf.DUMMYFUNCTION("REGEXREPLACE(substitute(substitute(B26,"" "",""""),""..."",""""),""\(.*\)"","""")"),"5.14220624e11")</f>
        <v>5.14220624e11</v>
      </c>
      <c r="H26" s="43">
        <f t="shared" si="2"/>
        <v>514220624000</v>
      </c>
      <c r="I26" s="21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43">
        <f t="shared" si="3"/>
        <v>200</v>
      </c>
      <c r="K26" s="43" t="b">
        <f t="shared" si="4"/>
        <v>0</v>
      </c>
      <c r="L26" s="21" t="str">
        <f>IFERROR(__xludf.DUMMYFUNCTION("if(regexmatch(B26,""e(.*)$""),regexextract(B26,""e(.*)$""),"""")"),"11")</f>
        <v>11</v>
      </c>
    </row>
    <row r="27">
      <c r="A27" s="34" t="s">
        <v>677</v>
      </c>
      <c r="B27" s="34" t="s">
        <v>4750</v>
      </c>
      <c r="C27" s="34" t="s">
        <v>4188</v>
      </c>
      <c r="D27" s="13" t="str">
        <f t="shared" si="1"/>
        <v>V m^-2</v>
      </c>
      <c r="E27" s="42">
        <f>countif(Constants!F:F,F27)</f>
        <v>1</v>
      </c>
      <c r="F27" s="21" t="str">
        <f>ifna(VLOOKUP($A27,'v2002'!$A:$F,6,false),"")</f>
        <v>AtomicUnitOfElectricFieldGradient</v>
      </c>
      <c r="G27" s="21" t="str">
        <f>IFERROR(__xludf.DUMMYFUNCTION("REGEXREPLACE(substitute(substitute(B27,"" "",""""),""..."",""""),""\(.*\)"","""")"),"9.71736153e21")</f>
        <v>9.71736153e21</v>
      </c>
      <c r="H27" s="43">
        <f t="shared" si="2"/>
        <v>9.71736E+21</v>
      </c>
      <c r="I27" s="21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43">
        <f t="shared" si="3"/>
        <v>3900000000000</v>
      </c>
      <c r="K27" s="43" t="b">
        <f t="shared" si="4"/>
        <v>0</v>
      </c>
      <c r="L27" s="21" t="str">
        <f>IFERROR(__xludf.DUMMYFUNCTION("if(regexmatch(B27,""e(.*)$""),regexextract(B27,""e(.*)$""),"""")"),"21")</f>
        <v>21</v>
      </c>
    </row>
    <row r="28">
      <c r="A28" s="34" t="s">
        <v>683</v>
      </c>
      <c r="B28" s="34" t="s">
        <v>4751</v>
      </c>
      <c r="C28" s="34" t="s">
        <v>4190</v>
      </c>
      <c r="D28" s="13" t="str">
        <f t="shared" si="1"/>
        <v>C^2 m^2 J^-1</v>
      </c>
      <c r="E28" s="42">
        <f>countif(Constants!F:F,F28)</f>
        <v>1</v>
      </c>
      <c r="F28" s="21" t="str">
        <f>ifna(VLOOKUP($A28,'v2002'!$A:$F,6,false),"")</f>
        <v>AtomicUnitOfElectricPolarizablity</v>
      </c>
      <c r="G28" s="21" t="str">
        <f>IFERROR(__xludf.DUMMYFUNCTION("REGEXREPLACE(substitute(substitute(B28,"" "",""""),""..."",""""),""\(.*\)"","""")"),"1.648777251e-41")</f>
        <v>1.648777251e-41</v>
      </c>
      <c r="H28" s="43">
        <f t="shared" si="2"/>
        <v>0</v>
      </c>
      <c r="I28" s="21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43">
        <f t="shared" si="3"/>
        <v>0</v>
      </c>
      <c r="K28" s="43" t="b">
        <f t="shared" si="4"/>
        <v>0</v>
      </c>
      <c r="L28" s="21" t="str">
        <f>IFERROR(__xludf.DUMMYFUNCTION("if(regexmatch(B28,""e(.*)$""),regexextract(B28,""e(.*)$""),"""")"),"-41")</f>
        <v>-41</v>
      </c>
    </row>
    <row r="29">
      <c r="A29" s="34" t="s">
        <v>689</v>
      </c>
      <c r="B29" s="34" t="s">
        <v>4752</v>
      </c>
      <c r="C29" s="34" t="s">
        <v>237</v>
      </c>
      <c r="D29" s="13" t="str">
        <f t="shared" si="1"/>
        <v>V</v>
      </c>
      <c r="E29" s="42">
        <f>countif(Constants!F:F,F29)</f>
        <v>1</v>
      </c>
      <c r="F29" s="21" t="str">
        <f>ifna(VLOOKUP($A29,'v2002'!$A:$F,6,false),"")</f>
        <v>AtomicUnitOfElectricPotential</v>
      </c>
      <c r="G29" s="21" t="str">
        <f>IFERROR(__xludf.DUMMYFUNCTION("REGEXREPLACE(substitute(substitute(B29,"" "",""""),""..."",""""),""\(.*\)"","""")"),"27.2113834")</f>
        <v>27.2113834</v>
      </c>
      <c r="H29" s="43">
        <f t="shared" si="2"/>
        <v>27.2113834</v>
      </c>
      <c r="I29" s="21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43">
        <f t="shared" si="3"/>
        <v>0.000000011</v>
      </c>
      <c r="K29" s="43" t="b">
        <f t="shared" si="4"/>
        <v>0</v>
      </c>
      <c r="L29" s="21" t="str">
        <f>IFERROR(__xludf.DUMMYFUNCTION("if(regexmatch(B29,""e(.*)$""),regexextract(B29,""e(.*)$""),"""")"),"")</f>
        <v/>
      </c>
    </row>
    <row r="30">
      <c r="A30" s="34" t="s">
        <v>695</v>
      </c>
      <c r="B30" s="34" t="s">
        <v>4753</v>
      </c>
      <c r="C30" s="34" t="s">
        <v>694</v>
      </c>
      <c r="D30" s="13" t="str">
        <f t="shared" si="1"/>
        <v>C m^2</v>
      </c>
      <c r="E30" s="42">
        <f>countif(Constants!F:F,F30)</f>
        <v>1</v>
      </c>
      <c r="F30" s="21" t="str">
        <f>ifna(VLOOKUP($A30,'v2002'!$A:$F,6,false),"")</f>
        <v>AtomicUnitOfElectricQuadrupoleMoment</v>
      </c>
      <c r="G30" s="21" t="str">
        <f>IFERROR(__xludf.DUMMYFUNCTION("REGEXREPLACE(substitute(substitute(B30,"" "",""""),""..."",""""),""\(.*\)"","""")"),"4.48655100e-40")</f>
        <v>4.48655100e-40</v>
      </c>
      <c r="H30" s="43">
        <f t="shared" si="2"/>
        <v>0</v>
      </c>
      <c r="I30" s="21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43">
        <f t="shared" si="3"/>
        <v>0</v>
      </c>
      <c r="K30" s="43" t="b">
        <f t="shared" si="4"/>
        <v>0</v>
      </c>
      <c r="L30" s="21" t="str">
        <f>IFERROR(__xludf.DUMMYFUNCTION("if(regexmatch(B30,""e(.*)$""),regexextract(B30,""e(.*)$""),"""")"),"-40")</f>
        <v>-40</v>
      </c>
    </row>
    <row r="31">
      <c r="A31" s="34" t="s">
        <v>700</v>
      </c>
      <c r="B31" s="34" t="s">
        <v>4754</v>
      </c>
      <c r="C31" s="34" t="s">
        <v>543</v>
      </c>
      <c r="D31" s="13" t="str">
        <f t="shared" si="1"/>
        <v>J</v>
      </c>
      <c r="E31" s="42">
        <f>countif(Constants!F:F,F31)</f>
        <v>1</v>
      </c>
      <c r="F31" s="21" t="str">
        <f>ifna(VLOOKUP($A31,'v2002'!$A:$F,6,false),"")</f>
        <v>AtomicUnitOfEnergy</v>
      </c>
      <c r="G31" s="21" t="str">
        <f>IFERROR(__xludf.DUMMYFUNCTION("REGEXREPLACE(substitute(substitute(B31,"" "",""""),""..."",""""),""\(.*\)"","""")"),"4.35974381e-18")</f>
        <v>4.35974381e-18</v>
      </c>
      <c r="H31" s="43">
        <f t="shared" si="2"/>
        <v>0</v>
      </c>
      <c r="I31" s="21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43">
        <f t="shared" si="3"/>
        <v>0</v>
      </c>
      <c r="K31" s="43" t="b">
        <f t="shared" si="4"/>
        <v>0</v>
      </c>
      <c r="L31" s="21" t="str">
        <f>IFERROR(__xludf.DUMMYFUNCTION("if(regexmatch(B31,""e(.*)$""),regexextract(B31,""e(.*)$""),"""")"),"-18")</f>
        <v>-18</v>
      </c>
    </row>
    <row r="32">
      <c r="A32" s="34" t="s">
        <v>704</v>
      </c>
      <c r="B32" s="34" t="s">
        <v>4755</v>
      </c>
      <c r="C32" s="34" t="s">
        <v>705</v>
      </c>
      <c r="D32" s="13" t="str">
        <f t="shared" si="1"/>
        <v>N</v>
      </c>
      <c r="E32" s="42">
        <f>countif(Constants!F:F,F32)</f>
        <v>1</v>
      </c>
      <c r="F32" s="21" t="str">
        <f>ifna(VLOOKUP($A32,'v2002'!$A:$F,6,false),"")</f>
        <v>AtomicUnitOfForce</v>
      </c>
      <c r="G32" s="21" t="str">
        <f>IFERROR(__xludf.DUMMYFUNCTION("REGEXREPLACE(substitute(substitute(B32,"" "",""""),""..."",""""),""\(.*\)"","""")"),"8.23872181e-8")</f>
        <v>8.23872181e-8</v>
      </c>
      <c r="H32" s="43">
        <f t="shared" si="2"/>
        <v>0.0000000823872181</v>
      </c>
      <c r="I32" s="21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43">
        <f t="shared" si="3"/>
        <v>0</v>
      </c>
      <c r="K32" s="43" t="b">
        <f t="shared" si="4"/>
        <v>0</v>
      </c>
      <c r="L32" s="21" t="str">
        <f>IFERROR(__xludf.DUMMYFUNCTION("if(regexmatch(B32,""e(.*)$""),regexextract(B32,""e(.*)$""),"""")"),"-8")</f>
        <v>-8</v>
      </c>
    </row>
    <row r="33">
      <c r="A33" s="34" t="s">
        <v>709</v>
      </c>
      <c r="B33" s="34" t="s">
        <v>4756</v>
      </c>
      <c r="C33" s="34" t="s">
        <v>571</v>
      </c>
      <c r="D33" s="13" t="str">
        <f t="shared" si="1"/>
        <v>m</v>
      </c>
      <c r="E33" s="42">
        <f>countif(Constants!F:F,F33)</f>
        <v>1</v>
      </c>
      <c r="F33" s="21" t="str">
        <f>ifna(VLOOKUP($A33,'v2002'!$A:$F,6,false),"")</f>
        <v>AtomicUnitOfLength</v>
      </c>
      <c r="G33" s="21" t="str">
        <f>IFERROR(__xludf.DUMMYFUNCTION("REGEXREPLACE(substitute(substitute(B33,"" "",""""),""..."",""""),""\(.*\)"","""")"),"0.5291772083e-10")</f>
        <v>0.5291772083e-10</v>
      </c>
      <c r="H33" s="43">
        <f t="shared" si="2"/>
        <v>0</v>
      </c>
      <c r="I33" s="21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43">
        <f t="shared" si="3"/>
        <v>0</v>
      </c>
      <c r="K33" s="43" t="b">
        <f t="shared" si="4"/>
        <v>0</v>
      </c>
      <c r="L33" s="21" t="str">
        <f>IFERROR(__xludf.DUMMYFUNCTION("if(regexmatch(B33,""e(.*)$""),regexextract(B33,""e(.*)$""),"""")"),"-10")</f>
        <v>-10</v>
      </c>
    </row>
    <row r="34">
      <c r="A34" s="34" t="s">
        <v>715</v>
      </c>
      <c r="B34" s="34" t="s">
        <v>4757</v>
      </c>
      <c r="C34" s="34" t="s">
        <v>4197</v>
      </c>
      <c r="D34" s="13" t="str">
        <f t="shared" si="1"/>
        <v>J T^-1</v>
      </c>
      <c r="E34" s="42">
        <f>countif(Constants!F:F,F34)</f>
        <v>1</v>
      </c>
      <c r="F34" s="21" t="str">
        <f>ifna(VLOOKUP($A34,'v2002'!$A:$F,6,false),"")</f>
        <v>AtomicUnitOfMagneticDipoleMoment</v>
      </c>
      <c r="G34" s="21" t="str">
        <f>IFERROR(__xludf.DUMMYFUNCTION("REGEXREPLACE(substitute(substitute(B34,"" "",""""),""..."",""""),""\(.*\)"","""")"),"1.854801799e-23")</f>
        <v>1.854801799e-23</v>
      </c>
      <c r="H34" s="43">
        <f t="shared" si="2"/>
        <v>0</v>
      </c>
      <c r="I34" s="21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43">
        <f t="shared" si="3"/>
        <v>0</v>
      </c>
      <c r="K34" s="43" t="b">
        <f t="shared" si="4"/>
        <v>0</v>
      </c>
      <c r="L34" s="21" t="str">
        <f>IFERROR(__xludf.DUMMYFUNCTION("if(regexmatch(B34,""e(.*)$""),regexextract(B34,""e(.*)$""),"""")"),"-23")</f>
        <v>-23</v>
      </c>
    </row>
    <row r="35">
      <c r="A35" s="34" t="s">
        <v>4198</v>
      </c>
      <c r="B35" s="34" t="s">
        <v>4758</v>
      </c>
      <c r="C35" s="34" t="s">
        <v>721</v>
      </c>
      <c r="D35" s="13" t="str">
        <f t="shared" si="1"/>
        <v>T</v>
      </c>
      <c r="E35" s="42">
        <f>countif(Constants!F:F,F35)</f>
        <v>1</v>
      </c>
      <c r="F35" s="21" t="str">
        <f>ifna(VLOOKUP($A35,'v2002'!$A:$F,6,false),"")</f>
        <v>AtomicUnitOfMagneticFluxDensity</v>
      </c>
      <c r="G35" s="21" t="str">
        <f>IFERROR(__xludf.DUMMYFUNCTION("REGEXREPLACE(substitute(substitute(B35,"" "",""""),""..."",""""),""\(.*\)"","""")"),"2.350517349e5")</f>
        <v>2.350517349e5</v>
      </c>
      <c r="H35" s="43">
        <f t="shared" si="2"/>
        <v>235051.7349</v>
      </c>
      <c r="I35" s="21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43">
        <f t="shared" si="3"/>
        <v>0.000094</v>
      </c>
      <c r="K35" s="43" t="b">
        <f t="shared" si="4"/>
        <v>0</v>
      </c>
      <c r="L35" s="21" t="str">
        <f>IFERROR(__xludf.DUMMYFUNCTION("if(regexmatch(B35,""e(.*)$""),regexextract(B35,""e(.*)$""),"""")"),"5")</f>
        <v>5</v>
      </c>
    </row>
    <row r="36">
      <c r="A36" s="34" t="s">
        <v>725</v>
      </c>
      <c r="B36" s="34" t="s">
        <v>4759</v>
      </c>
      <c r="C36" s="34" t="s">
        <v>4201</v>
      </c>
      <c r="D36" s="13" t="str">
        <f t="shared" si="1"/>
        <v>J T^-2</v>
      </c>
      <c r="E36" s="42">
        <f>countif(Constants!F:F,F36)</f>
        <v>1</v>
      </c>
      <c r="F36" s="21" t="str">
        <f>ifna(VLOOKUP($A36,'v2002'!$A:$F,6,false),"")</f>
        <v>AtomicUnitOfMagnetizability</v>
      </c>
      <c r="G36" s="21" t="str">
        <f>IFERROR(__xludf.DUMMYFUNCTION("REGEXREPLACE(substitute(substitute(B36,"" "",""""),""..."",""""),""\(.*\)"","""")"),"7.89103641e-29")</f>
        <v>7.89103641e-29</v>
      </c>
      <c r="H36" s="43">
        <f t="shared" si="2"/>
        <v>0</v>
      </c>
      <c r="I36" s="21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43">
        <f t="shared" si="3"/>
        <v>0</v>
      </c>
      <c r="K36" s="43" t="b">
        <f t="shared" si="4"/>
        <v>0</v>
      </c>
      <c r="L36" s="21" t="str">
        <f>IFERROR(__xludf.DUMMYFUNCTION("if(regexmatch(B36,""e(.*)$""),regexextract(B36,""e(.*)$""),"""")"),"-29")</f>
        <v>-29</v>
      </c>
    </row>
    <row r="37">
      <c r="A37" s="34" t="s">
        <v>731</v>
      </c>
      <c r="B37" s="34" t="s">
        <v>4760</v>
      </c>
      <c r="C37" s="34" t="s">
        <v>538</v>
      </c>
      <c r="D37" s="13" t="str">
        <f t="shared" si="1"/>
        <v>kg</v>
      </c>
      <c r="E37" s="42">
        <f>countif(Constants!F:F,F37)</f>
        <v>1</v>
      </c>
      <c r="F37" s="21" t="str">
        <f>ifna(VLOOKUP($A37,'v2002'!$A:$F,6,false),"")</f>
        <v>AtomicUnitOfMass</v>
      </c>
      <c r="G37" s="21" t="str">
        <f>IFERROR(__xludf.DUMMYFUNCTION("REGEXREPLACE(substitute(substitute(B37,"" "",""""),""..."",""""),""\(.*\)"","""")"),"9.10938188e-31")</f>
        <v>9.10938188e-31</v>
      </c>
      <c r="H37" s="43">
        <f t="shared" si="2"/>
        <v>0</v>
      </c>
      <c r="I37" s="21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43">
        <f t="shared" si="3"/>
        <v>0</v>
      </c>
      <c r="K37" s="43" t="b">
        <f t="shared" si="4"/>
        <v>0</v>
      </c>
      <c r="L37" s="21" t="str">
        <f>IFERROR(__xludf.DUMMYFUNCTION("if(regexmatch(B37,""e(.*)$""),regexextract(B37,""e(.*)$""),"""")"),"-31")</f>
        <v>-31</v>
      </c>
    </row>
    <row r="38">
      <c r="A38" s="34" t="s">
        <v>735</v>
      </c>
      <c r="B38" s="34" t="s">
        <v>4761</v>
      </c>
      <c r="C38" s="34" t="s">
        <v>4204</v>
      </c>
      <c r="D38" s="13" t="str">
        <f t="shared" si="1"/>
        <v>kg m s^-1</v>
      </c>
      <c r="E38" s="42">
        <f>countif(Constants!F:F,F38)</f>
        <v>1</v>
      </c>
      <c r="F38" s="21" t="str">
        <f>ifna(VLOOKUP($A38,'v2002'!$A:$F,6,false),"")</f>
        <v>AtomicUnitOfMomentum</v>
      </c>
      <c r="G38" s="21" t="str">
        <f>IFERROR(__xludf.DUMMYFUNCTION("REGEXREPLACE(substitute(substitute(B38,"" "",""""),""..."",""""),""\(.*\)"","""")"),"1.99285151e-24")</f>
        <v>1.99285151e-24</v>
      </c>
      <c r="H38" s="43">
        <f t="shared" si="2"/>
        <v>0</v>
      </c>
      <c r="I38" s="21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43">
        <f t="shared" si="3"/>
        <v>0</v>
      </c>
      <c r="K38" s="43" t="b">
        <f t="shared" si="4"/>
        <v>0</v>
      </c>
      <c r="L38" s="21" t="str">
        <f>IFERROR(__xludf.DUMMYFUNCTION("if(regexmatch(B38,""e(.*)$""),regexextract(B38,""e(.*)$""),"""")"),"-24")</f>
        <v>-24</v>
      </c>
    </row>
    <row r="39">
      <c r="A39" s="34" t="s">
        <v>742</v>
      </c>
      <c r="B39" s="34" t="s">
        <v>4205</v>
      </c>
      <c r="C39" s="34" t="s">
        <v>4206</v>
      </c>
      <c r="D39" s="13" t="str">
        <f t="shared" si="1"/>
        <v>F m^-1</v>
      </c>
      <c r="E39" s="42">
        <f>countif(Constants!F:F,F39)</f>
        <v>1</v>
      </c>
      <c r="F39" s="21" t="str">
        <f>ifna(VLOOKUP($A39,'v2002'!$A:$F,6,false),"")</f>
        <v>AtomicUnitOfPermittivity</v>
      </c>
      <c r="G39" s="21" t="str">
        <f>IFERROR(__xludf.DUMMYFUNCTION("REGEXREPLACE(substitute(substitute(B39,"" "",""""),""..."",""""),""\(.*\)"","""")"),"1.112650056e-10")</f>
        <v>1.112650056e-10</v>
      </c>
      <c r="H39" s="43">
        <f t="shared" si="2"/>
        <v>0.0000000001112650056</v>
      </c>
      <c r="I39" s="21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43" t="str">
        <f t="shared" si="3"/>
        <v/>
      </c>
      <c r="K39" s="43" t="b">
        <f t="shared" si="4"/>
        <v>1</v>
      </c>
      <c r="L39" s="21" t="str">
        <f>IFERROR(__xludf.DUMMYFUNCTION("if(regexmatch(B39,""e(.*)$""),regexextract(B39,""e(.*)$""),"""")"),"-10")</f>
        <v>-10</v>
      </c>
    </row>
    <row r="40">
      <c r="A40" s="34" t="s">
        <v>748</v>
      </c>
      <c r="B40" s="34" t="s">
        <v>4762</v>
      </c>
      <c r="C40" s="34" t="s">
        <v>749</v>
      </c>
      <c r="D40" s="13" t="str">
        <f t="shared" si="1"/>
        <v>s</v>
      </c>
      <c r="E40" s="42">
        <f>countif(Constants!F:F,F40)</f>
        <v>1</v>
      </c>
      <c r="F40" s="21" t="str">
        <f>ifna(VLOOKUP($A40,'v2002'!$A:$F,6,false),"")</f>
        <v>AtomicUnitOfTime</v>
      </c>
      <c r="G40" s="21" t="str">
        <f>IFERROR(__xludf.DUMMYFUNCTION("REGEXREPLACE(substitute(substitute(B40,"" "",""""),""..."",""""),""\(.*\)"","""")"),"2.418884326500e-17")</f>
        <v>2.418884326500e-17</v>
      </c>
      <c r="H40" s="43">
        <f t="shared" si="2"/>
        <v>0</v>
      </c>
      <c r="I40" s="21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43">
        <f t="shared" si="3"/>
        <v>0</v>
      </c>
      <c r="K40" s="43" t="b">
        <f t="shared" si="4"/>
        <v>0</v>
      </c>
      <c r="L40" s="21" t="str">
        <f>IFERROR(__xludf.DUMMYFUNCTION("if(regexmatch(B40,""e(.*)$""),regexextract(B40,""e(.*)$""),"""")"),"-17")</f>
        <v>-17</v>
      </c>
    </row>
    <row r="41">
      <c r="A41" s="34" t="s">
        <v>753</v>
      </c>
      <c r="B41" s="34" t="s">
        <v>4763</v>
      </c>
      <c r="C41" s="34" t="s">
        <v>4209</v>
      </c>
      <c r="D41" s="13" t="str">
        <f t="shared" si="1"/>
        <v>m s^-1</v>
      </c>
      <c r="E41" s="42">
        <f>countif(Constants!F:F,F41)</f>
        <v>1</v>
      </c>
      <c r="F41" s="21" t="str">
        <f>ifna(VLOOKUP($A41,'v2002'!$A:$F,6,false),"")</f>
        <v>AtomicUnitOfVelocity</v>
      </c>
      <c r="G41" s="21" t="str">
        <f>IFERROR(__xludf.DUMMYFUNCTION("REGEXREPLACE(substitute(substitute(B41,"" "",""""),""..."",""""),""\(.*\)"","""")"),"2.1876912529e6")</f>
        <v>2.1876912529e6</v>
      </c>
      <c r="H41" s="43">
        <f t="shared" si="2"/>
        <v>2187691.253</v>
      </c>
      <c r="I41" s="21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43">
        <f t="shared" si="3"/>
        <v>0.00008</v>
      </c>
      <c r="K41" s="43" t="b">
        <f t="shared" si="4"/>
        <v>0</v>
      </c>
      <c r="L41" s="21" t="str">
        <f>IFERROR(__xludf.DUMMYFUNCTION("if(regexmatch(B41,""e(.*)$""),regexextract(B41,""e(.*)$""),"""")"),"6")</f>
        <v>6</v>
      </c>
    </row>
    <row r="42">
      <c r="A42" s="34" t="s">
        <v>145</v>
      </c>
      <c r="B42" s="34" t="s">
        <v>4764</v>
      </c>
      <c r="C42" s="34" t="s">
        <v>4211</v>
      </c>
      <c r="D42" s="13" t="str">
        <f t="shared" si="1"/>
        <v>mol^-1</v>
      </c>
      <c r="E42" s="42">
        <f>countif(Constants!F:F,F42)</f>
        <v>1</v>
      </c>
      <c r="F42" s="21" t="str">
        <f>ifna(VLOOKUP($A42,'v2002'!$A:$F,6,false),"")</f>
        <v>AvogadroConstant</v>
      </c>
      <c r="G42" s="21" t="str">
        <f>IFERROR(__xludf.DUMMYFUNCTION("REGEXREPLACE(substitute(substitute(B42,"" "",""""),""..."",""""),""\(.*\)"","""")"),"6.02214199e23")</f>
        <v>6.02214199e23</v>
      </c>
      <c r="H42" s="43">
        <f t="shared" si="2"/>
        <v>6.02214E+23</v>
      </c>
      <c r="I42" s="21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43">
        <f t="shared" si="3"/>
        <v>470000000000000</v>
      </c>
      <c r="K42" s="43" t="b">
        <f t="shared" si="4"/>
        <v>0</v>
      </c>
      <c r="L42" s="21" t="str">
        <f>IFERROR(__xludf.DUMMYFUNCTION("if(regexmatch(B42,""e(.*)$""),regexextract(B42,""e(.*)$""),"""")"),"23")</f>
        <v>23</v>
      </c>
    </row>
    <row r="43">
      <c r="A43" s="34" t="s">
        <v>764</v>
      </c>
      <c r="B43" s="34" t="s">
        <v>4765</v>
      </c>
      <c r="C43" s="34" t="s">
        <v>4197</v>
      </c>
      <c r="D43" s="13" t="str">
        <f t="shared" si="1"/>
        <v>J T^-1</v>
      </c>
      <c r="E43" s="42">
        <f>countif(Constants!F:F,F43)</f>
        <v>1</v>
      </c>
      <c r="F43" s="21" t="str">
        <f>ifna(VLOOKUP($A43,'v2002'!$A:$F,6,false),"")</f>
        <v>BohrMagneton</v>
      </c>
      <c r="G43" s="21" t="str">
        <f>IFERROR(__xludf.DUMMYFUNCTION("REGEXREPLACE(substitute(substitute(B43,"" "",""""),""..."",""""),""\(.*\)"","""")"),"927.400899e-26")</f>
        <v>927.400899e-26</v>
      </c>
      <c r="H43" s="43">
        <f t="shared" si="2"/>
        <v>0</v>
      </c>
      <c r="I43" s="21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43">
        <f t="shared" si="3"/>
        <v>0</v>
      </c>
      <c r="K43" s="43" t="b">
        <f t="shared" si="4"/>
        <v>0</v>
      </c>
      <c r="L43" s="21" t="str">
        <f>IFERROR(__xludf.DUMMYFUNCTION("if(regexmatch(B43,""e(.*)$""),regexextract(B43,""e(.*)$""),"""")"),"-26")</f>
        <v>-26</v>
      </c>
    </row>
    <row r="44">
      <c r="A44" s="34" t="s">
        <v>773</v>
      </c>
      <c r="B44" s="34" t="s">
        <v>4766</v>
      </c>
      <c r="C44" s="34" t="s">
        <v>4214</v>
      </c>
      <c r="D44" s="13" t="str">
        <f t="shared" si="1"/>
        <v>Hz T^-1</v>
      </c>
      <c r="E44" s="42">
        <f>countif(Constants!F:F,F44)</f>
        <v>1</v>
      </c>
      <c r="F44" s="21" t="str">
        <f>ifna(VLOOKUP($A44,'v2002'!$A:$F,6,false),"")</f>
        <v>BohrMagnetonInHzPerT</v>
      </c>
      <c r="G44" s="21" t="str">
        <f>IFERROR(__xludf.DUMMYFUNCTION("REGEXREPLACE(substitute(substitute(B44,"" "",""""),""..."",""""),""\(.*\)"","""")"),"13.99624624e9")</f>
        <v>13.99624624e9</v>
      </c>
      <c r="H44" s="43">
        <f t="shared" si="2"/>
        <v>13996246240</v>
      </c>
      <c r="I44" s="21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43">
        <f t="shared" si="3"/>
        <v>5.6</v>
      </c>
      <c r="K44" s="43" t="b">
        <f t="shared" si="4"/>
        <v>0</v>
      </c>
      <c r="L44" s="21" t="str">
        <f>IFERROR(__xludf.DUMMYFUNCTION("if(regexmatch(B44,""e(.*)$""),regexextract(B44,""e(.*)$""),"""")"),"9")</f>
        <v>9</v>
      </c>
    </row>
    <row r="45">
      <c r="A45" s="34" t="s">
        <v>783</v>
      </c>
      <c r="B45" s="34" t="s">
        <v>4215</v>
      </c>
      <c r="C45" s="34" t="s">
        <v>4216</v>
      </c>
      <c r="D45" s="13" t="str">
        <f t="shared" si="1"/>
        <v>K T^-1</v>
      </c>
      <c r="E45" s="42">
        <f>countif(Constants!F:F,F45)</f>
        <v>1</v>
      </c>
      <c r="F45" s="21" t="str">
        <f>ifna(VLOOKUP($A45,'v2002'!$A:$F,6,false),"")</f>
        <v>BohrMagnetonInKPerT</v>
      </c>
      <c r="G45" s="21" t="str">
        <f>IFERROR(__xludf.DUMMYFUNCTION("REGEXREPLACE(substitute(substitute(B45,"" "",""""),""..."",""""),""\(.*\)"","""")"),"0.6717131")</f>
        <v>0.6717131</v>
      </c>
      <c r="H45" s="43">
        <f t="shared" si="2"/>
        <v>0.6717131</v>
      </c>
      <c r="I45" s="21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43">
        <f t="shared" si="3"/>
        <v>0.000000012</v>
      </c>
      <c r="K45" s="43" t="b">
        <f t="shared" si="4"/>
        <v>0</v>
      </c>
      <c r="L45" s="21" t="str">
        <f>IFERROR(__xludf.DUMMYFUNCTION("if(regexmatch(B45,""e(.*)$""),regexextract(B45,""e(.*)$""),"""")"),"")</f>
        <v/>
      </c>
    </row>
    <row r="46">
      <c r="A46" s="34" t="s">
        <v>768</v>
      </c>
      <c r="B46" s="34" t="s">
        <v>4767</v>
      </c>
      <c r="C46" s="34" t="s">
        <v>4218</v>
      </c>
      <c r="D46" s="13" t="str">
        <f t="shared" si="1"/>
        <v>eV T^-1</v>
      </c>
      <c r="E46" s="42">
        <f>countif(Constants!F:F,F46)</f>
        <v>1</v>
      </c>
      <c r="F46" s="21" t="str">
        <f>ifna(VLOOKUP($A46,'v2002'!$A:$F,6,false),"")</f>
        <v>BohrMagnetonInEVPerT</v>
      </c>
      <c r="G46" s="21" t="str">
        <f>IFERROR(__xludf.DUMMYFUNCTION("REGEXREPLACE(substitute(substitute(B46,"" "",""""),""..."",""""),""\(.*\)"","""")"),"5.788381749e-5")</f>
        <v>5.788381749e-5</v>
      </c>
      <c r="H46" s="43">
        <f t="shared" si="2"/>
        <v>0.00005788381749</v>
      </c>
      <c r="I46" s="21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43">
        <f t="shared" si="3"/>
        <v>0</v>
      </c>
      <c r="K46" s="43" t="b">
        <f t="shared" si="4"/>
        <v>0</v>
      </c>
      <c r="L46" s="21" t="str">
        <f>IFERROR(__xludf.DUMMYFUNCTION("if(regexmatch(B46,""e(.*)$""),regexextract(B46,""e(.*)$""),"""")"),"-5")</f>
        <v>-5</v>
      </c>
    </row>
    <row r="47">
      <c r="A47" s="34" t="s">
        <v>3288</v>
      </c>
      <c r="B47" s="34" t="s">
        <v>4768</v>
      </c>
      <c r="C47" s="34" t="s">
        <v>4220</v>
      </c>
      <c r="D47" s="13" t="str">
        <f t="shared" si="1"/>
        <v>m^-1 T^-1</v>
      </c>
      <c r="E47" s="42">
        <f>countif(Constants!F:F,F47)</f>
        <v>1</v>
      </c>
      <c r="F47" s="21" t="str">
        <f>ifna(VLOOKUP($A47,'v2002'!$A:$F,6,false),"")</f>
        <v>BohrMagnetonInInverseMetersPerTesla</v>
      </c>
      <c r="G47" s="21" t="str">
        <f>IFERROR(__xludf.DUMMYFUNCTION("REGEXREPLACE(substitute(substitute(B47,"" "",""""),""..."",""""),""\(.*\)"","""")"),"46.6864521")</f>
        <v>46.6864521</v>
      </c>
      <c r="H47" s="43">
        <f t="shared" si="2"/>
        <v>46.6864521</v>
      </c>
      <c r="I47" s="21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43">
        <f t="shared" si="3"/>
        <v>0.000000019</v>
      </c>
      <c r="K47" s="43" t="b">
        <f t="shared" si="4"/>
        <v>0</v>
      </c>
      <c r="L47" s="21" t="str">
        <f>IFERROR(__xludf.DUMMYFUNCTION("if(regexmatch(B47,""e(.*)$""),regexextract(B47,""e(.*)$""),"""")"),"")</f>
        <v/>
      </c>
    </row>
    <row r="48">
      <c r="A48" s="34" t="s">
        <v>788</v>
      </c>
      <c r="B48" s="34" t="s">
        <v>4756</v>
      </c>
      <c r="C48" s="34" t="s">
        <v>571</v>
      </c>
      <c r="D48" s="13" t="str">
        <f t="shared" si="1"/>
        <v>m</v>
      </c>
      <c r="E48" s="42">
        <f>countif(Constants!F:F,F48)</f>
        <v>1</v>
      </c>
      <c r="F48" s="21" t="str">
        <f>ifna(VLOOKUP($A48,'v2002'!$A:$F,6,false),"")</f>
        <v>BohrRadius</v>
      </c>
      <c r="G48" s="21" t="str">
        <f>IFERROR(__xludf.DUMMYFUNCTION("REGEXREPLACE(substitute(substitute(B48,"" "",""""),""..."",""""),""\(.*\)"","""")"),"0.5291772083e-10")</f>
        <v>0.5291772083e-10</v>
      </c>
      <c r="H48" s="43">
        <f t="shared" si="2"/>
        <v>0</v>
      </c>
      <c r="I48" s="21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43">
        <f t="shared" si="3"/>
        <v>0</v>
      </c>
      <c r="K48" s="43" t="b">
        <f t="shared" si="4"/>
        <v>0</v>
      </c>
      <c r="L48" s="21" t="str">
        <f>IFERROR(__xludf.DUMMYFUNCTION("if(regexmatch(B48,""e(.*)$""),regexextract(B48,""e(.*)$""),"""")"),"-10")</f>
        <v>-10</v>
      </c>
    </row>
    <row r="49">
      <c r="A49" s="34" t="s">
        <v>791</v>
      </c>
      <c r="B49" s="34" t="s">
        <v>4769</v>
      </c>
      <c r="C49" s="34" t="s">
        <v>4222</v>
      </c>
      <c r="D49" s="13" t="str">
        <f t="shared" si="1"/>
        <v>J K^-1</v>
      </c>
      <c r="E49" s="42">
        <f>countif(Constants!F:F,F49)</f>
        <v>1</v>
      </c>
      <c r="F49" s="21" t="str">
        <f>ifna(VLOOKUP($A49,'v2002'!$A:$F,6,false),"")</f>
        <v>BoltzmannConstant</v>
      </c>
      <c r="G49" s="21" t="str">
        <f>IFERROR(__xludf.DUMMYFUNCTION("REGEXREPLACE(substitute(substitute(B49,"" "",""""),""..."",""""),""\(.*\)"","""")"),"1.3806503e-23")</f>
        <v>1.3806503e-23</v>
      </c>
      <c r="H49" s="43">
        <f t="shared" si="2"/>
        <v>0</v>
      </c>
      <c r="I49" s="21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43">
        <f t="shared" si="3"/>
        <v>0</v>
      </c>
      <c r="K49" s="43" t="b">
        <f t="shared" si="4"/>
        <v>0</v>
      </c>
      <c r="L49" s="21" t="str">
        <f>IFERROR(__xludf.DUMMYFUNCTION("if(regexmatch(B49,""e(.*)$""),regexextract(B49,""e(.*)$""),"""")"),"-23")</f>
        <v>-23</v>
      </c>
    </row>
    <row r="50">
      <c r="A50" s="34" t="s">
        <v>803</v>
      </c>
      <c r="B50" s="34" t="s">
        <v>4223</v>
      </c>
      <c r="C50" s="34" t="s">
        <v>4224</v>
      </c>
      <c r="D50" s="13" t="str">
        <f t="shared" si="1"/>
        <v>Hz K^-1</v>
      </c>
      <c r="E50" s="42">
        <f>countif(Constants!F:F,F50)</f>
        <v>1</v>
      </c>
      <c r="F50" s="21" t="str">
        <f>ifna(VLOOKUP($A50,'v2002'!$A:$F,6,false),"")</f>
        <v>BoltzmannConstantInHzPerK</v>
      </c>
      <c r="G50" s="21" t="str">
        <f>IFERROR(__xludf.DUMMYFUNCTION("REGEXREPLACE(substitute(substitute(B50,"" "",""""),""..."",""""),""\(.*\)"","""")"),"2.0836644e10")</f>
        <v>2.0836644e10</v>
      </c>
      <c r="H50" s="43">
        <f t="shared" si="2"/>
        <v>20836644000</v>
      </c>
      <c r="I50" s="21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43">
        <f t="shared" si="3"/>
        <v>360</v>
      </c>
      <c r="K50" s="43" t="b">
        <f t="shared" si="4"/>
        <v>0</v>
      </c>
      <c r="L50" s="21" t="str">
        <f>IFERROR(__xludf.DUMMYFUNCTION("if(regexmatch(B50,""e(.*)$""),regexextract(B50,""e(.*)$""),"""")"),"10")</f>
        <v>10</v>
      </c>
    </row>
    <row r="51">
      <c r="A51" s="34" t="s">
        <v>798</v>
      </c>
      <c r="B51" s="34" t="s">
        <v>4770</v>
      </c>
      <c r="C51" s="34" t="s">
        <v>4226</v>
      </c>
      <c r="D51" s="13" t="str">
        <f t="shared" si="1"/>
        <v>eV K^-1</v>
      </c>
      <c r="E51" s="42">
        <f>countif(Constants!F:F,F51)</f>
        <v>1</v>
      </c>
      <c r="F51" s="21" t="str">
        <f>ifna(VLOOKUP($A51,'v2002'!$A:$F,6,false),"")</f>
        <v>BoltzmannConstantInEVPerK</v>
      </c>
      <c r="G51" s="21" t="str">
        <f>IFERROR(__xludf.DUMMYFUNCTION("REGEXREPLACE(substitute(substitute(B51,"" "",""""),""..."",""""),""\(.*\)"","""")"),"8.617342e-5")</f>
        <v>8.617342e-5</v>
      </c>
      <c r="H51" s="43">
        <f t="shared" si="2"/>
        <v>0.00008617342</v>
      </c>
      <c r="I51" s="21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43">
        <f t="shared" si="3"/>
        <v>0</v>
      </c>
      <c r="K51" s="43" t="b">
        <f t="shared" si="4"/>
        <v>0</v>
      </c>
      <c r="L51" s="21" t="str">
        <f>IFERROR(__xludf.DUMMYFUNCTION("if(regexmatch(B51,""e(.*)$""),regexextract(B51,""e(.*)$""),"""")"),"-5")</f>
        <v>-5</v>
      </c>
    </row>
    <row r="52">
      <c r="A52" s="34" t="s">
        <v>3299</v>
      </c>
      <c r="B52" s="34" t="s">
        <v>4227</v>
      </c>
      <c r="C52" s="34" t="s">
        <v>4228</v>
      </c>
      <c r="D52" s="13" t="str">
        <f t="shared" si="1"/>
        <v>m^-1 K^-1</v>
      </c>
      <c r="E52" s="42">
        <f>countif(Constants!F:F,F52)</f>
        <v>1</v>
      </c>
      <c r="F52" s="21" t="str">
        <f>ifna(VLOOKUP($A52,'v2002'!$A:$F,6,false),"")</f>
        <v>BoltzmannConstantInInverseMetersPerKelvin</v>
      </c>
      <c r="G52" s="21" t="str">
        <f>IFERROR(__xludf.DUMMYFUNCTION("REGEXREPLACE(substitute(substitute(B52,"" "",""""),""..."",""""),""\(.*\)"","""")"),"69.50356")</f>
        <v>69.50356</v>
      </c>
      <c r="H52" s="43">
        <f t="shared" si="2"/>
        <v>69.50356</v>
      </c>
      <c r="I52" s="21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43">
        <f t="shared" si="3"/>
        <v>0.0000012</v>
      </c>
      <c r="K52" s="43" t="b">
        <f t="shared" si="4"/>
        <v>0</v>
      </c>
      <c r="L52" s="21" t="str">
        <f>IFERROR(__xludf.DUMMYFUNCTION("if(regexmatch(B52,""e(.*)$""),regexextract(B52,""e(.*)$""),"""")"),"")</f>
        <v/>
      </c>
    </row>
    <row r="53">
      <c r="A53" s="34" t="s">
        <v>813</v>
      </c>
      <c r="B53" s="34" t="s">
        <v>4229</v>
      </c>
      <c r="C53" s="34" t="s">
        <v>816</v>
      </c>
      <c r="D53" s="13" t="str">
        <f t="shared" si="1"/>
        <v>Ohm</v>
      </c>
      <c r="E53" s="42">
        <f>countif(Constants!F:F,F53)</f>
        <v>1</v>
      </c>
      <c r="F53" s="21" t="str">
        <f>ifna(VLOOKUP($A53,'v2002'!$A:$F,6,false),"")</f>
        <v>CharacteristicImpedanceOfVacuum</v>
      </c>
      <c r="G53" s="21" t="str">
        <f>IFERROR(__xludf.DUMMYFUNCTION("REGEXREPLACE(substitute(substitute(B53,"" "",""""),""..."",""""),""\(.*\)"","""")"),"376.730313461")</f>
        <v>376.730313461</v>
      </c>
      <c r="H53" s="43">
        <f t="shared" si="2"/>
        <v>376.7303135</v>
      </c>
      <c r="I53" s="21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43" t="str">
        <f t="shared" si="3"/>
        <v/>
      </c>
      <c r="K53" s="43" t="b">
        <f t="shared" si="4"/>
        <v>1</v>
      </c>
      <c r="L53" s="21" t="str">
        <f>IFERROR(__xludf.DUMMYFUNCTION("if(regexmatch(B53,""e(.*)$""),regexextract(B53,""e(.*)$""),"""")"),"")</f>
        <v/>
      </c>
    </row>
    <row r="54">
      <c r="A54" s="34" t="s">
        <v>819</v>
      </c>
      <c r="B54" s="34" t="s">
        <v>4771</v>
      </c>
      <c r="C54" s="34" t="s">
        <v>571</v>
      </c>
      <c r="D54" s="13" t="str">
        <f t="shared" si="1"/>
        <v>m</v>
      </c>
      <c r="E54" s="42">
        <f>countif(Constants!F:F,F54)</f>
        <v>1</v>
      </c>
      <c r="F54" s="21" t="str">
        <f>ifna(VLOOKUP($A54,'v2002'!$A:$F,6,false),"")</f>
        <v>ClassicalElectronRadius</v>
      </c>
      <c r="G54" s="21" t="str">
        <f>IFERROR(__xludf.DUMMYFUNCTION("REGEXREPLACE(substitute(substitute(B54,"" "",""""),""..."",""""),""\(.*\)"","""")"),"2.817940285e-15")</f>
        <v>2.817940285e-15</v>
      </c>
      <c r="H54" s="43">
        <f t="shared" si="2"/>
        <v>0</v>
      </c>
      <c r="I54" s="21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43">
        <f t="shared" si="3"/>
        <v>0</v>
      </c>
      <c r="K54" s="43" t="b">
        <f t="shared" si="4"/>
        <v>0</v>
      </c>
      <c r="L54" s="21" t="str">
        <f>IFERROR(__xludf.DUMMYFUNCTION("if(regexmatch(B54,""e(.*)$""),regexextract(B54,""e(.*)$""),"""")"),"-15")</f>
        <v>-15</v>
      </c>
    </row>
    <row r="55">
      <c r="A55" s="34" t="s">
        <v>823</v>
      </c>
      <c r="B55" s="34" t="s">
        <v>4772</v>
      </c>
      <c r="C55" s="34" t="s">
        <v>571</v>
      </c>
      <c r="D55" s="13" t="str">
        <f t="shared" si="1"/>
        <v>m</v>
      </c>
      <c r="E55" s="42">
        <f>countif(Constants!F:F,F55)</f>
        <v>1</v>
      </c>
      <c r="F55" s="21" t="str">
        <f>ifna(VLOOKUP($A55,'v2002'!$A:$F,6,false),"")</f>
        <v>ComptonWavelength</v>
      </c>
      <c r="G55" s="21" t="str">
        <f>IFERROR(__xludf.DUMMYFUNCTION("REGEXREPLACE(substitute(substitute(B55,"" "",""""),""..."",""""),""\(.*\)"","""")"),"2.426310215e-12")</f>
        <v>2.426310215e-12</v>
      </c>
      <c r="H55" s="43">
        <f t="shared" si="2"/>
        <v>0</v>
      </c>
      <c r="I55" s="21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43">
        <f t="shared" si="3"/>
        <v>0</v>
      </c>
      <c r="K55" s="43" t="b">
        <f t="shared" si="4"/>
        <v>0</v>
      </c>
      <c r="L55" s="21" t="str">
        <f>IFERROR(__xludf.DUMMYFUNCTION("if(regexmatch(B55,""e(.*)$""),regexextract(B55,""e(.*)$""),"""")"),"-12")</f>
        <v>-12</v>
      </c>
    </row>
    <row r="56">
      <c r="A56" s="34" t="s">
        <v>1901</v>
      </c>
      <c r="B56" s="34" t="s">
        <v>4773</v>
      </c>
      <c r="C56" s="34" t="s">
        <v>571</v>
      </c>
      <c r="D56" s="13" t="str">
        <f t="shared" si="1"/>
        <v>m</v>
      </c>
      <c r="E56" s="42">
        <f>countif(Constants!F:F,F56)</f>
        <v>2</v>
      </c>
      <c r="F56" s="21" t="str">
        <f>ifna(VLOOKUP($A56,'v2002'!$A:$F,6,false),"")</f>
        <v>ComptonWavelengthOver2Pi</v>
      </c>
      <c r="G56" s="21" t="str">
        <f>IFERROR(__xludf.DUMMYFUNCTION("REGEXREPLACE(substitute(substitute(B56,"" "",""""),""..."",""""),""\(.*\)"","""")"),"386.1592642e-15")</f>
        <v>386.1592642e-15</v>
      </c>
      <c r="H56" s="43">
        <f t="shared" si="2"/>
        <v>0</v>
      </c>
      <c r="I56" s="21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43">
        <f t="shared" si="3"/>
        <v>0</v>
      </c>
      <c r="K56" s="43" t="b">
        <f t="shared" si="4"/>
        <v>0</v>
      </c>
      <c r="L56" s="21" t="str">
        <f>IFERROR(__xludf.DUMMYFUNCTION("if(regexmatch(B56,""e(.*)$""),regexextract(B56,""e(.*)$""),"""")"),"-15")</f>
        <v>-15</v>
      </c>
    </row>
    <row r="57">
      <c r="A57" s="34" t="s">
        <v>827</v>
      </c>
      <c r="B57" s="34" t="s">
        <v>4774</v>
      </c>
      <c r="C57" s="34" t="s">
        <v>828</v>
      </c>
      <c r="D57" s="13" t="str">
        <f t="shared" si="1"/>
        <v>S</v>
      </c>
      <c r="E57" s="42">
        <f>countif(Constants!F:F,F57)</f>
        <v>1</v>
      </c>
      <c r="F57" s="21" t="str">
        <f>ifna(VLOOKUP($A57,'v2002'!$A:$F,6,false),"")</f>
        <v>ConductanceQuantum</v>
      </c>
      <c r="G57" s="21" t="str">
        <f>IFERROR(__xludf.DUMMYFUNCTION("REGEXREPLACE(substitute(substitute(B57,"" "",""""),""..."",""""),""\(.*\)"","""")"),"7.748091696e-5")</f>
        <v>7.748091696e-5</v>
      </c>
      <c r="H57" s="43">
        <f t="shared" si="2"/>
        <v>0.00007748091696</v>
      </c>
      <c r="I57" s="21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43">
        <f t="shared" si="3"/>
        <v>0</v>
      </c>
      <c r="K57" s="43" t="b">
        <f t="shared" si="4"/>
        <v>0</v>
      </c>
      <c r="L57" s="21" t="str">
        <f>IFERROR(__xludf.DUMMYFUNCTION("if(regexmatch(B57,""e(.*)$""),regexextract(B57,""e(.*)$""),"""")"),"-5")</f>
        <v>-5</v>
      </c>
    </row>
    <row r="58">
      <c r="A58" s="34" t="s">
        <v>846</v>
      </c>
      <c r="B58" s="34" t="s">
        <v>4775</v>
      </c>
      <c r="C58" s="34" t="s">
        <v>4776</v>
      </c>
      <c r="D58" s="13" t="str">
        <f t="shared" si="1"/>
        <v>GHz V^-1</v>
      </c>
      <c r="E58" s="42">
        <f>countif(Constants!F:F,F58)</f>
        <v>1</v>
      </c>
      <c r="F58" s="21" t="str">
        <f>ifna(VLOOKUP($A58,'v2002'!$A:$F,6,false),"")</f>
        <v>ConventionalValueOfJosephsonConstant</v>
      </c>
      <c r="G58" s="21" t="str">
        <f>IFERROR(__xludf.DUMMYFUNCTION("REGEXREPLACE(substitute(substitute(B58,"" "",""""),""..."",""""),""\(.*\)"","""")"),"483597900000000.0")</f>
        <v>483597900000000.0</v>
      </c>
      <c r="H58" s="43">
        <f t="shared" si="2"/>
        <v>483597900000000</v>
      </c>
      <c r="I58" s="21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43" t="str">
        <f t="shared" si="3"/>
        <v/>
      </c>
      <c r="K58" s="43" t="b">
        <f t="shared" si="4"/>
        <v>0</v>
      </c>
      <c r="L58" s="21" t="str">
        <f>IFERROR(__xludf.DUMMYFUNCTION("if(regexmatch(B58,""e(.*)$""),regexextract(B58,""e(.*)$""),"""")"),"")</f>
        <v/>
      </c>
    </row>
    <row r="59">
      <c r="A59" s="34" t="s">
        <v>858</v>
      </c>
      <c r="B59" s="34" t="s">
        <v>2328</v>
      </c>
      <c r="C59" s="34" t="s">
        <v>816</v>
      </c>
      <c r="D59" s="13" t="str">
        <f t="shared" si="1"/>
        <v>Ohm</v>
      </c>
      <c r="E59" s="42">
        <f>countif(Constants!F:F,F59)</f>
        <v>1</v>
      </c>
      <c r="F59" s="21" t="str">
        <f>ifna(VLOOKUP($A59,'v2002'!$A:$F,6,false),"")</f>
        <v>ConventionalValueOfVonKlitzingConstant</v>
      </c>
      <c r="G59" s="21" t="str">
        <f>IFERROR(__xludf.DUMMYFUNCTION("REGEXREPLACE(substitute(substitute(B59,"" "",""""),""..."",""""),""\(.*\)"","""")"),"25812.807")</f>
        <v>25812.807</v>
      </c>
      <c r="H59" s="43">
        <f t="shared" si="2"/>
        <v>25812.807</v>
      </c>
      <c r="I59" s="21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43" t="str">
        <f t="shared" si="3"/>
        <v/>
      </c>
      <c r="K59" s="43" t="b">
        <f t="shared" si="4"/>
        <v>0</v>
      </c>
      <c r="L59" s="21" t="str">
        <f>IFERROR(__xludf.DUMMYFUNCTION("if(regexmatch(B59,""e(.*)$""),regexextract(B59,""e(.*)$""),"""")"),"")</f>
        <v/>
      </c>
    </row>
    <row r="60">
      <c r="A60" s="34" t="s">
        <v>3311</v>
      </c>
      <c r="B60" s="34" t="s">
        <v>4777</v>
      </c>
      <c r="C60" s="34" t="s">
        <v>571</v>
      </c>
      <c r="D60" s="13" t="str">
        <f t="shared" si="1"/>
        <v>m</v>
      </c>
      <c r="E60" s="42">
        <f>countif(Constants!F:F,F60)</f>
        <v>1</v>
      </c>
      <c r="F60" s="21" t="str">
        <f>ifna(VLOOKUP($A60,'v2002'!$A:$F,6,false),"")</f>
        <v>CuXUnit</v>
      </c>
      <c r="G60" s="21" t="str">
        <f>IFERROR(__xludf.DUMMYFUNCTION("REGEXREPLACE(substitute(substitute(B60,"" "",""""),""..."",""""),""\(.*\)"","""")"),"1.00207703e-13")</f>
        <v>1.00207703e-13</v>
      </c>
      <c r="H60" s="43">
        <f t="shared" si="2"/>
        <v>0</v>
      </c>
      <c r="I60" s="21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43">
        <f t="shared" si="3"/>
        <v>0</v>
      </c>
      <c r="K60" s="43" t="b">
        <f t="shared" si="4"/>
        <v>0</v>
      </c>
      <c r="L60" s="21" t="str">
        <f>IFERROR(__xludf.DUMMYFUNCTION("if(regexmatch(B60,""e(.*)$""),regexextract(B60,""e(.*)$""),"""")"),"-13")</f>
        <v>-13</v>
      </c>
    </row>
    <row r="61">
      <c r="A61" s="34" t="s">
        <v>886</v>
      </c>
      <c r="B61" s="34" t="s">
        <v>4778</v>
      </c>
      <c r="C61" s="34" t="s">
        <v>4197</v>
      </c>
      <c r="D61" s="13" t="str">
        <f t="shared" si="1"/>
        <v>J T^-1</v>
      </c>
      <c r="E61" s="42">
        <f>countif(Constants!F:F,F61)</f>
        <v>1</v>
      </c>
      <c r="F61" s="21" t="str">
        <f>ifna(VLOOKUP($A61,'v2002'!$A:$F,6,false),"")</f>
        <v>DeuteronMagneticMoment</v>
      </c>
      <c r="G61" s="21" t="str">
        <f>IFERROR(__xludf.DUMMYFUNCTION("REGEXREPLACE(substitute(substitute(B61,"" "",""""),""..."",""""),""\(.*\)"","""")"),"0.433073457e-26")</f>
        <v>0.433073457e-26</v>
      </c>
      <c r="H61" s="43">
        <f t="shared" si="2"/>
        <v>0</v>
      </c>
      <c r="I61" s="21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43">
        <f t="shared" si="3"/>
        <v>0</v>
      </c>
      <c r="K61" s="43" t="b">
        <f t="shared" si="4"/>
        <v>0</v>
      </c>
      <c r="L61" s="21" t="str">
        <f>IFERROR(__xludf.DUMMYFUNCTION("if(regexmatch(B61,""e(.*)$""),regexextract(B61,""e(.*)$""),"""")"),"-26")</f>
        <v>-26</v>
      </c>
    </row>
    <row r="62">
      <c r="A62" s="34" t="s">
        <v>891</v>
      </c>
      <c r="B62" s="34" t="s">
        <v>4779</v>
      </c>
      <c r="C62" s="34"/>
      <c r="D62" s="13" t="str">
        <f t="shared" si="1"/>
        <v/>
      </c>
      <c r="E62" s="42">
        <f>countif(Constants!F:F,F62)</f>
        <v>1</v>
      </c>
      <c r="F62" s="21" t="str">
        <f>ifna(VLOOKUP($A62,'v2002'!$A:$F,6,false),"")</f>
        <v>DeuteronMagneticMomentToBohrMagnetonRatio</v>
      </c>
      <c r="G62" s="21" t="str">
        <f>IFERROR(__xludf.DUMMYFUNCTION("REGEXREPLACE(substitute(substitute(B62,"" "",""""),""..."",""""),""\(.*\)"","""")"),"0.4669754556e-3")</f>
        <v>0.4669754556e-3</v>
      </c>
      <c r="H62" s="43">
        <f t="shared" si="2"/>
        <v>0.0004669754556</v>
      </c>
      <c r="I62" s="21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43">
        <f t="shared" si="3"/>
        <v>0</v>
      </c>
      <c r="K62" s="43" t="b">
        <f t="shared" si="4"/>
        <v>0</v>
      </c>
      <c r="L62" s="21" t="str">
        <f>IFERROR(__xludf.DUMMYFUNCTION("if(regexmatch(B62,""e(.*)$""),regexextract(B62,""e(.*)$""),"""")"),"-3")</f>
        <v>-3</v>
      </c>
    </row>
    <row r="63">
      <c r="A63" s="34" t="s">
        <v>896</v>
      </c>
      <c r="B63" s="34" t="s">
        <v>4780</v>
      </c>
      <c r="C63" s="34"/>
      <c r="D63" s="13" t="str">
        <f t="shared" si="1"/>
        <v/>
      </c>
      <c r="E63" s="42">
        <f>countif(Constants!F:F,F63)</f>
        <v>1</v>
      </c>
      <c r="F63" s="21" t="str">
        <f>ifna(VLOOKUP($A63,'v2002'!$A:$F,6,false),"")</f>
        <v>DeuteronMagneticMomentToNuclearMagnetonRatio</v>
      </c>
      <c r="G63" s="21" t="str">
        <f>IFERROR(__xludf.DUMMYFUNCTION("REGEXREPLACE(substitute(substitute(B63,"" "",""""),""..."",""""),""\(.*\)"","""")"),"0.8574382284")</f>
        <v>0.8574382284</v>
      </c>
      <c r="H63" s="43">
        <f t="shared" si="2"/>
        <v>0.8574382284</v>
      </c>
      <c r="I63" s="21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43">
        <f t="shared" si="3"/>
        <v>0</v>
      </c>
      <c r="K63" s="43" t="b">
        <f t="shared" si="4"/>
        <v>0</v>
      </c>
      <c r="L63" s="21" t="str">
        <f>IFERROR(__xludf.DUMMYFUNCTION("if(regexmatch(B63,""e(.*)$""),regexextract(B63,""e(.*)$""),"""")"),"")</f>
        <v/>
      </c>
    </row>
    <row r="64">
      <c r="A64" s="34" t="s">
        <v>900</v>
      </c>
      <c r="B64" s="34" t="s">
        <v>4781</v>
      </c>
      <c r="C64" s="34" t="s">
        <v>538</v>
      </c>
      <c r="D64" s="13" t="str">
        <f t="shared" si="1"/>
        <v>kg</v>
      </c>
      <c r="E64" s="42">
        <f>countif(Constants!F:F,F64)</f>
        <v>1</v>
      </c>
      <c r="F64" s="21" t="str">
        <f>ifna(VLOOKUP($A64,'v2002'!$A:$F,6,false),"")</f>
        <v>DeuteronMass</v>
      </c>
      <c r="G64" s="21" t="str">
        <f>IFERROR(__xludf.DUMMYFUNCTION("REGEXREPLACE(substitute(substitute(B64,"" "",""""),""..."",""""),""\(.*\)"","""")"),"3.34358309e-27")</f>
        <v>3.34358309e-27</v>
      </c>
      <c r="H64" s="43">
        <f t="shared" si="2"/>
        <v>0</v>
      </c>
      <c r="I64" s="21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43">
        <f t="shared" si="3"/>
        <v>0</v>
      </c>
      <c r="K64" s="43" t="b">
        <f t="shared" si="4"/>
        <v>0</v>
      </c>
      <c r="L64" s="21" t="str">
        <f>IFERROR(__xludf.DUMMYFUNCTION("if(regexmatch(B64,""e(.*)$""),regexextract(B64,""e(.*)$""),"""")"),"-27")</f>
        <v>-27</v>
      </c>
    </row>
    <row r="65">
      <c r="A65" s="34" t="s">
        <v>904</v>
      </c>
      <c r="B65" s="34" t="s">
        <v>4782</v>
      </c>
      <c r="C65" s="34" t="s">
        <v>543</v>
      </c>
      <c r="D65" s="13" t="str">
        <f t="shared" si="1"/>
        <v>J</v>
      </c>
      <c r="E65" s="42">
        <f>countif(Constants!F:F,F65)</f>
        <v>1</v>
      </c>
      <c r="F65" s="21" t="str">
        <f>ifna(VLOOKUP($A65,'v2002'!$A:$F,6,false),"")</f>
        <v>DeuteronMassEnergyEquivalent</v>
      </c>
      <c r="G65" s="21" t="str">
        <f>IFERROR(__xludf.DUMMYFUNCTION("REGEXREPLACE(substitute(substitute(B65,"" "",""""),""..."",""""),""\(.*\)"","""")"),"3.00506262e-10")</f>
        <v>3.00506262e-10</v>
      </c>
      <c r="H65" s="43">
        <f t="shared" si="2"/>
        <v>0.000000000300506262</v>
      </c>
      <c r="I65" s="21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43">
        <f t="shared" si="3"/>
        <v>0</v>
      </c>
      <c r="K65" s="43" t="b">
        <f t="shared" si="4"/>
        <v>0</v>
      </c>
      <c r="L65" s="21" t="str">
        <f>IFERROR(__xludf.DUMMYFUNCTION("if(regexmatch(B65,""e(.*)$""),regexextract(B65,""e(.*)$""),"""")"),"-10")</f>
        <v>-10</v>
      </c>
    </row>
    <row r="66">
      <c r="A66" s="34" t="s">
        <v>908</v>
      </c>
      <c r="B66" s="34" t="s">
        <v>4783</v>
      </c>
      <c r="C66" s="34" t="s">
        <v>548</v>
      </c>
      <c r="D66" s="13" t="str">
        <f t="shared" si="1"/>
        <v>MeV</v>
      </c>
      <c r="E66" s="42">
        <f>countif(Constants!F:F,F66)</f>
        <v>1</v>
      </c>
      <c r="F66" s="21" t="str">
        <f>ifna(VLOOKUP($A66,'v2002'!$A:$F,6,false),"")</f>
        <v>DeuteronMassEnergyEquivalentInMeV</v>
      </c>
      <c r="G66" s="21" t="str">
        <f>IFERROR(__xludf.DUMMYFUNCTION("REGEXREPLACE(substitute(substitute(B66,"" "",""""),""..."",""""),""\(.*\)"","""")"),"1875.612762")</f>
        <v>1875.612762</v>
      </c>
      <c r="H66" s="43">
        <f t="shared" si="2"/>
        <v>1875.612762</v>
      </c>
      <c r="I66" s="21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43">
        <f t="shared" si="3"/>
        <v>0.00000075</v>
      </c>
      <c r="K66" s="43" t="b">
        <f t="shared" si="4"/>
        <v>0</v>
      </c>
      <c r="L66" s="21" t="str">
        <f>IFERROR(__xludf.DUMMYFUNCTION("if(regexmatch(B66,""e(.*)$""),regexextract(B66,""e(.*)$""),"""")"),"")</f>
        <v/>
      </c>
    </row>
    <row r="67">
      <c r="A67" s="34" t="s">
        <v>911</v>
      </c>
      <c r="B67" s="34" t="s">
        <v>4784</v>
      </c>
      <c r="C67" s="34" t="s">
        <v>553</v>
      </c>
      <c r="D67" s="13" t="str">
        <f t="shared" si="1"/>
        <v>u</v>
      </c>
      <c r="E67" s="42">
        <f>countif(Constants!F:F,F67)</f>
        <v>1</v>
      </c>
      <c r="F67" s="21" t="str">
        <f>ifna(VLOOKUP($A67,'v2002'!$A:$F,6,false),"")</f>
        <v>DeuteronMassInAtomicMassUnit</v>
      </c>
      <c r="G67" s="21" t="str">
        <f>IFERROR(__xludf.DUMMYFUNCTION("REGEXREPLACE(substitute(substitute(B67,"" "",""""),""..."",""""),""\(.*\)"","""")"),"2.01355321271")</f>
        <v>2.01355321271</v>
      </c>
      <c r="H67" s="43">
        <f t="shared" si="2"/>
        <v>2.013553213</v>
      </c>
      <c r="I67" s="21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43">
        <f t="shared" si="3"/>
        <v>0</v>
      </c>
      <c r="K67" s="43" t="b">
        <f t="shared" si="4"/>
        <v>0</v>
      </c>
      <c r="L67" s="21" t="str">
        <f>IFERROR(__xludf.DUMMYFUNCTION("if(regexmatch(B67,""e(.*)$""),regexextract(B67,""e(.*)$""),"""")"),"")</f>
        <v/>
      </c>
    </row>
    <row r="68">
      <c r="A68" s="34" t="s">
        <v>914</v>
      </c>
      <c r="B68" s="34" t="s">
        <v>4785</v>
      </c>
      <c r="C68" s="34" t="s">
        <v>4163</v>
      </c>
      <c r="D68" s="13" t="str">
        <f t="shared" si="1"/>
        <v>kg mol^-1</v>
      </c>
      <c r="E68" s="42">
        <f>countif(Constants!F:F,F68)</f>
        <v>1</v>
      </c>
      <c r="F68" s="21" t="str">
        <f>ifna(VLOOKUP($A68,'v2002'!$A:$F,6,false),"")</f>
        <v>DeuteronMolarMass</v>
      </c>
      <c r="G68" s="21" t="str">
        <f>IFERROR(__xludf.DUMMYFUNCTION("REGEXREPLACE(substitute(substitute(B68,"" "",""""),""..."",""""),""\(.*\)"","""")"),"2.01355321271e-3")</f>
        <v>2.01355321271e-3</v>
      </c>
      <c r="H68" s="43">
        <f t="shared" si="2"/>
        <v>0.002013553213</v>
      </c>
      <c r="I68" s="21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43">
        <f t="shared" si="3"/>
        <v>0</v>
      </c>
      <c r="K68" s="43" t="b">
        <f t="shared" si="4"/>
        <v>0</v>
      </c>
      <c r="L68" s="21" t="str">
        <f>IFERROR(__xludf.DUMMYFUNCTION("if(regexmatch(B68,""e(.*)$""),regexextract(B68,""e(.*)$""),"""")"),"-3")</f>
        <v>-3</v>
      </c>
    </row>
    <row r="69">
      <c r="A69" s="34" t="s">
        <v>4245</v>
      </c>
      <c r="B69" s="34" t="s">
        <v>4786</v>
      </c>
      <c r="C69" s="34"/>
      <c r="D69" s="13" t="str">
        <f t="shared" si="1"/>
        <v/>
      </c>
      <c r="E69" s="42">
        <f>countif(Constants!F:F,F69)</f>
        <v>1</v>
      </c>
      <c r="F69" s="21" t="str">
        <f>ifna(VLOOKUP($A69,'v2002'!$A:$F,6,false),"")</f>
        <v>DeuteronElectronMagneticMomentRatio</v>
      </c>
      <c r="G69" s="21" t="str">
        <f>IFERROR(__xludf.DUMMYFUNCTION("REGEXREPLACE(substitute(substitute(B69,"" "",""""),""..."",""""),""\(.*\)"","""")"),"-4.664345537e-4")</f>
        <v>-4.664345537e-4</v>
      </c>
      <c r="H69" s="43">
        <f t="shared" si="2"/>
        <v>-0.0004664345537</v>
      </c>
      <c r="I69" s="21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43">
        <f t="shared" si="3"/>
        <v>0</v>
      </c>
      <c r="K69" s="43" t="b">
        <f t="shared" si="4"/>
        <v>0</v>
      </c>
      <c r="L69" s="21" t="str">
        <f>IFERROR(__xludf.DUMMYFUNCTION("if(regexmatch(B69,""e(.*)$""),regexextract(B69,""e(.*)$""),"""")"),"-4")</f>
        <v>-4</v>
      </c>
    </row>
    <row r="70">
      <c r="A70" s="34" t="s">
        <v>876</v>
      </c>
      <c r="B70" s="34" t="s">
        <v>4787</v>
      </c>
      <c r="C70" s="34"/>
      <c r="D70" s="13" t="str">
        <f t="shared" si="1"/>
        <v/>
      </c>
      <c r="E70" s="42">
        <f>countif(Constants!F:F,F70)</f>
        <v>1</v>
      </c>
      <c r="F70" s="21" t="str">
        <f>ifna(VLOOKUP($A70,'v2002'!$A:$F,6,false),"")</f>
        <v>DeuteronElectronMassRatio</v>
      </c>
      <c r="G70" s="21" t="str">
        <f>IFERROR(__xludf.DUMMYFUNCTION("REGEXREPLACE(substitute(substitute(B70,"" "",""""),""..."",""""),""\(.*\)"","""")"),"3670.4829550")</f>
        <v>3670.4829550</v>
      </c>
      <c r="H70" s="43">
        <f t="shared" si="2"/>
        <v>3670.482955</v>
      </c>
      <c r="I70" s="21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43">
        <f t="shared" si="3"/>
        <v>0.000000078</v>
      </c>
      <c r="K70" s="43" t="b">
        <f t="shared" si="4"/>
        <v>0</v>
      </c>
      <c r="L70" s="21" t="str">
        <f>IFERROR(__xludf.DUMMYFUNCTION("if(regexmatch(B70,""e(.*)$""),regexextract(B70,""e(.*)$""),"""")"),"")</f>
        <v/>
      </c>
    </row>
    <row r="71">
      <c r="A71" s="34" t="s">
        <v>4248</v>
      </c>
      <c r="B71" s="34" t="s">
        <v>4249</v>
      </c>
      <c r="C71" s="34"/>
      <c r="D71" s="13" t="str">
        <f t="shared" si="1"/>
        <v/>
      </c>
      <c r="E71" s="42">
        <f>countif(Constants!F:F,F71)</f>
        <v>1</v>
      </c>
      <c r="F71" s="21" t="str">
        <f>ifna(VLOOKUP($A71,'v2002'!$A:$F,6,false),"")</f>
        <v>DeuteronNeutronMagneticMomentRatio</v>
      </c>
      <c r="G71" s="21" t="str">
        <f>IFERROR(__xludf.DUMMYFUNCTION("REGEXREPLACE(substitute(substitute(B71,"" "",""""),""..."",""""),""\(.*\)"","""")"),"-0.44820652")</f>
        <v>-0.44820652</v>
      </c>
      <c r="H71" s="43">
        <f t="shared" si="2"/>
        <v>-0.44820652</v>
      </c>
      <c r="I71" s="21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43">
        <f t="shared" si="3"/>
        <v>0.0000000011</v>
      </c>
      <c r="K71" s="43" t="b">
        <f t="shared" si="4"/>
        <v>0</v>
      </c>
      <c r="L71" s="21" t="str">
        <f>IFERROR(__xludf.DUMMYFUNCTION("if(regexmatch(B71,""e(.*)$""),regexextract(B71,""e(.*)$""),"""")"),"")</f>
        <v/>
      </c>
    </row>
    <row r="72">
      <c r="A72" s="34" t="s">
        <v>4250</v>
      </c>
      <c r="B72" s="34" t="s">
        <v>4788</v>
      </c>
      <c r="C72" s="34"/>
      <c r="D72" s="13" t="str">
        <f t="shared" si="1"/>
        <v/>
      </c>
      <c r="E72" s="42">
        <f>countif(Constants!F:F,F72)</f>
        <v>1</v>
      </c>
      <c r="F72" s="21" t="str">
        <f>ifna(VLOOKUP($A72,'v2002'!$A:$F,6,false),"")</f>
        <v>DeuteronProtonMagneticMomentRatio</v>
      </c>
      <c r="G72" s="21" t="str">
        <f>IFERROR(__xludf.DUMMYFUNCTION("REGEXREPLACE(substitute(substitute(B72,"" "",""""),""..."",""""),""\(.*\)"","""")"),"0.3070122083")</f>
        <v>0.3070122083</v>
      </c>
      <c r="H72" s="43">
        <f t="shared" si="2"/>
        <v>0.3070122083</v>
      </c>
      <c r="I72" s="21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43">
        <f t="shared" si="3"/>
        <v>0</v>
      </c>
      <c r="K72" s="43" t="b">
        <f t="shared" si="4"/>
        <v>0</v>
      </c>
      <c r="L72" s="21" t="str">
        <f>IFERROR(__xludf.DUMMYFUNCTION("if(regexmatch(B72,""e(.*)$""),regexextract(B72,""e(.*)$""),"""")"),"")</f>
        <v/>
      </c>
    </row>
    <row r="73">
      <c r="A73" s="34" t="s">
        <v>928</v>
      </c>
      <c r="B73" s="34" t="s">
        <v>4789</v>
      </c>
      <c r="C73" s="34"/>
      <c r="D73" s="13" t="str">
        <f t="shared" si="1"/>
        <v/>
      </c>
      <c r="E73" s="42">
        <f>countif(Constants!F:F,F73)</f>
        <v>1</v>
      </c>
      <c r="F73" s="21" t="str">
        <f>ifna(VLOOKUP($A73,'v2002'!$A:$F,6,false),"")</f>
        <v>DeuteronProtonMassRatio</v>
      </c>
      <c r="G73" s="21" t="str">
        <f>IFERROR(__xludf.DUMMYFUNCTION("REGEXREPLACE(substitute(substitute(B73,"" "",""""),""..."",""""),""\(.*\)"","""")"),"1.99900750083")</f>
        <v>1.99900750083</v>
      </c>
      <c r="H73" s="43">
        <f t="shared" si="2"/>
        <v>1.999007501</v>
      </c>
      <c r="I73" s="21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43">
        <f t="shared" si="3"/>
        <v>0</v>
      </c>
      <c r="K73" s="43" t="b">
        <f t="shared" si="4"/>
        <v>0</v>
      </c>
      <c r="L73" s="21" t="str">
        <f>IFERROR(__xludf.DUMMYFUNCTION("if(regexmatch(B73,""e(.*)$""),regexextract(B73,""e(.*)$""),"""")"),"")</f>
        <v/>
      </c>
    </row>
    <row r="74">
      <c r="A74" s="34" t="s">
        <v>2177</v>
      </c>
      <c r="B74" s="34" t="s">
        <v>4253</v>
      </c>
      <c r="C74" s="34" t="s">
        <v>4206</v>
      </c>
      <c r="D74" s="13" t="str">
        <f t="shared" si="1"/>
        <v>F m^-1</v>
      </c>
      <c r="E74" s="42">
        <f>countif(Constants!F:F,F74)</f>
        <v>1</v>
      </c>
      <c r="F74" s="21" t="str">
        <f>ifna(VLOOKUP($A74,'v2002'!$A:$F,6,false),"")</f>
        <v>ElectricConstant</v>
      </c>
      <c r="G74" s="21" t="str">
        <f>IFERROR(__xludf.DUMMYFUNCTION("REGEXREPLACE(substitute(substitute(B74,"" "",""""),""..."",""""),""\(.*\)"","""")"),"8.854187817e-12")</f>
        <v>8.854187817e-12</v>
      </c>
      <c r="H74" s="43">
        <f t="shared" si="2"/>
        <v>0</v>
      </c>
      <c r="I74" s="21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43" t="str">
        <f t="shared" si="3"/>
        <v/>
      </c>
      <c r="K74" s="43" t="b">
        <f t="shared" si="4"/>
        <v>1</v>
      </c>
      <c r="L74" s="21" t="str">
        <f>IFERROR(__xludf.DUMMYFUNCTION("if(regexmatch(B74,""e(.*)$""),regexextract(B74,""e(.*)$""),"""")"),"-12")</f>
        <v>-12</v>
      </c>
    </row>
    <row r="75">
      <c r="A75" s="34" t="s">
        <v>940</v>
      </c>
      <c r="B75" s="34" t="s">
        <v>4790</v>
      </c>
      <c r="C75" s="34" t="s">
        <v>4255</v>
      </c>
      <c r="D75" s="13" t="str">
        <f t="shared" si="1"/>
        <v>C kg^-1</v>
      </c>
      <c r="E75" s="42">
        <f>countif(Constants!F:F,F75)</f>
        <v>1</v>
      </c>
      <c r="F75" s="21" t="str">
        <f>ifna(VLOOKUP($A75,'v2002'!$A:$F,6,false),"")</f>
        <v>ElectronChargeToMassQuotient</v>
      </c>
      <c r="G75" s="21" t="str">
        <f>IFERROR(__xludf.DUMMYFUNCTION("REGEXREPLACE(substitute(substitute(B75,"" "",""""),""..."",""""),""\(.*\)"","""")"),"-1.758820174e11")</f>
        <v>-1.758820174e11</v>
      </c>
      <c r="H75" s="43">
        <f t="shared" si="2"/>
        <v>-175882017400</v>
      </c>
      <c r="I75" s="21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43">
        <f t="shared" si="3"/>
        <v>71</v>
      </c>
      <c r="K75" s="43" t="b">
        <f t="shared" si="4"/>
        <v>0</v>
      </c>
      <c r="L75" s="21" t="str">
        <f>IFERROR(__xludf.DUMMYFUNCTION("if(regexmatch(B75,""e(.*)$""),regexextract(B75,""e(.*)$""),"""")"),"11")</f>
        <v>11</v>
      </c>
    </row>
    <row r="76">
      <c r="A76" s="34" t="s">
        <v>956</v>
      </c>
      <c r="B76" s="34" t="s">
        <v>4791</v>
      </c>
      <c r="C76" s="34"/>
      <c r="D76" s="13" t="str">
        <f t="shared" si="1"/>
        <v/>
      </c>
      <c r="E76" s="42">
        <f>countif(Constants!F:F,F76)</f>
        <v>1</v>
      </c>
      <c r="F76" s="21" t="str">
        <f>ifna(VLOOKUP($A76,'v2002'!$A:$F,6,false),"")</f>
        <v>ElectronGFactor</v>
      </c>
      <c r="G76" s="21" t="str">
        <f>IFERROR(__xludf.DUMMYFUNCTION("REGEXREPLACE(substitute(substitute(B76,"" "",""""),""..."",""""),""\(.*\)"","""")"),"-2.0023193043737")</f>
        <v>-2.0023193043737</v>
      </c>
      <c r="H76" s="43">
        <f t="shared" si="2"/>
        <v>-2.002319304</v>
      </c>
      <c r="I76" s="21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43">
        <f t="shared" si="3"/>
        <v>0</v>
      </c>
      <c r="K76" s="43" t="b">
        <f t="shared" si="4"/>
        <v>0</v>
      </c>
      <c r="L76" s="21" t="str">
        <f>IFERROR(__xludf.DUMMYFUNCTION("if(regexmatch(B76,""e(.*)$""),regexextract(B76,""e(.*)$""),"""")"),"")</f>
        <v/>
      </c>
    </row>
    <row r="77">
      <c r="A77" s="34" t="s">
        <v>962</v>
      </c>
      <c r="B77" s="34" t="s">
        <v>4792</v>
      </c>
      <c r="C77" s="34" t="s">
        <v>4258</v>
      </c>
      <c r="D77" s="13" t="str">
        <f t="shared" si="1"/>
        <v>s^-1 T^-1</v>
      </c>
      <c r="E77" s="42">
        <f>countif(Constants!F:F,F77)</f>
        <v>1</v>
      </c>
      <c r="F77" s="21" t="str">
        <f>ifna(VLOOKUP($A77,'v2002'!$A:$F,6,false),"")</f>
        <v>ElectronGyromagneticRatio</v>
      </c>
      <c r="G77" s="21" t="str">
        <f>IFERROR(__xludf.DUMMYFUNCTION("REGEXREPLACE(substitute(substitute(B77,"" "",""""),""..."",""""),""\(.*\)"","""")"),"1.760859794e11")</f>
        <v>1.760859794e11</v>
      </c>
      <c r="H77" s="43">
        <f t="shared" si="2"/>
        <v>176085979400</v>
      </c>
      <c r="I77" s="21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43">
        <f t="shared" si="3"/>
        <v>71</v>
      </c>
      <c r="K77" s="43" t="b">
        <f t="shared" si="4"/>
        <v>0</v>
      </c>
      <c r="L77" s="21" t="str">
        <f>IFERROR(__xludf.DUMMYFUNCTION("if(regexmatch(B77,""e(.*)$""),regexextract(B77,""e(.*)$""),"""")"),"11")</f>
        <v>11</v>
      </c>
    </row>
    <row r="78">
      <c r="A78" s="34" t="s">
        <v>970</v>
      </c>
      <c r="B78" s="34" t="s">
        <v>4793</v>
      </c>
      <c r="C78" s="34" t="s">
        <v>4260</v>
      </c>
      <c r="D78" s="13" t="str">
        <f t="shared" si="1"/>
        <v>MHz T^-1</v>
      </c>
      <c r="E78" s="42">
        <f>countif(Constants!F:F,F78)</f>
        <v>1</v>
      </c>
      <c r="F78" s="21" t="str">
        <f>ifna(VLOOKUP($A78,'v2002'!$A:$F,6,false),"")</f>
        <v>ElectronGyromagneticRatioOver2Pi</v>
      </c>
      <c r="G78" s="21" t="str">
        <f>IFERROR(__xludf.DUMMYFUNCTION("REGEXREPLACE(substitute(substitute(B78,"" "",""""),""..."",""""),""\(.*\)"","""")"),"28024.9540")</f>
        <v>28024.9540</v>
      </c>
      <c r="H78" s="43">
        <f t="shared" si="2"/>
        <v>28024.954</v>
      </c>
      <c r="I78" s="21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43">
        <f t="shared" si="3"/>
        <v>0.000011</v>
      </c>
      <c r="K78" s="43" t="b">
        <f t="shared" si="4"/>
        <v>0</v>
      </c>
      <c r="L78" s="21" t="str">
        <f>IFERROR(__xludf.DUMMYFUNCTION("if(regexmatch(B78,""e(.*)$""),regexextract(B78,""e(.*)$""),"""")"),"")</f>
        <v/>
      </c>
    </row>
    <row r="79">
      <c r="A79" s="34" t="s">
        <v>980</v>
      </c>
      <c r="B79" s="34" t="s">
        <v>4794</v>
      </c>
      <c r="C79" s="34" t="s">
        <v>4197</v>
      </c>
      <c r="D79" s="13" t="str">
        <f t="shared" si="1"/>
        <v>J T^-1</v>
      </c>
      <c r="E79" s="42">
        <f>countif(Constants!F:F,F79)</f>
        <v>1</v>
      </c>
      <c r="F79" s="21" t="str">
        <f>ifna(VLOOKUP($A79,'v2002'!$A:$F,6,false),"")</f>
        <v>ElectronMagneticMoment</v>
      </c>
      <c r="G79" s="21" t="str">
        <f>IFERROR(__xludf.DUMMYFUNCTION("REGEXREPLACE(substitute(substitute(B79,"" "",""""),""..."",""""),""\(.*\)"","""")"),"-928.476362e-26")</f>
        <v>-928.476362e-26</v>
      </c>
      <c r="H79" s="43">
        <f t="shared" si="2"/>
        <v>0</v>
      </c>
      <c r="I79" s="21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43">
        <f t="shared" si="3"/>
        <v>0</v>
      </c>
      <c r="K79" s="43" t="b">
        <f t="shared" si="4"/>
        <v>0</v>
      </c>
      <c r="L79" s="21" t="str">
        <f>IFERROR(__xludf.DUMMYFUNCTION("if(regexmatch(B79,""e(.*)$""),regexextract(B79,""e(.*)$""),"""")"),"-26")</f>
        <v>-26</v>
      </c>
    </row>
    <row r="80">
      <c r="A80" s="34" t="s">
        <v>985</v>
      </c>
      <c r="B80" s="34" t="s">
        <v>4795</v>
      </c>
      <c r="C80" s="34"/>
      <c r="D80" s="13" t="str">
        <f t="shared" si="1"/>
        <v/>
      </c>
      <c r="E80" s="42">
        <f>countif(Constants!F:F,F80)</f>
        <v>1</v>
      </c>
      <c r="F80" s="21" t="str">
        <f>ifna(VLOOKUP($A80,'v2002'!$A:$F,6,false),"")</f>
        <v>ElectronMagneticMomentAnomaly</v>
      </c>
      <c r="G80" s="21" t="str">
        <f>IFERROR(__xludf.DUMMYFUNCTION("REGEXREPLACE(substitute(substitute(B80,"" "",""""),""..."",""""),""\(.*\)"","""")"),"1.1596521869e-3")</f>
        <v>1.1596521869e-3</v>
      </c>
      <c r="H80" s="43">
        <f t="shared" si="2"/>
        <v>0.001159652187</v>
      </c>
      <c r="I80" s="21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43">
        <f t="shared" si="3"/>
        <v>0</v>
      </c>
      <c r="K80" s="43" t="b">
        <f t="shared" si="4"/>
        <v>0</v>
      </c>
      <c r="L80" s="21" t="str">
        <f>IFERROR(__xludf.DUMMYFUNCTION("if(regexmatch(B80,""e(.*)$""),regexextract(B80,""e(.*)$""),"""")"),"-3")</f>
        <v>-3</v>
      </c>
    </row>
    <row r="81">
      <c r="A81" s="34" t="s">
        <v>990</v>
      </c>
      <c r="B81" s="34" t="s">
        <v>4796</v>
      </c>
      <c r="C81" s="34"/>
      <c r="D81" s="13" t="str">
        <f t="shared" si="1"/>
        <v/>
      </c>
      <c r="E81" s="42">
        <f>countif(Constants!F:F,F81)</f>
        <v>1</v>
      </c>
      <c r="F81" s="21" t="str">
        <f>ifna(VLOOKUP($A81,'v2002'!$A:$F,6,false),"")</f>
        <v>ElectronMagneticMomentToBohrMagnetonRatio</v>
      </c>
      <c r="G81" s="21" t="str">
        <f>IFERROR(__xludf.DUMMYFUNCTION("REGEXREPLACE(substitute(substitute(B81,"" "",""""),""..."",""""),""\(.*\)"","""")"),"-1.0011596521869")</f>
        <v>-1.0011596521869</v>
      </c>
      <c r="H81" s="43">
        <f t="shared" si="2"/>
        <v>-1.001159652</v>
      </c>
      <c r="I81" s="21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43">
        <f t="shared" si="3"/>
        <v>0</v>
      </c>
      <c r="K81" s="43" t="b">
        <f t="shared" si="4"/>
        <v>0</v>
      </c>
      <c r="L81" s="21" t="str">
        <f>IFERROR(__xludf.DUMMYFUNCTION("if(regexmatch(B81,""e(.*)$""),regexextract(B81,""e(.*)$""),"""")"),"")</f>
        <v/>
      </c>
    </row>
    <row r="82">
      <c r="A82" s="34" t="s">
        <v>995</v>
      </c>
      <c r="B82" s="34" t="s">
        <v>4797</v>
      </c>
      <c r="C82" s="34"/>
      <c r="D82" s="13" t="str">
        <f t="shared" si="1"/>
        <v/>
      </c>
      <c r="E82" s="42">
        <f>countif(Constants!F:F,F82)</f>
        <v>1</v>
      </c>
      <c r="F82" s="21" t="str">
        <f>ifna(VLOOKUP($A82,'v2002'!$A:$F,6,false),"")</f>
        <v>ElectronMagneticMomentToNuclearMagnetonRatio</v>
      </c>
      <c r="G82" s="21" t="str">
        <f>IFERROR(__xludf.DUMMYFUNCTION("REGEXREPLACE(substitute(substitute(B82,"" "",""""),""..."",""""),""\(.*\)"","""")"),"-1838.2819660")</f>
        <v>-1838.2819660</v>
      </c>
      <c r="H82" s="43">
        <f t="shared" si="2"/>
        <v>-1838.281966</v>
      </c>
      <c r="I82" s="21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43">
        <f t="shared" si="3"/>
        <v>0.000000039</v>
      </c>
      <c r="K82" s="43" t="b">
        <f t="shared" si="4"/>
        <v>0</v>
      </c>
      <c r="L82" s="21" t="str">
        <f>IFERROR(__xludf.DUMMYFUNCTION("if(regexmatch(B82,""e(.*)$""),regexextract(B82,""e(.*)$""),"""")"),"")</f>
        <v/>
      </c>
    </row>
    <row r="83">
      <c r="A83" s="34" t="s">
        <v>999</v>
      </c>
      <c r="B83" s="34" t="s">
        <v>4760</v>
      </c>
      <c r="C83" s="34" t="s">
        <v>538</v>
      </c>
      <c r="D83" s="13" t="str">
        <f t="shared" si="1"/>
        <v>kg</v>
      </c>
      <c r="E83" s="42">
        <f>countif(Constants!F:F,F83)</f>
        <v>1</v>
      </c>
      <c r="F83" s="21" t="str">
        <f>ifna(VLOOKUP($A83,'v2002'!$A:$F,6,false),"")</f>
        <v>ElectronMass</v>
      </c>
      <c r="G83" s="21" t="str">
        <f>IFERROR(__xludf.DUMMYFUNCTION("REGEXREPLACE(substitute(substitute(B83,"" "",""""),""..."",""""),""\(.*\)"","""")"),"9.10938188e-31")</f>
        <v>9.10938188e-31</v>
      </c>
      <c r="H83" s="43">
        <f t="shared" si="2"/>
        <v>0</v>
      </c>
      <c r="I83" s="21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43">
        <f t="shared" si="3"/>
        <v>0</v>
      </c>
      <c r="K83" s="43" t="b">
        <f t="shared" si="4"/>
        <v>0</v>
      </c>
      <c r="L83" s="21" t="str">
        <f>IFERROR(__xludf.DUMMYFUNCTION("if(regexmatch(B83,""e(.*)$""),regexextract(B83,""e(.*)$""),"""")"),"-31")</f>
        <v>-31</v>
      </c>
    </row>
    <row r="84">
      <c r="A84" s="34" t="s">
        <v>1004</v>
      </c>
      <c r="B84" s="34" t="s">
        <v>4798</v>
      </c>
      <c r="C84" s="34" t="s">
        <v>543</v>
      </c>
      <c r="D84" s="13" t="str">
        <f t="shared" si="1"/>
        <v>J</v>
      </c>
      <c r="E84" s="42">
        <f>countif(Constants!F:F,F84)</f>
        <v>1</v>
      </c>
      <c r="F84" s="21" t="str">
        <f>ifna(VLOOKUP($A84,'v2002'!$A:$F,6,false),"")</f>
        <v>ElectronMassEnergyEquivalent</v>
      </c>
      <c r="G84" s="21" t="str">
        <f>IFERROR(__xludf.DUMMYFUNCTION("REGEXREPLACE(substitute(substitute(B84,"" "",""""),""..."",""""),""\(.*\)"","""")"),"8.18710414e-14")</f>
        <v>8.18710414e-14</v>
      </c>
      <c r="H84" s="43">
        <f t="shared" si="2"/>
        <v>0</v>
      </c>
      <c r="I84" s="21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43">
        <f t="shared" si="3"/>
        <v>0</v>
      </c>
      <c r="K84" s="43" t="b">
        <f t="shared" si="4"/>
        <v>0</v>
      </c>
      <c r="L84" s="21" t="str">
        <f>IFERROR(__xludf.DUMMYFUNCTION("if(regexmatch(B84,""e(.*)$""),regexextract(B84,""e(.*)$""),"""")"),"-14")</f>
        <v>-14</v>
      </c>
    </row>
    <row r="85">
      <c r="A85" s="34" t="s">
        <v>1008</v>
      </c>
      <c r="B85" s="34" t="s">
        <v>4799</v>
      </c>
      <c r="C85" s="34" t="s">
        <v>548</v>
      </c>
      <c r="D85" s="13" t="str">
        <f t="shared" si="1"/>
        <v>MeV</v>
      </c>
      <c r="E85" s="42">
        <f>countif(Constants!F:F,F85)</f>
        <v>1</v>
      </c>
      <c r="F85" s="21" t="str">
        <f>ifna(VLOOKUP($A85,'v2002'!$A:$F,6,false),"")</f>
        <v>ElectronMassEnergyEquivalentInMeV</v>
      </c>
      <c r="G85" s="21" t="str">
        <f>IFERROR(__xludf.DUMMYFUNCTION("REGEXREPLACE(substitute(substitute(B85,"" "",""""),""..."",""""),""\(.*\)"","""")"),"0.510998902")</f>
        <v>0.510998902</v>
      </c>
      <c r="H85" s="43">
        <f t="shared" si="2"/>
        <v>0.510998902</v>
      </c>
      <c r="I85" s="21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43">
        <f t="shared" si="3"/>
        <v>0.00000000021</v>
      </c>
      <c r="K85" s="43" t="b">
        <f t="shared" si="4"/>
        <v>0</v>
      </c>
      <c r="L85" s="21" t="str">
        <f>IFERROR(__xludf.DUMMYFUNCTION("if(regexmatch(B85,""e(.*)$""),regexextract(B85,""e(.*)$""),"""")"),"")</f>
        <v/>
      </c>
    </row>
    <row r="86">
      <c r="A86" s="34" t="s">
        <v>1011</v>
      </c>
      <c r="B86" s="34" t="s">
        <v>4800</v>
      </c>
      <c r="C86" s="34" t="s">
        <v>553</v>
      </c>
      <c r="D86" s="13" t="str">
        <f t="shared" si="1"/>
        <v>u</v>
      </c>
      <c r="E86" s="42">
        <f>countif(Constants!F:F,F86)</f>
        <v>1</v>
      </c>
      <c r="F86" s="21" t="str">
        <f>ifna(VLOOKUP($A86,'v2002'!$A:$F,6,false),"")</f>
        <v>ElectronMassInAtomicMassUnit</v>
      </c>
      <c r="G86" s="21" t="str">
        <f>IFERROR(__xludf.DUMMYFUNCTION("REGEXREPLACE(substitute(substitute(B86,"" "",""""),""..."",""""),""\(.*\)"","""")"),"5.485799110e-4")</f>
        <v>5.485799110e-4</v>
      </c>
      <c r="H86" s="43">
        <f t="shared" si="2"/>
        <v>0.000548579911</v>
      </c>
      <c r="I86" s="21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43">
        <f t="shared" si="3"/>
        <v>0</v>
      </c>
      <c r="K86" s="43" t="b">
        <f t="shared" si="4"/>
        <v>0</v>
      </c>
      <c r="L86" s="21" t="str">
        <f>IFERROR(__xludf.DUMMYFUNCTION("if(regexmatch(B86,""e(.*)$""),regexextract(B86,""e(.*)$""),"""")"),"-4")</f>
        <v>-4</v>
      </c>
    </row>
    <row r="87">
      <c r="A87" s="34" t="s">
        <v>1014</v>
      </c>
      <c r="B87" s="34" t="s">
        <v>4801</v>
      </c>
      <c r="C87" s="34" t="s">
        <v>4163</v>
      </c>
      <c r="D87" s="13" t="str">
        <f t="shared" si="1"/>
        <v>kg mol^-1</v>
      </c>
      <c r="E87" s="42">
        <f>countif(Constants!F:F,F87)</f>
        <v>1</v>
      </c>
      <c r="F87" s="21" t="str">
        <f>ifna(VLOOKUP($A87,'v2002'!$A:$F,6,false),"")</f>
        <v>ElectronMolarMass</v>
      </c>
      <c r="G87" s="21" t="str">
        <f>IFERROR(__xludf.DUMMYFUNCTION("REGEXREPLACE(substitute(substitute(B87,"" "",""""),""..."",""""),""\(.*\)"","""")"),"5.485799110e-7")</f>
        <v>5.485799110e-7</v>
      </c>
      <c r="H87" s="43">
        <f t="shared" si="2"/>
        <v>0.000000548579911</v>
      </c>
      <c r="I87" s="21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43">
        <f t="shared" si="3"/>
        <v>0</v>
      </c>
      <c r="K87" s="43" t="b">
        <f t="shared" si="4"/>
        <v>0</v>
      </c>
      <c r="L87" s="21" t="str">
        <f>IFERROR(__xludf.DUMMYFUNCTION("if(regexmatch(B87,""e(.*)$""),regexextract(B87,""e(.*)$""),"""")"),"-7")</f>
        <v>-7</v>
      </c>
    </row>
    <row r="88">
      <c r="A88" s="34" t="s">
        <v>1055</v>
      </c>
      <c r="B88" s="34" t="s">
        <v>4802</v>
      </c>
      <c r="C88" s="34"/>
      <c r="D88" s="13" t="str">
        <f t="shared" si="1"/>
        <v/>
      </c>
      <c r="E88" s="42">
        <f>countif(Constants!F:F,F88)</f>
        <v>1</v>
      </c>
      <c r="F88" s="21" t="str">
        <f>ifna(VLOOKUP($A88,'v2002'!$A:$F,6,false),"")</f>
        <v>ElectronToAlphaParticleMassRatio</v>
      </c>
      <c r="G88" s="21" t="str">
        <f>IFERROR(__xludf.DUMMYFUNCTION("REGEXREPLACE(substitute(substitute(B88,"" "",""""),""..."",""""),""\(.*\)"","""")"),"1.3709335611e-4")</f>
        <v>1.3709335611e-4</v>
      </c>
      <c r="H88" s="43">
        <f t="shared" si="2"/>
        <v>0.0001370933561</v>
      </c>
      <c r="I88" s="21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43">
        <f t="shared" si="3"/>
        <v>0</v>
      </c>
      <c r="K88" s="43" t="b">
        <f t="shared" si="4"/>
        <v>0</v>
      </c>
      <c r="L88" s="21" t="str">
        <f>IFERROR(__xludf.DUMMYFUNCTION("if(regexmatch(B88,""e(.*)$""),regexextract(B88,""e(.*)$""),"""")"),"-4")</f>
        <v>-4</v>
      </c>
    </row>
    <row r="89">
      <c r="A89" s="34" t="s">
        <v>1060</v>
      </c>
      <c r="B89" s="34" t="s">
        <v>4579</v>
      </c>
      <c r="C89" s="34"/>
      <c r="D89" s="13" t="str">
        <f t="shared" si="1"/>
        <v/>
      </c>
      <c r="E89" s="42">
        <f>countif(Constants!F:F,F89)</f>
        <v>1</v>
      </c>
      <c r="F89" s="21" t="str">
        <f>ifna(VLOOKUP($A89,'v2002'!$A:$F,6,false),"")</f>
        <v>ElectronToShieldedHelionMagneticMomentRatio</v>
      </c>
      <c r="G89" s="21" t="str">
        <f>IFERROR(__xludf.DUMMYFUNCTION("REGEXREPLACE(substitute(substitute(B89,"" "",""""),""..."",""""),""\(.*\)"","""")"),"864.058255")</f>
        <v>864.058255</v>
      </c>
      <c r="H89" s="43">
        <f t="shared" si="2"/>
        <v>864.058255</v>
      </c>
      <c r="I89" s="21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43">
        <f t="shared" si="3"/>
        <v>0.0000001</v>
      </c>
      <c r="K89" s="43" t="b">
        <f t="shared" si="4"/>
        <v>0</v>
      </c>
      <c r="L89" s="21" t="str">
        <f>IFERROR(__xludf.DUMMYFUNCTION("if(regexmatch(B89,""e(.*)$""),regexextract(B89,""e(.*)$""),"""")"),"")</f>
        <v/>
      </c>
    </row>
    <row r="90">
      <c r="A90" s="34" t="s">
        <v>1065</v>
      </c>
      <c r="B90" s="34" t="s">
        <v>4803</v>
      </c>
      <c r="C90" s="34"/>
      <c r="D90" s="13" t="str">
        <f t="shared" si="1"/>
        <v/>
      </c>
      <c r="E90" s="42">
        <f>countif(Constants!F:F,F90)</f>
        <v>1</v>
      </c>
      <c r="F90" s="21" t="str">
        <f>ifna(VLOOKUP($A90,'v2002'!$A:$F,6,false),"")</f>
        <v>ElectronToShieldedProtonMagneticMomentRatio</v>
      </c>
      <c r="G90" s="21" t="str">
        <f>IFERROR(__xludf.DUMMYFUNCTION("REGEXREPLACE(substitute(substitute(B90,"" "",""""),""..."",""""),""\(.*\)"","""")"),"-658.2275954")</f>
        <v>-658.2275954</v>
      </c>
      <c r="H90" s="43">
        <f t="shared" si="2"/>
        <v>-658.2275954</v>
      </c>
      <c r="I90" s="21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43">
        <f t="shared" si="3"/>
        <v>0.000000071</v>
      </c>
      <c r="K90" s="43" t="b">
        <f t="shared" si="4"/>
        <v>0</v>
      </c>
      <c r="L90" s="21" t="str">
        <f>IFERROR(__xludf.DUMMYFUNCTION("if(regexmatch(B90,""e(.*)$""),regexextract(B90,""e(.*)$""),"""")"),"")</f>
        <v/>
      </c>
    </row>
    <row r="91">
      <c r="A91" s="34" t="s">
        <v>1073</v>
      </c>
      <c r="B91" s="34" t="s">
        <v>4804</v>
      </c>
      <c r="C91" s="34" t="s">
        <v>543</v>
      </c>
      <c r="D91" s="13" t="str">
        <f t="shared" si="1"/>
        <v>J</v>
      </c>
      <c r="E91" s="42">
        <f>countif(Constants!F:F,F91)</f>
        <v>1</v>
      </c>
      <c r="F91" s="21" t="str">
        <f>ifna(VLOOKUP($A91,'v2002'!$A:$F,6,false),"")</f>
        <v>ElectronVolt</v>
      </c>
      <c r="G91" s="21" t="str">
        <f>IFERROR(__xludf.DUMMYFUNCTION("REGEXREPLACE(substitute(substitute(B91,"" "",""""),""..."",""""),""\(.*\)"","""")"),"1.602176462e-19")</f>
        <v>1.602176462e-19</v>
      </c>
      <c r="H91" s="43">
        <f t="shared" si="2"/>
        <v>0</v>
      </c>
      <c r="I91" s="21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43">
        <f t="shared" si="3"/>
        <v>0</v>
      </c>
      <c r="K91" s="43" t="b">
        <f t="shared" si="4"/>
        <v>0</v>
      </c>
      <c r="L91" s="21" t="str">
        <f>IFERROR(__xludf.DUMMYFUNCTION("if(regexmatch(B91,""e(.*)$""),regexextract(B91,""e(.*)$""),"""")"),"-19")</f>
        <v>-19</v>
      </c>
    </row>
    <row r="92">
      <c r="A92" s="34" t="s">
        <v>1078</v>
      </c>
      <c r="B92" s="34" t="s">
        <v>4805</v>
      </c>
      <c r="C92" s="34" t="s">
        <v>553</v>
      </c>
      <c r="D92" s="13" t="str">
        <f t="shared" si="1"/>
        <v>u</v>
      </c>
      <c r="E92" s="42">
        <f>countif(Constants!F:F,F92)</f>
        <v>1</v>
      </c>
      <c r="F92" s="21" t="str">
        <f>ifna(VLOOKUP($A92,'v2002'!$A:$F,6,false),"")</f>
        <v>ElectronVoltAtomicMassUnitRelationship</v>
      </c>
      <c r="G92" s="21" t="str">
        <f>IFERROR(__xludf.DUMMYFUNCTION("REGEXREPLACE(substitute(substitute(B92,"" "",""""),""..."",""""),""\(.*\)"","""")"),"1.073544206e-9")</f>
        <v>1.073544206e-9</v>
      </c>
      <c r="H92" s="43">
        <f t="shared" si="2"/>
        <v>0.000000001073544206</v>
      </c>
      <c r="I92" s="21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43">
        <f t="shared" si="3"/>
        <v>0</v>
      </c>
      <c r="K92" s="43" t="b">
        <f t="shared" si="4"/>
        <v>0</v>
      </c>
      <c r="L92" s="21" t="str">
        <f>IFERROR(__xludf.DUMMYFUNCTION("if(regexmatch(B92,""e(.*)$""),regexextract(B92,""e(.*)$""),"""")"),"-9")</f>
        <v>-9</v>
      </c>
    </row>
    <row r="93">
      <c r="A93" s="34" t="s">
        <v>1084</v>
      </c>
      <c r="B93" s="34" t="s">
        <v>4806</v>
      </c>
      <c r="C93" s="34" t="s">
        <v>593</v>
      </c>
      <c r="D93" s="13" t="str">
        <f t="shared" si="1"/>
        <v>E_h</v>
      </c>
      <c r="E93" s="42">
        <f>countif(Constants!F:F,F93)</f>
        <v>1</v>
      </c>
      <c r="F93" s="21" t="str">
        <f>ifna(VLOOKUP($A93,'v2002'!$A:$F,6,false),"")</f>
        <v>ElectronVoltHartreeRelationship</v>
      </c>
      <c r="G93" s="21" t="str">
        <f>IFERROR(__xludf.DUMMYFUNCTION("REGEXREPLACE(substitute(substitute(B93,"" "",""""),""..."",""""),""\(.*\)"","""")"),"3.67493260e-2")</f>
        <v>3.67493260e-2</v>
      </c>
      <c r="H93" s="43">
        <f t="shared" si="2"/>
        <v>0.036749326</v>
      </c>
      <c r="I93" s="21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43">
        <f t="shared" si="3"/>
        <v>0</v>
      </c>
      <c r="K93" s="43" t="b">
        <f t="shared" si="4"/>
        <v>0</v>
      </c>
      <c r="L93" s="21" t="str">
        <f>IFERROR(__xludf.DUMMYFUNCTION("if(regexmatch(B93,""e(.*)$""),regexextract(B93,""e(.*)$""),"""")"),"-2")</f>
        <v>-2</v>
      </c>
    </row>
    <row r="94">
      <c r="A94" s="34" t="s">
        <v>1090</v>
      </c>
      <c r="B94" s="34" t="s">
        <v>4807</v>
      </c>
      <c r="C94" s="34" t="s">
        <v>600</v>
      </c>
      <c r="D94" s="13" t="str">
        <f t="shared" si="1"/>
        <v>Hz</v>
      </c>
      <c r="E94" s="42">
        <f>countif(Constants!F:F,F94)</f>
        <v>1</v>
      </c>
      <c r="F94" s="21" t="str">
        <f>ifna(VLOOKUP($A94,'v2002'!$A:$F,6,false),"")</f>
        <v>ElectronVoltHertzRelationship</v>
      </c>
      <c r="G94" s="21" t="str">
        <f>IFERROR(__xludf.DUMMYFUNCTION("REGEXREPLACE(substitute(substitute(B94,"" "",""""),""..."",""""),""\(.*\)"","""")"),"2.417989491e14")</f>
        <v>2.417989491e14</v>
      </c>
      <c r="H94" s="43">
        <f t="shared" si="2"/>
        <v>241798949100000</v>
      </c>
      <c r="I94" s="21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43">
        <f t="shared" si="3"/>
        <v>95000</v>
      </c>
      <c r="K94" s="43" t="b">
        <f t="shared" si="4"/>
        <v>0</v>
      </c>
      <c r="L94" s="21" t="str">
        <f>IFERROR(__xludf.DUMMYFUNCTION("if(regexmatch(B94,""e(.*)$""),regexextract(B94,""e(.*)$""),"""")"),"14")</f>
        <v>14</v>
      </c>
    </row>
    <row r="95">
      <c r="A95" s="34" t="s">
        <v>1096</v>
      </c>
      <c r="B95" s="34" t="s">
        <v>4808</v>
      </c>
      <c r="C95" s="34" t="s">
        <v>4174</v>
      </c>
      <c r="D95" s="13" t="str">
        <f t="shared" si="1"/>
        <v>m^-1</v>
      </c>
      <c r="E95" s="42">
        <f>countif(Constants!F:F,F95)</f>
        <v>1</v>
      </c>
      <c r="F95" s="21" t="str">
        <f>ifna(VLOOKUP($A95,'v2002'!$A:$F,6,false),"")</f>
        <v>ElectronVoltInverseMeterRelationship</v>
      </c>
      <c r="G95" s="21" t="str">
        <f>IFERROR(__xludf.DUMMYFUNCTION("REGEXREPLACE(substitute(substitute(B95,"" "",""""),""..."",""""),""\(.*\)"","""")"),"8.06554477e5")</f>
        <v>8.06554477e5</v>
      </c>
      <c r="H95" s="43">
        <f t="shared" si="2"/>
        <v>806554.477</v>
      </c>
      <c r="I95" s="21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43">
        <f t="shared" si="3"/>
        <v>0.00032</v>
      </c>
      <c r="K95" s="43" t="b">
        <f t="shared" si="4"/>
        <v>0</v>
      </c>
      <c r="L95" s="21" t="str">
        <f>IFERROR(__xludf.DUMMYFUNCTION("if(regexmatch(B95,""e(.*)$""),regexextract(B95,""e(.*)$""),"""")"),"5")</f>
        <v>5</v>
      </c>
    </row>
    <row r="96">
      <c r="A96" s="34" t="s">
        <v>1102</v>
      </c>
      <c r="B96" s="34" t="s">
        <v>4804</v>
      </c>
      <c r="C96" s="34" t="s">
        <v>543</v>
      </c>
      <c r="D96" s="13" t="str">
        <f t="shared" si="1"/>
        <v>J</v>
      </c>
      <c r="E96" s="42">
        <f>countif(Constants!F:F,F96)</f>
        <v>1</v>
      </c>
      <c r="F96" s="21" t="str">
        <f>ifna(VLOOKUP($A96,'v2002'!$A:$F,6,false),"")</f>
        <v>ElectronVoltJouleRelationship</v>
      </c>
      <c r="G96" s="21" t="str">
        <f>IFERROR(__xludf.DUMMYFUNCTION("REGEXREPLACE(substitute(substitute(B96,"" "",""""),""..."",""""),""\(.*\)"","""")"),"1.602176462e-19")</f>
        <v>1.602176462e-19</v>
      </c>
      <c r="H96" s="43">
        <f t="shared" si="2"/>
        <v>0</v>
      </c>
      <c r="I96" s="21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43">
        <f t="shared" si="3"/>
        <v>0</v>
      </c>
      <c r="K96" s="43" t="b">
        <f t="shared" si="4"/>
        <v>0</v>
      </c>
      <c r="L96" s="21" t="str">
        <f>IFERROR(__xludf.DUMMYFUNCTION("if(regexmatch(B96,""e(.*)$""),regexextract(B96,""e(.*)$""),"""")"),"-19")</f>
        <v>-19</v>
      </c>
    </row>
    <row r="97">
      <c r="A97" s="34" t="s">
        <v>1108</v>
      </c>
      <c r="B97" s="34" t="s">
        <v>4809</v>
      </c>
      <c r="C97" s="34" t="s">
        <v>618</v>
      </c>
      <c r="D97" s="13" t="str">
        <f t="shared" si="1"/>
        <v>K</v>
      </c>
      <c r="E97" s="42">
        <f>countif(Constants!F:F,F97)</f>
        <v>1</v>
      </c>
      <c r="F97" s="21" t="str">
        <f>ifna(VLOOKUP($A97,'v2002'!$A:$F,6,false),"")</f>
        <v>ElectronVoltKelvinRelationship</v>
      </c>
      <c r="G97" s="21" t="str">
        <f>IFERROR(__xludf.DUMMYFUNCTION("REGEXREPLACE(substitute(substitute(B97,"" "",""""),""..."",""""),""\(.*\)"","""")"),"1.1604506e4")</f>
        <v>1.1604506e4</v>
      </c>
      <c r="H97" s="43">
        <f t="shared" si="2"/>
        <v>11604.506</v>
      </c>
      <c r="I97" s="21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43">
        <f t="shared" si="3"/>
        <v>0.0002</v>
      </c>
      <c r="K97" s="43" t="b">
        <f t="shared" si="4"/>
        <v>0</v>
      </c>
      <c r="L97" s="21" t="str">
        <f>IFERROR(__xludf.DUMMYFUNCTION("if(regexmatch(B97,""e(.*)$""),regexextract(B97,""e(.*)$""),"""")"),"4")</f>
        <v>4</v>
      </c>
    </row>
    <row r="98">
      <c r="A98" s="34" t="s">
        <v>1114</v>
      </c>
      <c r="B98" s="34" t="s">
        <v>4810</v>
      </c>
      <c r="C98" s="34" t="s">
        <v>538</v>
      </c>
      <c r="D98" s="13" t="str">
        <f t="shared" si="1"/>
        <v>kg</v>
      </c>
      <c r="E98" s="42">
        <f>countif(Constants!F:F,F98)</f>
        <v>1</v>
      </c>
      <c r="F98" s="21" t="str">
        <f>ifna(VLOOKUP($A98,'v2002'!$A:$F,6,false),"")</f>
        <v>ElectronVoltKilogramRelationship</v>
      </c>
      <c r="G98" s="21" t="str">
        <f>IFERROR(__xludf.DUMMYFUNCTION("REGEXREPLACE(substitute(substitute(B98,"" "",""""),""..."",""""),""\(.*\)"","""")"),"1.782661731e-36")</f>
        <v>1.782661731e-36</v>
      </c>
      <c r="H98" s="43">
        <f t="shared" si="2"/>
        <v>0</v>
      </c>
      <c r="I98" s="21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43">
        <f t="shared" si="3"/>
        <v>0</v>
      </c>
      <c r="K98" s="43" t="b">
        <f t="shared" si="4"/>
        <v>0</v>
      </c>
      <c r="L98" s="21" t="str">
        <f>IFERROR(__xludf.DUMMYFUNCTION("if(regexmatch(B98,""e(.*)$""),regexextract(B98,""e(.*)$""),"""")"),"-36")</f>
        <v>-36</v>
      </c>
    </row>
    <row r="99">
      <c r="A99" s="34" t="s">
        <v>4279</v>
      </c>
      <c r="B99" s="34" t="s">
        <v>4811</v>
      </c>
      <c r="C99" s="34"/>
      <c r="D99" s="13" t="str">
        <f t="shared" si="1"/>
        <v/>
      </c>
      <c r="E99" s="42">
        <f>countif(Constants!F:F,F99)</f>
        <v>1</v>
      </c>
      <c r="F99" s="21" t="str">
        <f>ifna(VLOOKUP($A99,'v2002'!$A:$F,6,false),"")</f>
        <v>ElectronDeuteronMagneticMomentRatio</v>
      </c>
      <c r="G99" s="21" t="str">
        <f>IFERROR(__xludf.DUMMYFUNCTION("REGEXREPLACE(substitute(substitute(B99,"" "",""""),""..."",""""),""\(.*\)"","""")"),"-2143.923498")</f>
        <v>-2143.923498</v>
      </c>
      <c r="H99" s="43">
        <f t="shared" si="2"/>
        <v>-2143.923498</v>
      </c>
      <c r="I99" s="21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43">
        <f t="shared" si="3"/>
        <v>0.00000023</v>
      </c>
      <c r="K99" s="43" t="b">
        <f t="shared" si="4"/>
        <v>0</v>
      </c>
      <c r="L99" s="21" t="str">
        <f>IFERROR(__xludf.DUMMYFUNCTION("if(regexmatch(B99,""e(.*)$""),regexextract(B99,""e(.*)$""),"""")"),"")</f>
        <v/>
      </c>
    </row>
    <row r="100">
      <c r="A100" s="34" t="s">
        <v>951</v>
      </c>
      <c r="B100" s="34" t="s">
        <v>4812</v>
      </c>
      <c r="C100" s="34"/>
      <c r="D100" s="13" t="str">
        <f t="shared" si="1"/>
        <v/>
      </c>
      <c r="E100" s="42">
        <f>countif(Constants!F:F,F100)</f>
        <v>1</v>
      </c>
      <c r="F100" s="21" t="str">
        <f>ifna(VLOOKUP($A100,'v2002'!$A:$F,6,false),"")</f>
        <v>ElectronDeuteronMassRatio</v>
      </c>
      <c r="G100" s="21" t="str">
        <f>IFERROR(__xludf.DUMMYFUNCTION("REGEXREPLACE(substitute(substitute(B100,"" "",""""),""..."",""""),""\(.*\)"","""")"),"2.7244371170e-4")</f>
        <v>2.7244371170e-4</v>
      </c>
      <c r="H100" s="43">
        <f t="shared" si="2"/>
        <v>0.0002724437117</v>
      </c>
      <c r="I100" s="21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43">
        <f t="shared" si="3"/>
        <v>0</v>
      </c>
      <c r="K100" s="43" t="b">
        <f t="shared" si="4"/>
        <v>0</v>
      </c>
      <c r="L100" s="21" t="str">
        <f>IFERROR(__xludf.DUMMYFUNCTION("if(regexmatch(B100,""e(.*)$""),regexextract(B100,""e(.*)$""),"""")"),"-4")</f>
        <v>-4</v>
      </c>
    </row>
    <row r="101">
      <c r="A101" s="34" t="s">
        <v>4282</v>
      </c>
      <c r="B101" s="34" t="s">
        <v>4813</v>
      </c>
      <c r="C101" s="34"/>
      <c r="D101" s="13" t="str">
        <f t="shared" si="1"/>
        <v/>
      </c>
      <c r="E101" s="42">
        <f>countif(Constants!F:F,F101)</f>
        <v>1</v>
      </c>
      <c r="F101" s="21" t="str">
        <f>ifna(VLOOKUP($A101,'v2002'!$A:$F,6,false),"")</f>
        <v>ElectronMuonMagneticMomentRatio</v>
      </c>
      <c r="G101" s="21" t="str">
        <f>IFERROR(__xludf.DUMMYFUNCTION("REGEXREPLACE(substitute(substitute(B101,"" "",""""),""..."",""""),""\(.*\)"","""")"),"206.7669720")</f>
        <v>206.7669720</v>
      </c>
      <c r="H101" s="43">
        <f t="shared" si="2"/>
        <v>206.766972</v>
      </c>
      <c r="I101" s="21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43">
        <f t="shared" si="3"/>
        <v>0.000000063</v>
      </c>
      <c r="K101" s="43" t="b">
        <f t="shared" si="4"/>
        <v>0</v>
      </c>
      <c r="L101" s="21" t="str">
        <f>IFERROR(__xludf.DUMMYFUNCTION("if(regexmatch(B101,""e(.*)$""),regexextract(B101,""e(.*)$""),"""")"),"")</f>
        <v/>
      </c>
    </row>
    <row r="102">
      <c r="A102" s="34" t="s">
        <v>1023</v>
      </c>
      <c r="B102" s="34" t="s">
        <v>4814</v>
      </c>
      <c r="C102" s="34"/>
      <c r="D102" s="13" t="str">
        <f t="shared" si="1"/>
        <v/>
      </c>
      <c r="E102" s="42">
        <f>countif(Constants!F:F,F102)</f>
        <v>1</v>
      </c>
      <c r="F102" s="21" t="str">
        <f>ifna(VLOOKUP($A102,'v2002'!$A:$F,6,false),"")</f>
        <v>ElectronMuonMassRatio</v>
      </c>
      <c r="G102" s="21" t="str">
        <f>IFERROR(__xludf.DUMMYFUNCTION("REGEXREPLACE(substitute(substitute(B102,"" "",""""),""..."",""""),""\(.*\)"","""")"),"4.83633210e-3")</f>
        <v>4.83633210e-3</v>
      </c>
      <c r="H102" s="43">
        <f t="shared" si="2"/>
        <v>0.0048363321</v>
      </c>
      <c r="I102" s="21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43">
        <f t="shared" si="3"/>
        <v>0</v>
      </c>
      <c r="K102" s="43" t="b">
        <f t="shared" si="4"/>
        <v>0</v>
      </c>
      <c r="L102" s="21" t="str">
        <f>IFERROR(__xludf.DUMMYFUNCTION("if(regexmatch(B102,""e(.*)$""),regexextract(B102,""e(.*)$""),"""")"),"-3")</f>
        <v>-3</v>
      </c>
    </row>
    <row r="103">
      <c r="A103" s="34" t="s">
        <v>4285</v>
      </c>
      <c r="B103" s="34" t="s">
        <v>4286</v>
      </c>
      <c r="C103" s="34"/>
      <c r="D103" s="13" t="str">
        <f t="shared" si="1"/>
        <v/>
      </c>
      <c r="E103" s="42">
        <f>countif(Constants!F:F,F103)</f>
        <v>1</v>
      </c>
      <c r="F103" s="21" t="str">
        <f>ifna(VLOOKUP($A103,'v2002'!$A:$F,6,false),"")</f>
        <v>ElectronNeutronMagneticMomentRatio</v>
      </c>
      <c r="G103" s="21" t="str">
        <f>IFERROR(__xludf.DUMMYFUNCTION("REGEXREPLACE(substitute(substitute(B103,"" "",""""),""..."",""""),""\(.*\)"","""")"),"960.92050")</f>
        <v>960.92050</v>
      </c>
      <c r="H103" s="43">
        <f t="shared" si="2"/>
        <v>960.9205</v>
      </c>
      <c r="I103" s="21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43">
        <f t="shared" si="3"/>
        <v>0.0000023</v>
      </c>
      <c r="K103" s="43" t="b">
        <f t="shared" si="4"/>
        <v>0</v>
      </c>
      <c r="L103" s="21" t="str">
        <f>IFERROR(__xludf.DUMMYFUNCTION("if(regexmatch(B103,""e(.*)$""),regexextract(B103,""e(.*)$""),"""")"),"")</f>
        <v/>
      </c>
    </row>
    <row r="104">
      <c r="A104" s="34" t="s">
        <v>1033</v>
      </c>
      <c r="B104" s="34" t="s">
        <v>4815</v>
      </c>
      <c r="C104" s="34"/>
      <c r="D104" s="13" t="str">
        <f t="shared" si="1"/>
        <v/>
      </c>
      <c r="E104" s="42">
        <f>countif(Constants!F:F,F104)</f>
        <v>1</v>
      </c>
      <c r="F104" s="21" t="str">
        <f>ifna(VLOOKUP($A104,'v2002'!$A:$F,6,false),"")</f>
        <v>ElectronNeutronMassRatio</v>
      </c>
      <c r="G104" s="21" t="str">
        <f>IFERROR(__xludf.DUMMYFUNCTION("REGEXREPLACE(substitute(substitute(B104,"" "",""""),""..."",""""),""\(.*\)"","""")"),"5.438673462e-4")</f>
        <v>5.438673462e-4</v>
      </c>
      <c r="H104" s="43">
        <f t="shared" si="2"/>
        <v>0.0005438673462</v>
      </c>
      <c r="I104" s="21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43">
        <f t="shared" si="3"/>
        <v>0</v>
      </c>
      <c r="K104" s="43" t="b">
        <f t="shared" si="4"/>
        <v>0</v>
      </c>
      <c r="L104" s="21" t="str">
        <f>IFERROR(__xludf.DUMMYFUNCTION("if(regexmatch(B104,""e(.*)$""),regexextract(B104,""e(.*)$""),"""")"),"-4")</f>
        <v>-4</v>
      </c>
    </row>
    <row r="105">
      <c r="A105" s="34" t="s">
        <v>4288</v>
      </c>
      <c r="B105" s="34" t="s">
        <v>4816</v>
      </c>
      <c r="C105" s="34"/>
      <c r="D105" s="13" t="str">
        <f t="shared" si="1"/>
        <v/>
      </c>
      <c r="E105" s="42">
        <f>countif(Constants!F:F,F105)</f>
        <v>1</v>
      </c>
      <c r="F105" s="21" t="str">
        <f>ifna(VLOOKUP($A105,'v2002'!$A:$F,6,false),"")</f>
        <v>ElectronProtonMagneticMomentRatio</v>
      </c>
      <c r="G105" s="21" t="str">
        <f>IFERROR(__xludf.DUMMYFUNCTION("REGEXREPLACE(substitute(substitute(B105,"" "",""""),""..."",""""),""\(.*\)"","""")"),"-658.2106875")</f>
        <v>-658.2106875</v>
      </c>
      <c r="H105" s="43">
        <f t="shared" si="2"/>
        <v>-658.2106875</v>
      </c>
      <c r="I105" s="21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43">
        <f t="shared" si="3"/>
        <v>0.000000066</v>
      </c>
      <c r="K105" s="43" t="b">
        <f t="shared" si="4"/>
        <v>0</v>
      </c>
      <c r="L105" s="21" t="str">
        <f>IFERROR(__xludf.DUMMYFUNCTION("if(regexmatch(B105,""e(.*)$""),regexextract(B105,""e(.*)$""),"""")"),"")</f>
        <v/>
      </c>
    </row>
    <row r="106">
      <c r="A106" s="34" t="s">
        <v>1043</v>
      </c>
      <c r="B106" s="34" t="s">
        <v>4817</v>
      </c>
      <c r="C106" s="34"/>
      <c r="D106" s="13" t="str">
        <f t="shared" si="1"/>
        <v/>
      </c>
      <c r="E106" s="42">
        <f>countif(Constants!F:F,F106)</f>
        <v>1</v>
      </c>
      <c r="F106" s="21" t="str">
        <f>ifna(VLOOKUP($A106,'v2002'!$A:$F,6,false),"")</f>
        <v>ElectronProtonMassRatio</v>
      </c>
      <c r="G106" s="21" t="str">
        <f>IFERROR(__xludf.DUMMYFUNCTION("REGEXREPLACE(substitute(substitute(B106,"" "",""""),""..."",""""),""\(.*\)"","""")"),"5.446170232e-4")</f>
        <v>5.446170232e-4</v>
      </c>
      <c r="H106" s="43">
        <f t="shared" si="2"/>
        <v>0.0005446170232</v>
      </c>
      <c r="I106" s="21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43">
        <f t="shared" si="3"/>
        <v>0</v>
      </c>
      <c r="K106" s="43" t="b">
        <f t="shared" si="4"/>
        <v>0</v>
      </c>
      <c r="L106" s="21" t="str">
        <f>IFERROR(__xludf.DUMMYFUNCTION("if(regexmatch(B106,""e(.*)$""),regexextract(B106,""e(.*)$""),"""")"),"-4")</f>
        <v>-4</v>
      </c>
    </row>
    <row r="107">
      <c r="A107" s="34" t="s">
        <v>1051</v>
      </c>
      <c r="B107" s="34" t="s">
        <v>4818</v>
      </c>
      <c r="C107" s="34"/>
      <c r="D107" s="13" t="str">
        <f t="shared" si="1"/>
        <v/>
      </c>
      <c r="E107" s="42">
        <f>countif(Constants!F:F,F107)</f>
        <v>1</v>
      </c>
      <c r="F107" s="21" t="str">
        <f>ifna(VLOOKUP($A107,'v2002'!$A:$F,6,false),"")</f>
        <v>ElectronTauMassRatio</v>
      </c>
      <c r="G107" s="21" t="str">
        <f>IFERROR(__xludf.DUMMYFUNCTION("REGEXREPLACE(substitute(substitute(B107,"" "",""""),""..."",""""),""\(.*\)"","""")"),"2.87555e-4")</f>
        <v>2.87555e-4</v>
      </c>
      <c r="H107" s="43">
        <f t="shared" si="2"/>
        <v>0.000287555</v>
      </c>
      <c r="I107" s="21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43">
        <f t="shared" si="3"/>
        <v>0.00000000047</v>
      </c>
      <c r="K107" s="43" t="b">
        <f t="shared" si="4"/>
        <v>0</v>
      </c>
      <c r="L107" s="21" t="str">
        <f>IFERROR(__xludf.DUMMYFUNCTION("if(regexmatch(B107,""e(.*)$""),regexextract(B107,""e(.*)$""),"""")"),"-4")</f>
        <v>-4</v>
      </c>
    </row>
    <row r="108">
      <c r="A108" s="34" t="s">
        <v>3384</v>
      </c>
      <c r="B108" s="34" t="s">
        <v>4807</v>
      </c>
      <c r="C108" s="34" t="s">
        <v>4292</v>
      </c>
      <c r="D108" s="13" t="str">
        <f t="shared" si="1"/>
        <v>A J^-1</v>
      </c>
      <c r="E108" s="42">
        <f>countif(Constants!F:F,F108)</f>
        <v>1</v>
      </c>
      <c r="F108" s="21" t="str">
        <f>ifna(VLOOKUP($A108,'v2002'!$A:$F,6,false),"")</f>
        <v>ElementaryChargeOverH</v>
      </c>
      <c r="G108" s="21" t="str">
        <f>IFERROR(__xludf.DUMMYFUNCTION("REGEXREPLACE(substitute(substitute(B108,"" "",""""),""..."",""""),""\(.*\)"","""")"),"2.417989491e14")</f>
        <v>2.417989491e14</v>
      </c>
      <c r="H108" s="43">
        <f t="shared" si="2"/>
        <v>241798949100000</v>
      </c>
      <c r="I108" s="21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43">
        <f t="shared" si="3"/>
        <v>95000</v>
      </c>
      <c r="K108" s="43" t="b">
        <f t="shared" si="4"/>
        <v>0</v>
      </c>
      <c r="L108" s="21" t="str">
        <f>IFERROR(__xludf.DUMMYFUNCTION("if(regexmatch(B108,""e(.*)$""),regexextract(B108,""e(.*)$""),"""")"),"14")</f>
        <v>14</v>
      </c>
    </row>
    <row r="109">
      <c r="A109" s="34" t="s">
        <v>1129</v>
      </c>
      <c r="B109" s="34" t="s">
        <v>4819</v>
      </c>
      <c r="C109" s="34" t="s">
        <v>4294</v>
      </c>
      <c r="D109" s="13" t="str">
        <f t="shared" si="1"/>
        <v>C mol^-1</v>
      </c>
      <c r="E109" s="42">
        <f>countif(Constants!F:F,F109)</f>
        <v>1</v>
      </c>
      <c r="F109" s="21" t="str">
        <f>ifna(VLOOKUP($A109,'v2002'!$A:$F,6,false),"")</f>
        <v>FaradayConstant</v>
      </c>
      <c r="G109" s="21" t="str">
        <f>IFERROR(__xludf.DUMMYFUNCTION("REGEXREPLACE(substitute(substitute(B109,"" "",""""),""..."",""""),""\(.*\)"","""")"),"96485.3415")</f>
        <v>96485.3415</v>
      </c>
      <c r="H109" s="43">
        <f t="shared" si="2"/>
        <v>96485.3415</v>
      </c>
      <c r="I109" s="21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43">
        <f t="shared" si="3"/>
        <v>0.000039</v>
      </c>
      <c r="K109" s="43" t="b">
        <f t="shared" si="4"/>
        <v>0</v>
      </c>
      <c r="L109" s="21" t="str">
        <f>IFERROR(__xludf.DUMMYFUNCTION("if(regexmatch(B109,""e(.*)$""),regexextract(B109,""e(.*)$""),"""")"),"")</f>
        <v/>
      </c>
    </row>
    <row r="110">
      <c r="A110" s="34" t="s">
        <v>1135</v>
      </c>
      <c r="B110" s="34" t="s">
        <v>4820</v>
      </c>
      <c r="C110" s="34" t="s">
        <v>4296</v>
      </c>
      <c r="D110" s="13" t="str">
        <f t="shared" si="1"/>
        <v>C_90 mol^-1</v>
      </c>
      <c r="E110" s="42">
        <f>countif(Constants!F:F,F110)</f>
        <v>1</v>
      </c>
      <c r="F110" s="21" t="str">
        <f>ifna(VLOOKUP($A110,'v2002'!$A:$F,6,false),"")</f>
        <v>FaradayConstantConventionalElectricCurrent</v>
      </c>
      <c r="G110" s="21" t="str">
        <f>IFERROR(__xludf.DUMMYFUNCTION("REGEXREPLACE(substitute(substitute(B110,"" "",""""),""..."",""""),""\(.*\)"","""")"),"96485.3432")</f>
        <v>96485.3432</v>
      </c>
      <c r="H110" s="43">
        <f t="shared" si="2"/>
        <v>96485.3432</v>
      </c>
      <c r="I110" s="21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43">
        <f t="shared" si="3"/>
        <v>0.000076</v>
      </c>
      <c r="K110" s="43" t="b">
        <f t="shared" si="4"/>
        <v>0</v>
      </c>
      <c r="L110" s="21" t="str">
        <f>IFERROR(__xludf.DUMMYFUNCTION("if(regexmatch(B110,""e(.*)$""),regexextract(B110,""e(.*)$""),"""")"),"")</f>
        <v/>
      </c>
    </row>
    <row r="111">
      <c r="A111" s="34" t="s">
        <v>1140</v>
      </c>
      <c r="B111" s="34" t="s">
        <v>4596</v>
      </c>
      <c r="C111" s="34" t="s">
        <v>4298</v>
      </c>
      <c r="D111" s="13" t="str">
        <f t="shared" si="1"/>
        <v>GeV^-2</v>
      </c>
      <c r="E111" s="42">
        <f>countif(Constants!F:F,F111)</f>
        <v>1</v>
      </c>
      <c r="F111" s="21" t="str">
        <f>ifna(VLOOKUP($A111,'v2002'!$A:$F,6,false),"")</f>
        <v>FermiCouplingConstant</v>
      </c>
      <c r="G111" s="21" t="str">
        <f>IFERROR(__xludf.DUMMYFUNCTION("REGEXREPLACE(substitute(substitute(B111,"" "",""""),""..."",""""),""\(.*\)"","""")"),"1.16639e-5")</f>
        <v>1.16639e-5</v>
      </c>
      <c r="H111" s="43">
        <f t="shared" si="2"/>
        <v>0.0000116639</v>
      </c>
      <c r="I111" s="21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43">
        <f t="shared" si="3"/>
        <v>0</v>
      </c>
      <c r="K111" s="43" t="b">
        <f t="shared" si="4"/>
        <v>0</v>
      </c>
      <c r="L111" s="21" t="str">
        <f>IFERROR(__xludf.DUMMYFUNCTION("if(regexmatch(B111,""e(.*)$""),regexextract(B111,""e(.*)$""),"""")"),"-5")</f>
        <v>-5</v>
      </c>
    </row>
    <row r="112">
      <c r="A112" s="34" t="s">
        <v>1146</v>
      </c>
      <c r="B112" s="34" t="s">
        <v>4821</v>
      </c>
      <c r="C112" s="34"/>
      <c r="D112" s="13" t="str">
        <f t="shared" si="1"/>
        <v/>
      </c>
      <c r="E112" s="42">
        <f>countif(Constants!F:F,F112)</f>
        <v>1</v>
      </c>
      <c r="F112" s="21" t="str">
        <f>ifna(VLOOKUP($A112,'v2002'!$A:$F,6,false),"")</f>
        <v>FineStructureConstant</v>
      </c>
      <c r="G112" s="21" t="str">
        <f>IFERROR(__xludf.DUMMYFUNCTION("REGEXREPLACE(substitute(substitute(B112,"" "",""""),""..."",""""),""\(.*\)"","""")"),"7.297352533e-3")</f>
        <v>7.297352533e-3</v>
      </c>
      <c r="H112" s="43">
        <f t="shared" si="2"/>
        <v>0.007297352533</v>
      </c>
      <c r="I112" s="21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43">
        <f t="shared" si="3"/>
        <v>0</v>
      </c>
      <c r="K112" s="43" t="b">
        <f t="shared" si="4"/>
        <v>0</v>
      </c>
      <c r="L112" s="21" t="str">
        <f>IFERROR(__xludf.DUMMYFUNCTION("if(regexmatch(B112,""e(.*)$""),regexextract(B112,""e(.*)$""),"""")"),"-3")</f>
        <v>-3</v>
      </c>
    </row>
    <row r="113">
      <c r="A113" s="34" t="s">
        <v>1150</v>
      </c>
      <c r="B113" s="34" t="s">
        <v>4822</v>
      </c>
      <c r="C113" s="34" t="s">
        <v>4301</v>
      </c>
      <c r="D113" s="13" t="str">
        <f t="shared" si="1"/>
        <v>W m^2</v>
      </c>
      <c r="E113" s="42">
        <f>countif(Constants!F:F,F113)</f>
        <v>1</v>
      </c>
      <c r="F113" s="21" t="str">
        <f>ifna(VLOOKUP($A113,'v2002'!$A:$F,6,false),"")</f>
        <v>FirstRadiationConstant</v>
      </c>
      <c r="G113" s="21" t="str">
        <f>IFERROR(__xludf.DUMMYFUNCTION("REGEXREPLACE(substitute(substitute(B113,"" "",""""),""..."",""""),""\(.*\)"","""")"),"3.74177107e-16")</f>
        <v>3.74177107e-16</v>
      </c>
      <c r="H113" s="43">
        <f t="shared" si="2"/>
        <v>0</v>
      </c>
      <c r="I113" s="21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43">
        <f t="shared" si="3"/>
        <v>0</v>
      </c>
      <c r="K113" s="43" t="b">
        <f t="shared" si="4"/>
        <v>0</v>
      </c>
      <c r="L113" s="21" t="str">
        <f>IFERROR(__xludf.DUMMYFUNCTION("if(regexmatch(B113,""e(.*)$""),regexextract(B113,""e(.*)$""),"""")"),"-16")</f>
        <v>-16</v>
      </c>
    </row>
    <row r="114">
      <c r="A114" s="34" t="s">
        <v>1156</v>
      </c>
      <c r="B114" s="34" t="s">
        <v>4823</v>
      </c>
      <c r="C114" s="34" t="s">
        <v>4303</v>
      </c>
      <c r="D114" s="13" t="str">
        <f t="shared" si="1"/>
        <v>W m^2 sr^-1</v>
      </c>
      <c r="E114" s="42">
        <f>countif(Constants!F:F,F114)</f>
        <v>1</v>
      </c>
      <c r="F114" s="21" t="str">
        <f>ifna(VLOOKUP($A114,'v2002'!$A:$F,6,false),"")</f>
        <v>FirstRadiationConstantForSpectralRadiance</v>
      </c>
      <c r="G114" s="21" t="str">
        <f>IFERROR(__xludf.DUMMYFUNCTION("REGEXREPLACE(substitute(substitute(B114,"" "",""""),""..."",""""),""\(.*\)"","""")"),"1.191042722e-16")</f>
        <v>1.191042722e-16</v>
      </c>
      <c r="H114" s="43">
        <f t="shared" si="2"/>
        <v>0</v>
      </c>
      <c r="I114" s="21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43">
        <f t="shared" si="3"/>
        <v>0</v>
      </c>
      <c r="K114" s="43" t="b">
        <f t="shared" si="4"/>
        <v>0</v>
      </c>
      <c r="L114" s="21" t="str">
        <f>IFERROR(__xludf.DUMMYFUNCTION("if(regexmatch(B114,""e(.*)$""),regexextract(B114,""e(.*)$""),"""")"),"-16")</f>
        <v>-16</v>
      </c>
    </row>
    <row r="115">
      <c r="A115" s="34" t="s">
        <v>1177</v>
      </c>
      <c r="B115" s="34" t="s">
        <v>4752</v>
      </c>
      <c r="C115" s="34" t="s">
        <v>175</v>
      </c>
      <c r="D115" s="13" t="str">
        <f t="shared" si="1"/>
        <v>eV</v>
      </c>
      <c r="E115" s="42">
        <f>countif(Constants!F:F,F115)</f>
        <v>1</v>
      </c>
      <c r="F115" s="21" t="str">
        <f>ifna(VLOOKUP($A115,'v2002'!$A:$F,6,false),"")</f>
        <v>HartreeEnergyInEV</v>
      </c>
      <c r="G115" s="21" t="str">
        <f>IFERROR(__xludf.DUMMYFUNCTION("REGEXREPLACE(substitute(substitute(B115,"" "",""""),""..."",""""),""\(.*\)"","""")"),"27.2113834")</f>
        <v>27.2113834</v>
      </c>
      <c r="H115" s="43">
        <f t="shared" si="2"/>
        <v>27.2113834</v>
      </c>
      <c r="I115" s="21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43">
        <f t="shared" si="3"/>
        <v>0.000000011</v>
      </c>
      <c r="K115" s="43" t="b">
        <f t="shared" si="4"/>
        <v>0</v>
      </c>
      <c r="L115" s="21" t="str">
        <f>IFERROR(__xludf.DUMMYFUNCTION("if(regexmatch(B115,""e(.*)$""),regexextract(B115,""e(.*)$""),"""")"),"")</f>
        <v/>
      </c>
    </row>
    <row r="116">
      <c r="A116" s="34" t="s">
        <v>4304</v>
      </c>
      <c r="B116" s="34" t="s">
        <v>4754</v>
      </c>
      <c r="C116" s="34" t="s">
        <v>543</v>
      </c>
      <c r="D116" s="13" t="str">
        <f t="shared" si="1"/>
        <v>J</v>
      </c>
      <c r="E116" s="42">
        <f>countif(Constants!F:F,F116)</f>
        <v>1</v>
      </c>
      <c r="F116" s="21" t="str">
        <f>ifna(VLOOKUP($A116,'v2002'!$A:$F,6,false),"")</f>
        <v>HartreeEnergy</v>
      </c>
      <c r="G116" s="21" t="str">
        <f>IFERROR(__xludf.DUMMYFUNCTION("REGEXREPLACE(substitute(substitute(B116,"" "",""""),""..."",""""),""\(.*\)"","""")"),"4.35974381e-18")</f>
        <v>4.35974381e-18</v>
      </c>
      <c r="H116" s="43">
        <f t="shared" si="2"/>
        <v>0</v>
      </c>
      <c r="I116" s="21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43">
        <f t="shared" si="3"/>
        <v>0</v>
      </c>
      <c r="K116" s="43" t="b">
        <f t="shared" si="4"/>
        <v>0</v>
      </c>
      <c r="L116" s="21" t="str">
        <f>IFERROR(__xludf.DUMMYFUNCTION("if(regexmatch(B116,""e(.*)$""),regexextract(B116,""e(.*)$""),"""")"),"-18")</f>
        <v>-18</v>
      </c>
    </row>
    <row r="117">
      <c r="A117" s="34" t="s">
        <v>1162</v>
      </c>
      <c r="B117" s="34" t="s">
        <v>4824</v>
      </c>
      <c r="C117" s="34" t="s">
        <v>553</v>
      </c>
      <c r="D117" s="13" t="str">
        <f t="shared" si="1"/>
        <v>u</v>
      </c>
      <c r="E117" s="42">
        <f>countif(Constants!F:F,F117)</f>
        <v>1</v>
      </c>
      <c r="F117" s="21" t="str">
        <f>ifna(VLOOKUP($A117,'v2002'!$A:$F,6,false),"")</f>
        <v>HartreeAtomicMassUnitRelationship</v>
      </c>
      <c r="G117" s="21" t="str">
        <f>IFERROR(__xludf.DUMMYFUNCTION("REGEXREPLACE(substitute(substitute(B117,"" "",""""),""..."",""""),""\(.*\)"","""")"),"2.921262304e-8")</f>
        <v>2.921262304e-8</v>
      </c>
      <c r="H117" s="43">
        <f t="shared" si="2"/>
        <v>0.00000002921262304</v>
      </c>
      <c r="I117" s="21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43">
        <f t="shared" si="3"/>
        <v>0</v>
      </c>
      <c r="K117" s="43" t="b">
        <f t="shared" si="4"/>
        <v>0</v>
      </c>
      <c r="L117" s="21" t="str">
        <f>IFERROR(__xludf.DUMMYFUNCTION("if(regexmatch(B117,""e(.*)$""),regexextract(B117,""e(.*)$""),"""")"),"-8")</f>
        <v>-8</v>
      </c>
    </row>
    <row r="118">
      <c r="A118" s="34" t="s">
        <v>1168</v>
      </c>
      <c r="B118" s="34" t="s">
        <v>4752</v>
      </c>
      <c r="C118" s="34" t="s">
        <v>175</v>
      </c>
      <c r="D118" s="13" t="str">
        <f t="shared" si="1"/>
        <v>eV</v>
      </c>
      <c r="E118" s="42">
        <f>countif(Constants!F:F,F118)</f>
        <v>1</v>
      </c>
      <c r="F118" s="21" t="str">
        <f>ifna(VLOOKUP($A118,'v2002'!$A:$F,6,false),"")</f>
        <v>HartreeElectronVoltRelationship</v>
      </c>
      <c r="G118" s="21" t="str">
        <f>IFERROR(__xludf.DUMMYFUNCTION("REGEXREPLACE(substitute(substitute(B118,"" "",""""),""..."",""""),""\(.*\)"","""")"),"27.2113834")</f>
        <v>27.2113834</v>
      </c>
      <c r="H118" s="43">
        <f t="shared" si="2"/>
        <v>27.2113834</v>
      </c>
      <c r="I118" s="21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43">
        <f t="shared" si="3"/>
        <v>0.000000011</v>
      </c>
      <c r="K118" s="43" t="b">
        <f t="shared" si="4"/>
        <v>0</v>
      </c>
      <c r="L118" s="21" t="str">
        <f>IFERROR(__xludf.DUMMYFUNCTION("if(regexmatch(B118,""e(.*)$""),regexextract(B118,""e(.*)$""),"""")"),"")</f>
        <v/>
      </c>
    </row>
    <row r="119">
      <c r="A119" s="34" t="s">
        <v>1180</v>
      </c>
      <c r="B119" s="34" t="s">
        <v>4825</v>
      </c>
      <c r="C119" s="34" t="s">
        <v>600</v>
      </c>
      <c r="D119" s="13" t="str">
        <f t="shared" si="1"/>
        <v>Hz</v>
      </c>
      <c r="E119" s="42">
        <f>countif(Constants!F:F,F119)</f>
        <v>1</v>
      </c>
      <c r="F119" s="21" t="str">
        <f>ifna(VLOOKUP($A119,'v2002'!$A:$F,6,false),"")</f>
        <v>HartreeHertzRelationship</v>
      </c>
      <c r="G119" s="21" t="str">
        <f>IFERROR(__xludf.DUMMYFUNCTION("REGEXREPLACE(substitute(substitute(B119,"" "",""""),""..."",""""),""\(.*\)"","""")"),"6.579683920735e15")</f>
        <v>6.579683920735e15</v>
      </c>
      <c r="H119" s="43">
        <f t="shared" si="2"/>
        <v>6.57968E+15</v>
      </c>
      <c r="I119" s="21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43">
        <f t="shared" si="3"/>
        <v>500</v>
      </c>
      <c r="K119" s="43" t="b">
        <f t="shared" si="4"/>
        <v>0</v>
      </c>
      <c r="L119" s="21" t="str">
        <f>IFERROR(__xludf.DUMMYFUNCTION("if(regexmatch(B119,""e(.*)$""),regexextract(B119,""e(.*)$""),"""")"),"15")</f>
        <v>15</v>
      </c>
    </row>
    <row r="120">
      <c r="A120" s="34" t="s">
        <v>1185</v>
      </c>
      <c r="B120" s="34" t="s">
        <v>4826</v>
      </c>
      <c r="C120" s="34" t="s">
        <v>4174</v>
      </c>
      <c r="D120" s="13" t="str">
        <f t="shared" si="1"/>
        <v>m^-1</v>
      </c>
      <c r="E120" s="42">
        <f>countif(Constants!F:F,F120)</f>
        <v>1</v>
      </c>
      <c r="F120" s="21" t="str">
        <f>ifna(VLOOKUP($A120,'v2002'!$A:$F,6,false),"")</f>
        <v>HartreeInverseMeterRelationship</v>
      </c>
      <c r="G120" s="21" t="str">
        <f>IFERROR(__xludf.DUMMYFUNCTION("REGEXREPLACE(substitute(substitute(B120,"" "",""""),""..."",""""),""\(.*\)"","""")"),"2.194746313710e7")</f>
        <v>2.194746313710e7</v>
      </c>
      <c r="H120" s="43">
        <f t="shared" si="2"/>
        <v>21947463.14</v>
      </c>
      <c r="I120" s="21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43">
        <f t="shared" si="3"/>
        <v>0.0000017</v>
      </c>
      <c r="K120" s="43" t="b">
        <f t="shared" si="4"/>
        <v>0</v>
      </c>
      <c r="L120" s="21" t="str">
        <f>IFERROR(__xludf.DUMMYFUNCTION("if(regexmatch(B120,""e(.*)$""),regexextract(B120,""e(.*)$""),"""")"),"7")</f>
        <v>7</v>
      </c>
    </row>
    <row r="121">
      <c r="A121" s="34" t="s">
        <v>1190</v>
      </c>
      <c r="B121" s="34" t="s">
        <v>4754</v>
      </c>
      <c r="C121" s="34" t="s">
        <v>543</v>
      </c>
      <c r="D121" s="13" t="str">
        <f t="shared" si="1"/>
        <v>J</v>
      </c>
      <c r="E121" s="42">
        <f>countif(Constants!F:F,F121)</f>
        <v>1</v>
      </c>
      <c r="F121" s="21" t="str">
        <f>ifna(VLOOKUP($A121,'v2002'!$A:$F,6,false),"")</f>
        <v>HartreeJouleRelationship</v>
      </c>
      <c r="G121" s="21" t="str">
        <f>IFERROR(__xludf.DUMMYFUNCTION("REGEXREPLACE(substitute(substitute(B121,"" "",""""),""..."",""""),""\(.*\)"","""")"),"4.35974381e-18")</f>
        <v>4.35974381e-18</v>
      </c>
      <c r="H121" s="43">
        <f t="shared" si="2"/>
        <v>0</v>
      </c>
      <c r="I121" s="21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43">
        <f t="shared" si="3"/>
        <v>0</v>
      </c>
      <c r="K121" s="43" t="b">
        <f t="shared" si="4"/>
        <v>0</v>
      </c>
      <c r="L121" s="21" t="str">
        <f>IFERROR(__xludf.DUMMYFUNCTION("if(regexmatch(B121,""e(.*)$""),regexextract(B121,""e(.*)$""),"""")"),"-18")</f>
        <v>-18</v>
      </c>
    </row>
    <row r="122">
      <c r="A122" s="34" t="s">
        <v>1195</v>
      </c>
      <c r="B122" s="34" t="s">
        <v>4308</v>
      </c>
      <c r="C122" s="34" t="s">
        <v>618</v>
      </c>
      <c r="D122" s="13" t="str">
        <f t="shared" si="1"/>
        <v>K</v>
      </c>
      <c r="E122" s="42">
        <f>countif(Constants!F:F,F122)</f>
        <v>1</v>
      </c>
      <c r="F122" s="21" t="str">
        <f>ifna(VLOOKUP($A122,'v2002'!$A:$F,6,false),"")</f>
        <v>HartreeKelvinRelationship</v>
      </c>
      <c r="G122" s="21" t="str">
        <f>IFERROR(__xludf.DUMMYFUNCTION("REGEXREPLACE(substitute(substitute(B122,"" "",""""),""..."",""""),""\(.*\)"","""")"),"3.1577465e5")</f>
        <v>3.1577465e5</v>
      </c>
      <c r="H122" s="43">
        <f t="shared" si="2"/>
        <v>315774.65</v>
      </c>
      <c r="I122" s="21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43">
        <f t="shared" si="3"/>
        <v>0.0055</v>
      </c>
      <c r="K122" s="43" t="b">
        <f t="shared" si="4"/>
        <v>0</v>
      </c>
      <c r="L122" s="21" t="str">
        <f>IFERROR(__xludf.DUMMYFUNCTION("if(regexmatch(B122,""e(.*)$""),regexextract(B122,""e(.*)$""),"""")"),"5")</f>
        <v>5</v>
      </c>
    </row>
    <row r="123">
      <c r="A123" s="34" t="s">
        <v>1200</v>
      </c>
      <c r="B123" s="34" t="s">
        <v>4827</v>
      </c>
      <c r="C123" s="34" t="s">
        <v>538</v>
      </c>
      <c r="D123" s="13" t="str">
        <f t="shared" si="1"/>
        <v>kg</v>
      </c>
      <c r="E123" s="42">
        <f>countif(Constants!F:F,F123)</f>
        <v>1</v>
      </c>
      <c r="F123" s="21" t="str">
        <f>ifna(VLOOKUP($A123,'v2002'!$A:$F,6,false),"")</f>
        <v>HartreeKilogramRelationship</v>
      </c>
      <c r="G123" s="21" t="str">
        <f>IFERROR(__xludf.DUMMYFUNCTION("REGEXREPLACE(substitute(substitute(B123,"" "",""""),""..."",""""),""\(.*\)"","""")"),"4.85086919e-35")</f>
        <v>4.85086919e-35</v>
      </c>
      <c r="H123" s="43">
        <f t="shared" si="2"/>
        <v>0</v>
      </c>
      <c r="I123" s="21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43">
        <f t="shared" si="3"/>
        <v>0</v>
      </c>
      <c r="K123" s="43" t="b">
        <f t="shared" si="4"/>
        <v>0</v>
      </c>
      <c r="L123" s="21" t="str">
        <f>IFERROR(__xludf.DUMMYFUNCTION("if(regexmatch(B123,""e(.*)$""),regexextract(B123,""e(.*)$""),"""")"),"-35")</f>
        <v>-35</v>
      </c>
    </row>
    <row r="124">
      <c r="A124" s="34" t="s">
        <v>1223</v>
      </c>
      <c r="B124" s="34" t="s">
        <v>4828</v>
      </c>
      <c r="C124" s="34" t="s">
        <v>538</v>
      </c>
      <c r="D124" s="13" t="str">
        <f t="shared" si="1"/>
        <v>kg</v>
      </c>
      <c r="E124" s="42">
        <f>countif(Constants!F:F,F124)</f>
        <v>1</v>
      </c>
      <c r="F124" s="21" t="str">
        <f>ifna(VLOOKUP($A124,'v2002'!$A:$F,6,false),"")</f>
        <v>HelionMass</v>
      </c>
      <c r="G124" s="21" t="str">
        <f>IFERROR(__xludf.DUMMYFUNCTION("REGEXREPLACE(substitute(substitute(B124,"" "",""""),""..."",""""),""\(.*\)"","""")"),"5.00641174e-27")</f>
        <v>5.00641174e-27</v>
      </c>
      <c r="H124" s="43">
        <f t="shared" si="2"/>
        <v>0</v>
      </c>
      <c r="I124" s="21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43">
        <f t="shared" si="3"/>
        <v>0</v>
      </c>
      <c r="K124" s="43" t="b">
        <f t="shared" si="4"/>
        <v>0</v>
      </c>
      <c r="L124" s="21" t="str">
        <f>IFERROR(__xludf.DUMMYFUNCTION("if(regexmatch(B124,""e(.*)$""),regexextract(B124,""e(.*)$""),"""")"),"-27")</f>
        <v>-27</v>
      </c>
    </row>
    <row r="125">
      <c r="A125" s="34" t="s">
        <v>1227</v>
      </c>
      <c r="B125" s="34" t="s">
        <v>4829</v>
      </c>
      <c r="C125" s="34" t="s">
        <v>543</v>
      </c>
      <c r="D125" s="13" t="str">
        <f t="shared" si="1"/>
        <v>J</v>
      </c>
      <c r="E125" s="42">
        <f>countif(Constants!F:F,F125)</f>
        <v>1</v>
      </c>
      <c r="F125" s="21" t="str">
        <f>ifna(VLOOKUP($A125,'v2002'!$A:$F,6,false),"")</f>
        <v>HelionMassEnergyEquivalent</v>
      </c>
      <c r="G125" s="21" t="str">
        <f>IFERROR(__xludf.DUMMYFUNCTION("REGEXREPLACE(substitute(substitute(B125,"" "",""""),""..."",""""),""\(.*\)"","""")"),"4.49953848e-10")</f>
        <v>4.49953848e-10</v>
      </c>
      <c r="H125" s="43">
        <f t="shared" si="2"/>
        <v>0.000000000449953848</v>
      </c>
      <c r="I125" s="21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43">
        <f t="shared" si="3"/>
        <v>0</v>
      </c>
      <c r="K125" s="43" t="b">
        <f t="shared" si="4"/>
        <v>0</v>
      </c>
      <c r="L125" s="21" t="str">
        <f>IFERROR(__xludf.DUMMYFUNCTION("if(regexmatch(B125,""e(.*)$""),regexextract(B125,""e(.*)$""),"""")"),"-10")</f>
        <v>-10</v>
      </c>
    </row>
    <row r="126">
      <c r="A126" s="34" t="s">
        <v>1231</v>
      </c>
      <c r="B126" s="34" t="s">
        <v>4830</v>
      </c>
      <c r="C126" s="34" t="s">
        <v>548</v>
      </c>
      <c r="D126" s="13" t="str">
        <f t="shared" si="1"/>
        <v>MeV</v>
      </c>
      <c r="E126" s="42">
        <f>countif(Constants!F:F,F126)</f>
        <v>1</v>
      </c>
      <c r="F126" s="21" t="str">
        <f>ifna(VLOOKUP($A126,'v2002'!$A:$F,6,false),"")</f>
        <v>HelionMassEnergyEquivalentInMeV</v>
      </c>
      <c r="G126" s="21" t="str">
        <f>IFERROR(__xludf.DUMMYFUNCTION("REGEXREPLACE(substitute(substitute(B126,"" "",""""),""..."",""""),""\(.*\)"","""")"),"2808.39132")</f>
        <v>2808.39132</v>
      </c>
      <c r="H126" s="43">
        <f t="shared" si="2"/>
        <v>2808.39132</v>
      </c>
      <c r="I126" s="21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43">
        <f t="shared" si="3"/>
        <v>0.0000011</v>
      </c>
      <c r="K126" s="43" t="b">
        <f t="shared" si="4"/>
        <v>0</v>
      </c>
      <c r="L126" s="21" t="str">
        <f>IFERROR(__xludf.DUMMYFUNCTION("if(regexmatch(B126,""e(.*)$""),regexextract(B126,""e(.*)$""),"""")"),"")</f>
        <v/>
      </c>
    </row>
    <row r="127">
      <c r="A127" s="34" t="s">
        <v>1234</v>
      </c>
      <c r="B127" s="34" t="s">
        <v>4831</v>
      </c>
      <c r="C127" s="34" t="s">
        <v>553</v>
      </c>
      <c r="D127" s="13" t="str">
        <f t="shared" si="1"/>
        <v>u</v>
      </c>
      <c r="E127" s="42">
        <f>countif(Constants!F:F,F127)</f>
        <v>1</v>
      </c>
      <c r="F127" s="21" t="str">
        <f>ifna(VLOOKUP($A127,'v2002'!$A:$F,6,false),"")</f>
        <v>HelionMassInAtomicMassUnit</v>
      </c>
      <c r="G127" s="21" t="str">
        <f>IFERROR(__xludf.DUMMYFUNCTION("REGEXREPLACE(substitute(substitute(B127,"" "",""""),""..."",""""),""\(.*\)"","""")"),"3.01493223469")</f>
        <v>3.01493223469</v>
      </c>
      <c r="H127" s="43">
        <f t="shared" si="2"/>
        <v>3.014932235</v>
      </c>
      <c r="I127" s="21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43">
        <f t="shared" si="3"/>
        <v>0</v>
      </c>
      <c r="K127" s="43" t="b">
        <f t="shared" si="4"/>
        <v>0</v>
      </c>
      <c r="L127" s="21" t="str">
        <f>IFERROR(__xludf.DUMMYFUNCTION("if(regexmatch(B127,""e(.*)$""),regexextract(B127,""e(.*)$""),"""")"),"")</f>
        <v/>
      </c>
    </row>
    <row r="128">
      <c r="A128" s="34" t="s">
        <v>1237</v>
      </c>
      <c r="B128" s="34" t="s">
        <v>4832</v>
      </c>
      <c r="C128" s="34" t="s">
        <v>4163</v>
      </c>
      <c r="D128" s="13" t="str">
        <f t="shared" si="1"/>
        <v>kg mol^-1</v>
      </c>
      <c r="E128" s="42">
        <f>countif(Constants!F:F,F128)</f>
        <v>1</v>
      </c>
      <c r="F128" s="21" t="str">
        <f>ifna(VLOOKUP($A128,'v2002'!$A:$F,6,false),"")</f>
        <v>HelionMolarMass</v>
      </c>
      <c r="G128" s="21" t="str">
        <f>IFERROR(__xludf.DUMMYFUNCTION("REGEXREPLACE(substitute(substitute(B128,"" "",""""),""..."",""""),""\(.*\)"","""")"),"3.01493223469e-3")</f>
        <v>3.01493223469e-3</v>
      </c>
      <c r="H128" s="43">
        <f t="shared" si="2"/>
        <v>0.003014932235</v>
      </c>
      <c r="I128" s="21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43">
        <f t="shared" si="3"/>
        <v>0</v>
      </c>
      <c r="K128" s="43" t="b">
        <f t="shared" si="4"/>
        <v>0</v>
      </c>
      <c r="L128" s="21" t="str">
        <f>IFERROR(__xludf.DUMMYFUNCTION("if(regexmatch(B128,""e(.*)$""),regexextract(B128,""e(.*)$""),"""")"),"-3")</f>
        <v>-3</v>
      </c>
    </row>
    <row r="129">
      <c r="A129" s="34" t="s">
        <v>1205</v>
      </c>
      <c r="B129" s="34" t="s">
        <v>4833</v>
      </c>
      <c r="C129" s="34"/>
      <c r="D129" s="13" t="str">
        <f t="shared" si="1"/>
        <v/>
      </c>
      <c r="E129" s="42">
        <f>countif(Constants!F:F,F129)</f>
        <v>1</v>
      </c>
      <c r="F129" s="21" t="str">
        <f>ifna(VLOOKUP($A129,'v2002'!$A:$F,6,false),"")</f>
        <v>HelionElectronMassRatio</v>
      </c>
      <c r="G129" s="21" t="str">
        <f>IFERROR(__xludf.DUMMYFUNCTION("REGEXREPLACE(substitute(substitute(B129,"" "",""""),""..."",""""),""\(.*\)"","""")"),"5495.885238")</f>
        <v>5495.885238</v>
      </c>
      <c r="H129" s="43">
        <f t="shared" si="2"/>
        <v>5495.885238</v>
      </c>
      <c r="I129" s="21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43">
        <f t="shared" si="3"/>
        <v>0.00000012</v>
      </c>
      <c r="K129" s="43" t="b">
        <f t="shared" si="4"/>
        <v>0</v>
      </c>
      <c r="L129" s="21" t="str">
        <f>IFERROR(__xludf.DUMMYFUNCTION("if(regexmatch(B129,""e(.*)$""),regexextract(B129,""e(.*)$""),"""")"),"")</f>
        <v/>
      </c>
    </row>
    <row r="130">
      <c r="A130" s="34" t="s">
        <v>1241</v>
      </c>
      <c r="B130" s="34" t="s">
        <v>4834</v>
      </c>
      <c r="C130" s="34"/>
      <c r="D130" s="13" t="str">
        <f t="shared" si="1"/>
        <v/>
      </c>
      <c r="E130" s="42">
        <f>countif(Constants!F:F,F130)</f>
        <v>1</v>
      </c>
      <c r="F130" s="21" t="str">
        <f>ifna(VLOOKUP($A130,'v2002'!$A:$F,6,false),"")</f>
        <v>HelionProtonMassRatio</v>
      </c>
      <c r="G130" s="21" t="str">
        <f>IFERROR(__xludf.DUMMYFUNCTION("REGEXREPLACE(substitute(substitute(B130,"" "",""""),""..."",""""),""\(.*\)"","""")"),"2.99315265850")</f>
        <v>2.99315265850</v>
      </c>
      <c r="H130" s="43">
        <f t="shared" si="2"/>
        <v>2.993152659</v>
      </c>
      <c r="I130" s="21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43">
        <f t="shared" si="3"/>
        <v>0</v>
      </c>
      <c r="K130" s="43" t="b">
        <f t="shared" si="4"/>
        <v>0</v>
      </c>
      <c r="L130" s="21" t="str">
        <f>IFERROR(__xludf.DUMMYFUNCTION("if(regexmatch(B130,""e(.*)$""),regexextract(B130,""e(.*)$""),"""")"),"")</f>
        <v/>
      </c>
    </row>
    <row r="131">
      <c r="A131" s="34" t="s">
        <v>1251</v>
      </c>
      <c r="B131" s="34" t="s">
        <v>4835</v>
      </c>
      <c r="C131" s="34" t="s">
        <v>553</v>
      </c>
      <c r="D131" s="13" t="str">
        <f t="shared" si="1"/>
        <v>u</v>
      </c>
      <c r="E131" s="42">
        <f>countif(Constants!F:F,F131)</f>
        <v>1</v>
      </c>
      <c r="F131" s="21" t="str">
        <f>ifna(VLOOKUP($A131,'v2002'!$A:$F,6,false),"")</f>
        <v>HertzAtomicMassUnitRelationship</v>
      </c>
      <c r="G131" s="21" t="str">
        <f>IFERROR(__xludf.DUMMYFUNCTION("REGEXREPLACE(substitute(substitute(B131,"" "",""""),""..."",""""),""\(.*\)"","""")"),"4.439821637e-24")</f>
        <v>4.439821637e-24</v>
      </c>
      <c r="H131" s="43">
        <f t="shared" si="2"/>
        <v>0</v>
      </c>
      <c r="I131" s="21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43">
        <f t="shared" si="3"/>
        <v>0</v>
      </c>
      <c r="K131" s="43" t="b">
        <f t="shared" si="4"/>
        <v>0</v>
      </c>
      <c r="L131" s="21" t="str">
        <f>IFERROR(__xludf.DUMMYFUNCTION("if(regexmatch(B131,""e(.*)$""),regexextract(B131,""e(.*)$""),"""")"),"-24")</f>
        <v>-24</v>
      </c>
    </row>
    <row r="132">
      <c r="A132" s="34" t="s">
        <v>1257</v>
      </c>
      <c r="B132" s="34" t="s">
        <v>4836</v>
      </c>
      <c r="C132" s="34" t="s">
        <v>175</v>
      </c>
      <c r="D132" s="13" t="str">
        <f t="shared" si="1"/>
        <v>eV</v>
      </c>
      <c r="E132" s="42">
        <f>countif(Constants!F:F,F132)</f>
        <v>1</v>
      </c>
      <c r="F132" s="21" t="str">
        <f>ifna(VLOOKUP($A132,'v2002'!$A:$F,6,false),"")</f>
        <v>HertzElectronVoltRelationship</v>
      </c>
      <c r="G132" s="21" t="str">
        <f>IFERROR(__xludf.DUMMYFUNCTION("REGEXREPLACE(substitute(substitute(B132,"" "",""""),""..."",""""),""\(.*\)"","""")"),"4.13566727e-15")</f>
        <v>4.13566727e-15</v>
      </c>
      <c r="H132" s="43">
        <f t="shared" si="2"/>
        <v>0</v>
      </c>
      <c r="I132" s="21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43">
        <f t="shared" si="3"/>
        <v>0</v>
      </c>
      <c r="K132" s="43" t="b">
        <f t="shared" si="4"/>
        <v>0</v>
      </c>
      <c r="L132" s="21" t="str">
        <f>IFERROR(__xludf.DUMMYFUNCTION("if(regexmatch(B132,""e(.*)$""),regexextract(B132,""e(.*)$""),"""")"),"-15")</f>
        <v>-15</v>
      </c>
    </row>
    <row r="133">
      <c r="A133" s="34" t="s">
        <v>1262</v>
      </c>
      <c r="B133" s="34" t="s">
        <v>4837</v>
      </c>
      <c r="C133" s="34" t="s">
        <v>593</v>
      </c>
      <c r="D133" s="13" t="str">
        <f t="shared" si="1"/>
        <v>E_h</v>
      </c>
      <c r="E133" s="42">
        <f>countif(Constants!F:F,F133)</f>
        <v>1</v>
      </c>
      <c r="F133" s="21" t="str">
        <f>ifna(VLOOKUP($A133,'v2002'!$A:$F,6,false),"")</f>
        <v>HertzHartreeRelationship</v>
      </c>
      <c r="G133" s="21" t="str">
        <f>IFERROR(__xludf.DUMMYFUNCTION("REGEXREPLACE(substitute(substitute(B133,"" "",""""),""..."",""""),""\(.*\)"","""")"),"1.519829846003e-16")</f>
        <v>1.519829846003e-16</v>
      </c>
      <c r="H133" s="43">
        <f t="shared" si="2"/>
        <v>0</v>
      </c>
      <c r="I133" s="21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43">
        <f t="shared" si="3"/>
        <v>0</v>
      </c>
      <c r="K133" s="43" t="b">
        <f t="shared" si="4"/>
        <v>0</v>
      </c>
      <c r="L133" s="21" t="str">
        <f>IFERROR(__xludf.DUMMYFUNCTION("if(regexmatch(B133,""e(.*)$""),regexextract(B133,""e(.*)$""),"""")"),"-16")</f>
        <v>-16</v>
      </c>
    </row>
    <row r="134">
      <c r="A134" s="34" t="s">
        <v>1267</v>
      </c>
      <c r="B134" s="34" t="s">
        <v>4838</v>
      </c>
      <c r="C134" s="34" t="s">
        <v>4174</v>
      </c>
      <c r="D134" s="13" t="str">
        <f t="shared" si="1"/>
        <v>m^-1</v>
      </c>
      <c r="E134" s="42">
        <f>countif(Constants!F:F,F134)</f>
        <v>1</v>
      </c>
      <c r="F134" s="21" t="str">
        <f>ifna(VLOOKUP($A134,'v2002'!$A:$F,6,false),"")</f>
        <v>HertzInverseMeterRelationship</v>
      </c>
      <c r="G134" s="21" t="str">
        <f>IFERROR(__xludf.DUMMYFUNCTION("REGEXREPLACE(substitute(substitute(B134,"" "",""""),""..."",""""),""\(.*\)"","""")"),"3.335640952e-9")</f>
        <v>3.335640952e-9</v>
      </c>
      <c r="H134" s="43">
        <f t="shared" si="2"/>
        <v>0.000000003335640952</v>
      </c>
      <c r="I134" s="21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43" t="str">
        <f t="shared" si="3"/>
        <v/>
      </c>
      <c r="K134" s="43" t="b">
        <f t="shared" si="4"/>
        <v>0</v>
      </c>
      <c r="L134" s="21" t="str">
        <f>IFERROR(__xludf.DUMMYFUNCTION("if(regexmatch(B134,""e(.*)$""),regexextract(B134,""e(.*)$""),"""")"),"-9")</f>
        <v>-9</v>
      </c>
    </row>
    <row r="135">
      <c r="A135" s="34" t="s">
        <v>1272</v>
      </c>
      <c r="B135" s="34" t="s">
        <v>4839</v>
      </c>
      <c r="C135" s="34" t="s">
        <v>543</v>
      </c>
      <c r="D135" s="13" t="str">
        <f t="shared" si="1"/>
        <v>J</v>
      </c>
      <c r="E135" s="42">
        <f>countif(Constants!F:F,F135)</f>
        <v>1</v>
      </c>
      <c r="F135" s="21" t="str">
        <f>ifna(VLOOKUP($A135,'v2002'!$A:$F,6,false),"")</f>
        <v>HertzJouleRelationship</v>
      </c>
      <c r="G135" s="21" t="str">
        <f>IFERROR(__xludf.DUMMYFUNCTION("REGEXREPLACE(substitute(substitute(B135,"" "",""""),""..."",""""),""\(.*\)"","""")"),"6.62606876e-34")</f>
        <v>6.62606876e-34</v>
      </c>
      <c r="H135" s="43">
        <f t="shared" si="2"/>
        <v>0</v>
      </c>
      <c r="I135" s="21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43">
        <f t="shared" si="3"/>
        <v>0</v>
      </c>
      <c r="K135" s="43" t="b">
        <f t="shared" si="4"/>
        <v>0</v>
      </c>
      <c r="L135" s="21" t="str">
        <f>IFERROR(__xludf.DUMMYFUNCTION("if(regexmatch(B135,""e(.*)$""),regexextract(B135,""e(.*)$""),"""")"),"-34")</f>
        <v>-34</v>
      </c>
    </row>
    <row r="136">
      <c r="A136" s="34" t="s">
        <v>1277</v>
      </c>
      <c r="B136" s="34" t="s">
        <v>4322</v>
      </c>
      <c r="C136" s="34" t="s">
        <v>618</v>
      </c>
      <c r="D136" s="13" t="str">
        <f t="shared" si="1"/>
        <v>K</v>
      </c>
      <c r="E136" s="42">
        <f>countif(Constants!F:F,F136)</f>
        <v>1</v>
      </c>
      <c r="F136" s="21" t="str">
        <f>ifna(VLOOKUP($A136,'v2002'!$A:$F,6,false),"")</f>
        <v>HertzKelvinRelationship</v>
      </c>
      <c r="G136" s="21" t="str">
        <f>IFERROR(__xludf.DUMMYFUNCTION("REGEXREPLACE(substitute(substitute(B136,"" "",""""),""..."",""""),""\(.*\)"","""")"),"4.7992374e-11")</f>
        <v>4.7992374e-11</v>
      </c>
      <c r="H136" s="43">
        <f t="shared" si="2"/>
        <v>0</v>
      </c>
      <c r="I136" s="21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43">
        <f t="shared" si="3"/>
        <v>0</v>
      </c>
      <c r="K136" s="43" t="b">
        <f t="shared" si="4"/>
        <v>0</v>
      </c>
      <c r="L136" s="21" t="str">
        <f>IFERROR(__xludf.DUMMYFUNCTION("if(regexmatch(B136,""e(.*)$""),regexextract(B136,""e(.*)$""),"""")"),"-11")</f>
        <v>-11</v>
      </c>
    </row>
    <row r="137">
      <c r="A137" s="34" t="s">
        <v>1282</v>
      </c>
      <c r="B137" s="34" t="s">
        <v>4840</v>
      </c>
      <c r="C137" s="34" t="s">
        <v>538</v>
      </c>
      <c r="D137" s="13" t="str">
        <f t="shared" si="1"/>
        <v>kg</v>
      </c>
      <c r="E137" s="42">
        <f>countif(Constants!F:F,F137)</f>
        <v>1</v>
      </c>
      <c r="F137" s="21" t="str">
        <f>ifna(VLOOKUP($A137,'v2002'!$A:$F,6,false),"")</f>
        <v>HertzKilogramRelationship</v>
      </c>
      <c r="G137" s="21" t="str">
        <f>IFERROR(__xludf.DUMMYFUNCTION("REGEXREPLACE(substitute(substitute(B137,"" "",""""),""..."",""""),""\(.*\)"","""")"),"7.37249578e-51")</f>
        <v>7.37249578e-51</v>
      </c>
      <c r="H137" s="43">
        <f t="shared" si="2"/>
        <v>0</v>
      </c>
      <c r="I137" s="21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43">
        <f t="shared" si="3"/>
        <v>0</v>
      </c>
      <c r="K137" s="43" t="b">
        <f t="shared" si="4"/>
        <v>0</v>
      </c>
      <c r="L137" s="21" t="str">
        <f>IFERROR(__xludf.DUMMYFUNCTION("if(regexmatch(B137,""e(.*)$""),regexextract(B137,""e(.*)$""),"""")"),"-51")</f>
        <v>-51</v>
      </c>
    </row>
    <row r="138">
      <c r="A138" s="34" t="s">
        <v>1290</v>
      </c>
      <c r="B138" s="34" t="s">
        <v>4841</v>
      </c>
      <c r="C138" s="34"/>
      <c r="D138" s="13" t="str">
        <f t="shared" si="1"/>
        <v/>
      </c>
      <c r="E138" s="42">
        <f>countif(Constants!F:F,F138)</f>
        <v>1</v>
      </c>
      <c r="F138" s="21" t="str">
        <f>ifna(VLOOKUP($A138,'v2002'!$A:$F,6,false),"")</f>
        <v>InverseFineStructureConstant</v>
      </c>
      <c r="G138" s="21" t="str">
        <f>IFERROR(__xludf.DUMMYFUNCTION("REGEXREPLACE(substitute(substitute(B138,"" "",""""),""..."",""""),""\(.*\)"","""")"),"137.03599976")</f>
        <v>137.03599976</v>
      </c>
      <c r="H138" s="43">
        <f t="shared" si="2"/>
        <v>137.0359998</v>
      </c>
      <c r="I138" s="21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43">
        <f t="shared" si="3"/>
        <v>0.000000005</v>
      </c>
      <c r="K138" s="43" t="b">
        <f t="shared" si="4"/>
        <v>0</v>
      </c>
      <c r="L138" s="21" t="str">
        <f>IFERROR(__xludf.DUMMYFUNCTION("if(regexmatch(B138,""e(.*)$""),regexextract(B138,""e(.*)$""),"""")"),"")</f>
        <v/>
      </c>
    </row>
    <row r="139">
      <c r="A139" s="34" t="s">
        <v>1294</v>
      </c>
      <c r="B139" s="34" t="s">
        <v>4842</v>
      </c>
      <c r="C139" s="34" t="s">
        <v>553</v>
      </c>
      <c r="D139" s="13" t="str">
        <f t="shared" si="1"/>
        <v>u</v>
      </c>
      <c r="E139" s="42">
        <f>countif(Constants!F:F,F139)</f>
        <v>1</v>
      </c>
      <c r="F139" s="21" t="str">
        <f>ifna(VLOOKUP($A139,'v2002'!$A:$F,6,false),"")</f>
        <v>InverseMeterAtomicMassUnitRelationship</v>
      </c>
      <c r="G139" s="21" t="str">
        <f>IFERROR(__xludf.DUMMYFUNCTION("REGEXREPLACE(substitute(substitute(B139,"" "",""""),""..."",""""),""\(.*\)"","""")"),"1.331025042e-15")</f>
        <v>1.331025042e-15</v>
      </c>
      <c r="H139" s="43">
        <f t="shared" si="2"/>
        <v>0</v>
      </c>
      <c r="I139" s="21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43">
        <f t="shared" si="3"/>
        <v>0</v>
      </c>
      <c r="K139" s="43" t="b">
        <f t="shared" si="4"/>
        <v>0</v>
      </c>
      <c r="L139" s="21" t="str">
        <f>IFERROR(__xludf.DUMMYFUNCTION("if(regexmatch(B139,""e(.*)$""),regexextract(B139,""e(.*)$""),"""")"),"-15")</f>
        <v>-15</v>
      </c>
    </row>
    <row r="140">
      <c r="A140" s="34" t="s">
        <v>1300</v>
      </c>
      <c r="B140" s="34" t="s">
        <v>4843</v>
      </c>
      <c r="C140" s="34" t="s">
        <v>175</v>
      </c>
      <c r="D140" s="13" t="str">
        <f t="shared" si="1"/>
        <v>eV</v>
      </c>
      <c r="E140" s="42">
        <f>countif(Constants!F:F,F140)</f>
        <v>1</v>
      </c>
      <c r="F140" s="21" t="str">
        <f>ifna(VLOOKUP($A140,'v2002'!$A:$F,6,false),"")</f>
        <v>InverseMeterElectronVoltRelationship</v>
      </c>
      <c r="G140" s="21" t="str">
        <f>IFERROR(__xludf.DUMMYFUNCTION("REGEXREPLACE(substitute(substitute(B140,"" "",""""),""..."",""""),""\(.*\)"","""")"),"1.239841857e-6")</f>
        <v>1.239841857e-6</v>
      </c>
      <c r="H140" s="43">
        <f t="shared" si="2"/>
        <v>0.000001239841857</v>
      </c>
      <c r="I140" s="21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43">
        <f t="shared" si="3"/>
        <v>0</v>
      </c>
      <c r="K140" s="43" t="b">
        <f t="shared" si="4"/>
        <v>0</v>
      </c>
      <c r="L140" s="21" t="str">
        <f>IFERROR(__xludf.DUMMYFUNCTION("if(regexmatch(B140,""e(.*)$""),regexextract(B140,""e(.*)$""),"""")"),"-6")</f>
        <v>-6</v>
      </c>
    </row>
    <row r="141">
      <c r="A141" s="34" t="s">
        <v>1305</v>
      </c>
      <c r="B141" s="34" t="s">
        <v>4844</v>
      </c>
      <c r="C141" s="34" t="s">
        <v>593</v>
      </c>
      <c r="D141" s="13" t="str">
        <f t="shared" si="1"/>
        <v>E_h</v>
      </c>
      <c r="E141" s="42">
        <f>countif(Constants!F:F,F141)</f>
        <v>1</v>
      </c>
      <c r="F141" s="21" t="str">
        <f>ifna(VLOOKUP($A141,'v2002'!$A:$F,6,false),"")</f>
        <v>InverseMeterHartreeRelationship</v>
      </c>
      <c r="G141" s="21" t="str">
        <f>IFERROR(__xludf.DUMMYFUNCTION("REGEXREPLACE(substitute(substitute(B141,"" "",""""),""..."",""""),""\(.*\)"","""")"),"4.556335252750e-8")</f>
        <v>4.556335252750e-8</v>
      </c>
      <c r="H141" s="43">
        <f t="shared" si="2"/>
        <v>0.00000004556335253</v>
      </c>
      <c r="I141" s="21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43">
        <f t="shared" si="3"/>
        <v>0</v>
      </c>
      <c r="K141" s="43" t="b">
        <f t="shared" si="4"/>
        <v>0</v>
      </c>
      <c r="L141" s="21" t="str">
        <f>IFERROR(__xludf.DUMMYFUNCTION("if(regexmatch(B141,""e(.*)$""),regexextract(B141,""e(.*)$""),"""")"),"-8")</f>
        <v>-8</v>
      </c>
    </row>
    <row r="142">
      <c r="A142" s="34" t="s">
        <v>1309</v>
      </c>
      <c r="B142" s="34" t="s">
        <v>2474</v>
      </c>
      <c r="C142" s="34" t="s">
        <v>600</v>
      </c>
      <c r="D142" s="13" t="str">
        <f t="shared" si="1"/>
        <v>Hz</v>
      </c>
      <c r="E142" s="42">
        <f>countif(Constants!F:F,F142)</f>
        <v>1</v>
      </c>
      <c r="F142" s="21" t="str">
        <f>ifna(VLOOKUP($A142,'v2002'!$A:$F,6,false),"")</f>
        <v>InverseMeterHertzRelationship</v>
      </c>
      <c r="G142" s="21" t="str">
        <f>IFERROR(__xludf.DUMMYFUNCTION("REGEXREPLACE(substitute(substitute(B142,"" "",""""),""..."",""""),""\(.*\)"","""")"),"299792458")</f>
        <v>299792458</v>
      </c>
      <c r="H142" s="43">
        <f t="shared" si="2"/>
        <v>299792458</v>
      </c>
      <c r="I142" s="21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43" t="str">
        <f t="shared" si="3"/>
        <v/>
      </c>
      <c r="K142" s="43" t="b">
        <f t="shared" si="4"/>
        <v>0</v>
      </c>
      <c r="L142" s="21" t="str">
        <f>IFERROR(__xludf.DUMMYFUNCTION("if(regexmatch(B142,""e(.*)$""),regexextract(B142,""e(.*)$""),"""")"),"")</f>
        <v/>
      </c>
    </row>
    <row r="143">
      <c r="A143" s="34" t="s">
        <v>1314</v>
      </c>
      <c r="B143" s="34" t="s">
        <v>4845</v>
      </c>
      <c r="C143" s="34" t="s">
        <v>543</v>
      </c>
      <c r="D143" s="13" t="str">
        <f t="shared" si="1"/>
        <v>J</v>
      </c>
      <c r="E143" s="42">
        <f>countif(Constants!F:F,F143)</f>
        <v>1</v>
      </c>
      <c r="F143" s="21" t="str">
        <f>ifna(VLOOKUP($A143,'v2002'!$A:$F,6,false),"")</f>
        <v>InverseMeterJouleRelationship</v>
      </c>
      <c r="G143" s="21" t="str">
        <f>IFERROR(__xludf.DUMMYFUNCTION("REGEXREPLACE(substitute(substitute(B143,"" "",""""),""..."",""""),""\(.*\)"","""")"),"1.98644544e-25")</f>
        <v>1.98644544e-25</v>
      </c>
      <c r="H143" s="43">
        <f t="shared" si="2"/>
        <v>0</v>
      </c>
      <c r="I143" s="21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43">
        <f t="shared" si="3"/>
        <v>0</v>
      </c>
      <c r="K143" s="43" t="b">
        <f t="shared" si="4"/>
        <v>0</v>
      </c>
      <c r="L143" s="21" t="str">
        <f>IFERROR(__xludf.DUMMYFUNCTION("if(regexmatch(B143,""e(.*)$""),regexextract(B143,""e(.*)$""),"""")"),"-25")</f>
        <v>-25</v>
      </c>
    </row>
    <row r="144">
      <c r="A144" s="34" t="s">
        <v>1319</v>
      </c>
      <c r="B144" s="34" t="s">
        <v>4329</v>
      </c>
      <c r="C144" s="34" t="s">
        <v>618</v>
      </c>
      <c r="D144" s="13" t="str">
        <f t="shared" si="1"/>
        <v>K</v>
      </c>
      <c r="E144" s="42">
        <f>countif(Constants!F:F,F144)</f>
        <v>1</v>
      </c>
      <c r="F144" s="21" t="str">
        <f>ifna(VLOOKUP($A144,'v2002'!$A:$F,6,false),"")</f>
        <v>InverseMeterKelvinRelationship</v>
      </c>
      <c r="G144" s="21" t="str">
        <f>IFERROR(__xludf.DUMMYFUNCTION("REGEXREPLACE(substitute(substitute(B144,"" "",""""),""..."",""""),""\(.*\)"","""")"),"1.4387752e-2")</f>
        <v>1.4387752e-2</v>
      </c>
      <c r="H144" s="43">
        <f t="shared" si="2"/>
        <v>0.014387752</v>
      </c>
      <c r="I144" s="21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43">
        <f t="shared" si="3"/>
        <v>0.00000000025</v>
      </c>
      <c r="K144" s="43" t="b">
        <f t="shared" si="4"/>
        <v>0</v>
      </c>
      <c r="L144" s="21" t="str">
        <f>IFERROR(__xludf.DUMMYFUNCTION("if(regexmatch(B144,""e(.*)$""),regexextract(B144,""e(.*)$""),"""")"),"-2")</f>
        <v>-2</v>
      </c>
    </row>
    <row r="145">
      <c r="A145" s="34" t="s">
        <v>1324</v>
      </c>
      <c r="B145" s="34" t="s">
        <v>4846</v>
      </c>
      <c r="C145" s="34" t="s">
        <v>538</v>
      </c>
      <c r="D145" s="13" t="str">
        <f t="shared" si="1"/>
        <v>kg</v>
      </c>
      <c r="E145" s="42">
        <f>countif(Constants!F:F,F145)</f>
        <v>1</v>
      </c>
      <c r="F145" s="21" t="str">
        <f>ifna(VLOOKUP($A145,'v2002'!$A:$F,6,false),"")</f>
        <v>InverseMeterKilogramRelationship</v>
      </c>
      <c r="G145" s="21" t="str">
        <f>IFERROR(__xludf.DUMMYFUNCTION("REGEXREPLACE(substitute(substitute(B145,"" "",""""),""..."",""""),""\(.*\)"","""")"),"2.21021863e-42")</f>
        <v>2.21021863e-42</v>
      </c>
      <c r="H145" s="43">
        <f t="shared" si="2"/>
        <v>0</v>
      </c>
      <c r="I145" s="21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43">
        <f t="shared" si="3"/>
        <v>0</v>
      </c>
      <c r="K145" s="43" t="b">
        <f t="shared" si="4"/>
        <v>0</v>
      </c>
      <c r="L145" s="21" t="str">
        <f>IFERROR(__xludf.DUMMYFUNCTION("if(regexmatch(B145,""e(.*)$""),regexextract(B145,""e(.*)$""),"""")"),"-42")</f>
        <v>-42</v>
      </c>
    </row>
    <row r="146">
      <c r="A146" s="34" t="s">
        <v>1329</v>
      </c>
      <c r="B146" s="34" t="s">
        <v>4847</v>
      </c>
      <c r="C146" s="34" t="s">
        <v>816</v>
      </c>
      <c r="D146" s="13" t="str">
        <f t="shared" si="1"/>
        <v>Ohm</v>
      </c>
      <c r="E146" s="42">
        <f>countif(Constants!F:F,F146)</f>
        <v>1</v>
      </c>
      <c r="F146" s="21" t="str">
        <f>ifna(VLOOKUP($A146,'v2002'!$A:$F,6,false),"")</f>
        <v>InverseOfConductanceQuantum</v>
      </c>
      <c r="G146" s="21" t="str">
        <f>IFERROR(__xludf.DUMMYFUNCTION("REGEXREPLACE(substitute(substitute(B146,"" "",""""),""..."",""""),""\(.*\)"","""")"),"12906.403786")</f>
        <v>12906.403786</v>
      </c>
      <c r="H146" s="43">
        <f t="shared" si="2"/>
        <v>12906.40379</v>
      </c>
      <c r="I146" s="21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43">
        <f t="shared" si="3"/>
        <v>0.00000047</v>
      </c>
      <c r="K146" s="43" t="b">
        <f t="shared" si="4"/>
        <v>0</v>
      </c>
      <c r="L146" s="21" t="str">
        <f>IFERROR(__xludf.DUMMYFUNCTION("if(regexmatch(B146,""e(.*)$""),regexextract(B146,""e(.*)$""),"""")"),"")</f>
        <v/>
      </c>
    </row>
    <row r="147">
      <c r="A147" s="34" t="s">
        <v>1333</v>
      </c>
      <c r="B147" s="34" t="s">
        <v>4848</v>
      </c>
      <c r="C147" s="34" t="s">
        <v>4234</v>
      </c>
      <c r="D147" s="13" t="str">
        <f t="shared" si="1"/>
        <v>Hz V^-1</v>
      </c>
      <c r="E147" s="42">
        <f>countif(Constants!F:F,F147)</f>
        <v>1</v>
      </c>
      <c r="F147" s="21" t="str">
        <f>ifna(VLOOKUP($A147,'v2002'!$A:$F,6,false),"")</f>
        <v>JosephsonConstant</v>
      </c>
      <c r="G147" s="21" t="str">
        <f>IFERROR(__xludf.DUMMYFUNCTION("REGEXREPLACE(substitute(substitute(B147,"" "",""""),""..."",""""),""\(.*\)"","""")"),"483597.898e9")</f>
        <v>483597.898e9</v>
      </c>
      <c r="H147" s="43">
        <f t="shared" si="2"/>
        <v>483597898000000</v>
      </c>
      <c r="I147" s="21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43">
        <f t="shared" si="3"/>
        <v>190000</v>
      </c>
      <c r="K147" s="43" t="b">
        <f t="shared" si="4"/>
        <v>0</v>
      </c>
      <c r="L147" s="21" t="str">
        <f>IFERROR(__xludf.DUMMYFUNCTION("if(regexmatch(B147,""e(.*)$""),regexextract(B147,""e(.*)$""),"""")"),"9")</f>
        <v>9</v>
      </c>
    </row>
    <row r="148">
      <c r="A148" s="34" t="s">
        <v>1337</v>
      </c>
      <c r="B148" s="34" t="s">
        <v>4849</v>
      </c>
      <c r="C148" s="34" t="s">
        <v>553</v>
      </c>
      <c r="D148" s="13" t="str">
        <f t="shared" si="1"/>
        <v>u</v>
      </c>
      <c r="E148" s="42">
        <f>countif(Constants!F:F,F148)</f>
        <v>1</v>
      </c>
      <c r="F148" s="21" t="str">
        <f>ifna(VLOOKUP($A148,'v2002'!$A:$F,6,false),"")</f>
        <v>JouleAtomicMassUnitRelationship</v>
      </c>
      <c r="G148" s="21" t="str">
        <f>IFERROR(__xludf.DUMMYFUNCTION("REGEXREPLACE(substitute(substitute(B148,"" "",""""),""..."",""""),""\(.*\)"","""")"),"6.70053662e9")</f>
        <v>6.70053662e9</v>
      </c>
      <c r="H148" s="43">
        <f t="shared" si="2"/>
        <v>6700536620</v>
      </c>
      <c r="I148" s="21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43">
        <f t="shared" si="3"/>
        <v>5.3</v>
      </c>
      <c r="K148" s="43" t="b">
        <f t="shared" si="4"/>
        <v>0</v>
      </c>
      <c r="L148" s="21" t="str">
        <f>IFERROR(__xludf.DUMMYFUNCTION("if(regexmatch(B148,""e(.*)$""),regexextract(B148,""e(.*)$""),"""")"),"9")</f>
        <v>9</v>
      </c>
    </row>
    <row r="149">
      <c r="A149" s="34" t="s">
        <v>1343</v>
      </c>
      <c r="B149" s="34" t="s">
        <v>4850</v>
      </c>
      <c r="C149" s="34" t="s">
        <v>175</v>
      </c>
      <c r="D149" s="13" t="str">
        <f t="shared" si="1"/>
        <v>eV</v>
      </c>
      <c r="E149" s="42">
        <f>countif(Constants!F:F,F149)</f>
        <v>1</v>
      </c>
      <c r="F149" s="21" t="str">
        <f>ifna(VLOOKUP($A149,'v2002'!$A:$F,6,false),"")</f>
        <v>JouleElectronVoltRelationship</v>
      </c>
      <c r="G149" s="21" t="str">
        <f>IFERROR(__xludf.DUMMYFUNCTION("REGEXREPLACE(substitute(substitute(B149,"" "",""""),""..."",""""),""\(.*\)"","""")"),"6.24150974e18")</f>
        <v>6.24150974e18</v>
      </c>
      <c r="H149" s="43">
        <f t="shared" si="2"/>
        <v>6.24151E+18</v>
      </c>
      <c r="I149" s="21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43">
        <f t="shared" si="3"/>
        <v>2400000000</v>
      </c>
      <c r="K149" s="43" t="b">
        <f t="shared" si="4"/>
        <v>0</v>
      </c>
      <c r="L149" s="21" t="str">
        <f>IFERROR(__xludf.DUMMYFUNCTION("if(regexmatch(B149,""e(.*)$""),regexextract(B149,""e(.*)$""),"""")"),"18")</f>
        <v>18</v>
      </c>
    </row>
    <row r="150">
      <c r="A150" s="34" t="s">
        <v>1348</v>
      </c>
      <c r="B150" s="34" t="s">
        <v>4851</v>
      </c>
      <c r="C150" s="34" t="s">
        <v>593</v>
      </c>
      <c r="D150" s="13" t="str">
        <f t="shared" si="1"/>
        <v>E_h</v>
      </c>
      <c r="E150" s="42">
        <f>countif(Constants!F:F,F150)</f>
        <v>1</v>
      </c>
      <c r="F150" s="21" t="str">
        <f>ifna(VLOOKUP($A150,'v2002'!$A:$F,6,false),"")</f>
        <v>JouleHartreeRelationship</v>
      </c>
      <c r="G150" s="21" t="str">
        <f>IFERROR(__xludf.DUMMYFUNCTION("REGEXREPLACE(substitute(substitute(B150,"" "",""""),""..."",""""),""\(.*\)"","""")"),"2.29371276e17")</f>
        <v>2.29371276e17</v>
      </c>
      <c r="H150" s="43">
        <f t="shared" si="2"/>
        <v>2.29371E+17</v>
      </c>
      <c r="I150" s="21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43">
        <f t="shared" si="3"/>
        <v>180000000</v>
      </c>
      <c r="K150" s="43" t="b">
        <f t="shared" si="4"/>
        <v>0</v>
      </c>
      <c r="L150" s="21" t="str">
        <f>IFERROR(__xludf.DUMMYFUNCTION("if(regexmatch(B150,""e(.*)$""),regexextract(B150,""e(.*)$""),"""")"),"17")</f>
        <v>17</v>
      </c>
    </row>
    <row r="151">
      <c r="A151" s="34" t="s">
        <v>1353</v>
      </c>
      <c r="B151" s="34" t="s">
        <v>4852</v>
      </c>
      <c r="C151" s="34" t="s">
        <v>600</v>
      </c>
      <c r="D151" s="13" t="str">
        <f t="shared" si="1"/>
        <v>Hz</v>
      </c>
      <c r="E151" s="42">
        <f>countif(Constants!F:F,F151)</f>
        <v>1</v>
      </c>
      <c r="F151" s="21" t="str">
        <f>ifna(VLOOKUP($A151,'v2002'!$A:$F,6,false),"")</f>
        <v>JouleHertzRelationship</v>
      </c>
      <c r="G151" s="21" t="str">
        <f>IFERROR(__xludf.DUMMYFUNCTION("REGEXREPLACE(substitute(substitute(B151,"" "",""""),""..."",""""),""\(.*\)"","""")"),"1.50919050e33")</f>
        <v>1.50919050e33</v>
      </c>
      <c r="H151" s="43">
        <f t="shared" si="2"/>
        <v>1.50919E+33</v>
      </c>
      <c r="I151" s="21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43">
        <f t="shared" si="3"/>
        <v>1.2E+24</v>
      </c>
      <c r="K151" s="43" t="b">
        <f t="shared" si="4"/>
        <v>0</v>
      </c>
      <c r="L151" s="21" t="str">
        <f>IFERROR(__xludf.DUMMYFUNCTION("if(regexmatch(B151,""e(.*)$""),regexextract(B151,""e(.*)$""),"""")"),"33")</f>
        <v>33</v>
      </c>
    </row>
    <row r="152">
      <c r="A152" s="34" t="s">
        <v>1358</v>
      </c>
      <c r="B152" s="34" t="s">
        <v>4853</v>
      </c>
      <c r="C152" s="34" t="s">
        <v>4174</v>
      </c>
      <c r="D152" s="13" t="str">
        <f t="shared" si="1"/>
        <v>m^-1</v>
      </c>
      <c r="E152" s="42">
        <f>countif(Constants!F:F,F152)</f>
        <v>1</v>
      </c>
      <c r="F152" s="21" t="str">
        <f>ifna(VLOOKUP($A152,'v2002'!$A:$F,6,false),"")</f>
        <v>JouleInverseMeterRelationship</v>
      </c>
      <c r="G152" s="21" t="str">
        <f>IFERROR(__xludf.DUMMYFUNCTION("REGEXREPLACE(substitute(substitute(B152,"" "",""""),""..."",""""),""\(.*\)"","""")"),"5.03411762e24")</f>
        <v>5.03411762e24</v>
      </c>
      <c r="H152" s="43">
        <f t="shared" si="2"/>
        <v>5.03412E+24</v>
      </c>
      <c r="I152" s="21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43">
        <f t="shared" si="3"/>
        <v>3.9E+15</v>
      </c>
      <c r="K152" s="43" t="b">
        <f t="shared" si="4"/>
        <v>0</v>
      </c>
      <c r="L152" s="21" t="str">
        <f>IFERROR(__xludf.DUMMYFUNCTION("if(regexmatch(B152,""e(.*)$""),regexextract(B152,""e(.*)$""),"""")"),"24")</f>
        <v>24</v>
      </c>
    </row>
    <row r="153">
      <c r="A153" s="34" t="s">
        <v>1363</v>
      </c>
      <c r="B153" s="34" t="s">
        <v>4854</v>
      </c>
      <c r="C153" s="34" t="s">
        <v>618</v>
      </c>
      <c r="D153" s="13" t="str">
        <f t="shared" si="1"/>
        <v>K</v>
      </c>
      <c r="E153" s="42">
        <f>countif(Constants!F:F,F153)</f>
        <v>1</v>
      </c>
      <c r="F153" s="21" t="str">
        <f>ifna(VLOOKUP($A153,'v2002'!$A:$F,6,false),"")</f>
        <v>JouleKelvinRelationship</v>
      </c>
      <c r="G153" s="21" t="str">
        <f>IFERROR(__xludf.DUMMYFUNCTION("REGEXREPLACE(substitute(substitute(B153,"" "",""""),""..."",""""),""\(.*\)"","""")"),"7.242964e22")</f>
        <v>7.242964e22</v>
      </c>
      <c r="H153" s="43">
        <f t="shared" si="2"/>
        <v>7.24296E+22</v>
      </c>
      <c r="I153" s="21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43">
        <f t="shared" si="3"/>
        <v>1.3E+15</v>
      </c>
      <c r="K153" s="43" t="b">
        <f t="shared" si="4"/>
        <v>0</v>
      </c>
      <c r="L153" s="21" t="str">
        <f>IFERROR(__xludf.DUMMYFUNCTION("if(regexmatch(B153,""e(.*)$""),regexextract(B153,""e(.*)$""),"""")"),"22")</f>
        <v>22</v>
      </c>
    </row>
    <row r="154">
      <c r="A154" s="34" t="s">
        <v>1368</v>
      </c>
      <c r="B154" s="34" t="s">
        <v>2488</v>
      </c>
      <c r="C154" s="34" t="s">
        <v>538</v>
      </c>
      <c r="D154" s="13" t="str">
        <f t="shared" si="1"/>
        <v>kg</v>
      </c>
      <c r="E154" s="42">
        <f>countif(Constants!F:F,F154)</f>
        <v>1</v>
      </c>
      <c r="F154" s="21" t="str">
        <f>ifna(VLOOKUP($A154,'v2002'!$A:$F,6,false),"")</f>
        <v>JouleKilogramRelationship</v>
      </c>
      <c r="G154" s="21" t="str">
        <f>IFERROR(__xludf.DUMMYFUNCTION("REGEXREPLACE(substitute(substitute(B154,"" "",""""),""..."",""""),""\(.*\)"","""")"),"1.112650056e-17")</f>
        <v>1.112650056e-17</v>
      </c>
      <c r="H154" s="43">
        <f t="shared" si="2"/>
        <v>0</v>
      </c>
      <c r="I154" s="21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43" t="str">
        <f t="shared" si="3"/>
        <v/>
      </c>
      <c r="K154" s="43" t="b">
        <f t="shared" si="4"/>
        <v>0</v>
      </c>
      <c r="L154" s="21" t="str">
        <f>IFERROR(__xludf.DUMMYFUNCTION("if(regexmatch(B154,""e(.*)$""),regexextract(B154,""e(.*)$""),"""")"),"-17")</f>
        <v>-17</v>
      </c>
    </row>
    <row r="155">
      <c r="A155" s="34" t="s">
        <v>1373</v>
      </c>
      <c r="B155" s="34" t="s">
        <v>4340</v>
      </c>
      <c r="C155" s="34" t="s">
        <v>553</v>
      </c>
      <c r="D155" s="13" t="str">
        <f t="shared" si="1"/>
        <v>u</v>
      </c>
      <c r="E155" s="42">
        <f>countif(Constants!F:F,F155)</f>
        <v>1</v>
      </c>
      <c r="F155" s="21" t="str">
        <f>ifna(VLOOKUP($A155,'v2002'!$A:$F,6,false),"")</f>
        <v>KelvinAtomicMassUnitRelationship</v>
      </c>
      <c r="G155" s="21" t="str">
        <f>IFERROR(__xludf.DUMMYFUNCTION("REGEXREPLACE(substitute(substitute(B155,"" "",""""),""..."",""""),""\(.*\)"","""")"),"9.251098e-14")</f>
        <v>9.251098e-14</v>
      </c>
      <c r="H155" s="43">
        <f t="shared" si="2"/>
        <v>0</v>
      </c>
      <c r="I155" s="21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43">
        <f t="shared" si="3"/>
        <v>0</v>
      </c>
      <c r="K155" s="43" t="b">
        <f t="shared" si="4"/>
        <v>0</v>
      </c>
      <c r="L155" s="21" t="str">
        <f>IFERROR(__xludf.DUMMYFUNCTION("if(regexmatch(B155,""e(.*)$""),regexextract(B155,""e(.*)$""),"""")"),"-14")</f>
        <v>-14</v>
      </c>
    </row>
    <row r="156">
      <c r="A156" s="34" t="s">
        <v>1379</v>
      </c>
      <c r="B156" s="34" t="s">
        <v>4770</v>
      </c>
      <c r="C156" s="34" t="s">
        <v>175</v>
      </c>
      <c r="D156" s="13" t="str">
        <f t="shared" si="1"/>
        <v>eV</v>
      </c>
      <c r="E156" s="42">
        <f>countif(Constants!F:F,F156)</f>
        <v>1</v>
      </c>
      <c r="F156" s="21" t="str">
        <f>ifna(VLOOKUP($A156,'v2002'!$A:$F,6,false),"")</f>
        <v>KelvinElectronVoltRelationship</v>
      </c>
      <c r="G156" s="21" t="str">
        <f>IFERROR(__xludf.DUMMYFUNCTION("REGEXREPLACE(substitute(substitute(B156,"" "",""""),""..."",""""),""\(.*\)"","""")"),"8.617342e-5")</f>
        <v>8.617342e-5</v>
      </c>
      <c r="H156" s="43">
        <f t="shared" si="2"/>
        <v>0.00008617342</v>
      </c>
      <c r="I156" s="21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43">
        <f t="shared" si="3"/>
        <v>0</v>
      </c>
      <c r="K156" s="43" t="b">
        <f t="shared" si="4"/>
        <v>0</v>
      </c>
      <c r="L156" s="21" t="str">
        <f>IFERROR(__xludf.DUMMYFUNCTION("if(regexmatch(B156,""e(.*)$""),regexextract(B156,""e(.*)$""),"""")"),"-5")</f>
        <v>-5</v>
      </c>
    </row>
    <row r="157">
      <c r="A157" s="34" t="s">
        <v>1384</v>
      </c>
      <c r="B157" s="34" t="s">
        <v>4341</v>
      </c>
      <c r="C157" s="34" t="s">
        <v>593</v>
      </c>
      <c r="D157" s="13" t="str">
        <f t="shared" si="1"/>
        <v>E_h</v>
      </c>
      <c r="E157" s="42">
        <f>countif(Constants!F:F,F157)</f>
        <v>1</v>
      </c>
      <c r="F157" s="21" t="str">
        <f>ifna(VLOOKUP($A157,'v2002'!$A:$F,6,false),"")</f>
        <v>KelvinHartreeRelationship</v>
      </c>
      <c r="G157" s="21" t="str">
        <f>IFERROR(__xludf.DUMMYFUNCTION("REGEXREPLACE(substitute(substitute(B157,"" "",""""),""..."",""""),""\(.*\)"","""")"),"3.1668153e-6")</f>
        <v>3.1668153e-6</v>
      </c>
      <c r="H157" s="43">
        <f t="shared" si="2"/>
        <v>0.0000031668153</v>
      </c>
      <c r="I157" s="21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43">
        <f t="shared" si="3"/>
        <v>0</v>
      </c>
      <c r="K157" s="43" t="b">
        <f t="shared" si="4"/>
        <v>0</v>
      </c>
      <c r="L157" s="21" t="str">
        <f>IFERROR(__xludf.DUMMYFUNCTION("if(regexmatch(B157,""e(.*)$""),regexextract(B157,""e(.*)$""),"""")"),"-6")</f>
        <v>-6</v>
      </c>
    </row>
    <row r="158">
      <c r="A158" s="34" t="s">
        <v>1389</v>
      </c>
      <c r="B158" s="34" t="s">
        <v>4223</v>
      </c>
      <c r="C158" s="34" t="s">
        <v>600</v>
      </c>
      <c r="D158" s="13" t="str">
        <f t="shared" si="1"/>
        <v>Hz</v>
      </c>
      <c r="E158" s="42">
        <f>countif(Constants!F:F,F158)</f>
        <v>1</v>
      </c>
      <c r="F158" s="21" t="str">
        <f>ifna(VLOOKUP($A158,'v2002'!$A:$F,6,false),"")</f>
        <v>KelvinHertzRelationship</v>
      </c>
      <c r="G158" s="21" t="str">
        <f>IFERROR(__xludf.DUMMYFUNCTION("REGEXREPLACE(substitute(substitute(B158,"" "",""""),""..."",""""),""\(.*\)"","""")"),"2.0836644e10")</f>
        <v>2.0836644e10</v>
      </c>
      <c r="H158" s="43">
        <f t="shared" si="2"/>
        <v>20836644000</v>
      </c>
      <c r="I158" s="21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43">
        <f t="shared" si="3"/>
        <v>360</v>
      </c>
      <c r="K158" s="43" t="b">
        <f t="shared" si="4"/>
        <v>0</v>
      </c>
      <c r="L158" s="21" t="str">
        <f>IFERROR(__xludf.DUMMYFUNCTION("if(regexmatch(B158,""e(.*)$""),regexextract(B158,""e(.*)$""),"""")"),"10")</f>
        <v>10</v>
      </c>
    </row>
    <row r="159">
      <c r="A159" s="34" t="s">
        <v>1394</v>
      </c>
      <c r="B159" s="34" t="s">
        <v>4227</v>
      </c>
      <c r="C159" s="34" t="s">
        <v>4174</v>
      </c>
      <c r="D159" s="13" t="str">
        <f t="shared" si="1"/>
        <v>m^-1</v>
      </c>
      <c r="E159" s="42">
        <f>countif(Constants!F:F,F159)</f>
        <v>1</v>
      </c>
      <c r="F159" s="21" t="str">
        <f>ifna(VLOOKUP($A159,'v2002'!$A:$F,6,false),"")</f>
        <v>KelvinInverseMeterRelationship</v>
      </c>
      <c r="G159" s="21" t="str">
        <f>IFERROR(__xludf.DUMMYFUNCTION("REGEXREPLACE(substitute(substitute(B159,"" "",""""),""..."",""""),""\(.*\)"","""")"),"69.50356")</f>
        <v>69.50356</v>
      </c>
      <c r="H159" s="43">
        <f t="shared" si="2"/>
        <v>69.50356</v>
      </c>
      <c r="I159" s="21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43">
        <f t="shared" si="3"/>
        <v>0.0000012</v>
      </c>
      <c r="K159" s="43" t="b">
        <f t="shared" si="4"/>
        <v>0</v>
      </c>
      <c r="L159" s="21" t="str">
        <f>IFERROR(__xludf.DUMMYFUNCTION("if(regexmatch(B159,""e(.*)$""),regexextract(B159,""e(.*)$""),"""")"),"")</f>
        <v/>
      </c>
    </row>
    <row r="160">
      <c r="A160" s="34" t="s">
        <v>1399</v>
      </c>
      <c r="B160" s="34" t="s">
        <v>4769</v>
      </c>
      <c r="C160" s="34" t="s">
        <v>543</v>
      </c>
      <c r="D160" s="13" t="str">
        <f t="shared" si="1"/>
        <v>J</v>
      </c>
      <c r="E160" s="42">
        <f>countif(Constants!F:F,F160)</f>
        <v>1</v>
      </c>
      <c r="F160" s="21" t="str">
        <f>ifna(VLOOKUP($A160,'v2002'!$A:$F,6,false),"")</f>
        <v>KelvinJouleRelationship</v>
      </c>
      <c r="G160" s="21" t="str">
        <f>IFERROR(__xludf.DUMMYFUNCTION("REGEXREPLACE(substitute(substitute(B160,"" "",""""),""..."",""""),""\(.*\)"","""")"),"1.3806503e-23")</f>
        <v>1.3806503e-23</v>
      </c>
      <c r="H160" s="43">
        <f t="shared" si="2"/>
        <v>0</v>
      </c>
      <c r="I160" s="21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43">
        <f t="shared" si="3"/>
        <v>0</v>
      </c>
      <c r="K160" s="43" t="b">
        <f t="shared" si="4"/>
        <v>0</v>
      </c>
      <c r="L160" s="21" t="str">
        <f>IFERROR(__xludf.DUMMYFUNCTION("if(regexmatch(B160,""e(.*)$""),regexextract(B160,""e(.*)$""),"""")"),"-23")</f>
        <v>-23</v>
      </c>
    </row>
    <row r="161">
      <c r="A161" s="34" t="s">
        <v>1404</v>
      </c>
      <c r="B161" s="34" t="s">
        <v>4342</v>
      </c>
      <c r="C161" s="34" t="s">
        <v>538</v>
      </c>
      <c r="D161" s="13" t="str">
        <f t="shared" si="1"/>
        <v>kg</v>
      </c>
      <c r="E161" s="42">
        <f>countif(Constants!F:F,F161)</f>
        <v>1</v>
      </c>
      <c r="F161" s="21" t="str">
        <f>ifna(VLOOKUP($A161,'v2002'!$A:$F,6,false),"")</f>
        <v>KelvinKilogramRelationship</v>
      </c>
      <c r="G161" s="21" t="str">
        <f>IFERROR(__xludf.DUMMYFUNCTION("REGEXREPLACE(substitute(substitute(B161,"" "",""""),""..."",""""),""\(.*\)"","""")"),"1.5361807e-40")</f>
        <v>1.5361807e-40</v>
      </c>
      <c r="H161" s="43">
        <f t="shared" si="2"/>
        <v>0</v>
      </c>
      <c r="I161" s="21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43">
        <f t="shared" si="3"/>
        <v>0</v>
      </c>
      <c r="K161" s="43" t="b">
        <f t="shared" si="4"/>
        <v>0</v>
      </c>
      <c r="L161" s="21" t="str">
        <f>IFERROR(__xludf.DUMMYFUNCTION("if(regexmatch(B161,""e(.*)$""),regexextract(B161,""e(.*)$""),"""")"),"-40")</f>
        <v>-40</v>
      </c>
    </row>
    <row r="162">
      <c r="A162" s="34" t="s">
        <v>1409</v>
      </c>
      <c r="B162" s="34" t="s">
        <v>4855</v>
      </c>
      <c r="C162" s="34" t="s">
        <v>553</v>
      </c>
      <c r="D162" s="13" t="str">
        <f t="shared" si="1"/>
        <v>u</v>
      </c>
      <c r="E162" s="42">
        <f>countif(Constants!F:F,F162)</f>
        <v>1</v>
      </c>
      <c r="F162" s="21" t="str">
        <f>ifna(VLOOKUP($A162,'v2002'!$A:$F,6,false),"")</f>
        <v>KilogramAtomicMassUnitRelationship</v>
      </c>
      <c r="G162" s="21" t="str">
        <f>IFERROR(__xludf.DUMMYFUNCTION("REGEXREPLACE(substitute(substitute(B162,"" "",""""),""..."",""""),""\(.*\)"","""")"),"6.02214199e26")</f>
        <v>6.02214199e26</v>
      </c>
      <c r="H162" s="43">
        <f t="shared" si="2"/>
        <v>6.02214E+26</v>
      </c>
      <c r="I162" s="21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43">
        <f t="shared" si="3"/>
        <v>4.7E+17</v>
      </c>
      <c r="K162" s="43" t="b">
        <f t="shared" si="4"/>
        <v>0</v>
      </c>
      <c r="L162" s="21" t="str">
        <f>IFERROR(__xludf.DUMMYFUNCTION("if(regexmatch(B162,""e(.*)$""),regexextract(B162,""e(.*)$""),"""")"),"26")</f>
        <v>26</v>
      </c>
    </row>
    <row r="163">
      <c r="A163" s="34" t="s">
        <v>1415</v>
      </c>
      <c r="B163" s="34" t="s">
        <v>4856</v>
      </c>
      <c r="C163" s="34" t="s">
        <v>175</v>
      </c>
      <c r="D163" s="13" t="str">
        <f t="shared" si="1"/>
        <v>eV</v>
      </c>
      <c r="E163" s="42">
        <f>countif(Constants!F:F,F163)</f>
        <v>1</v>
      </c>
      <c r="F163" s="21" t="str">
        <f>ifna(VLOOKUP($A163,'v2002'!$A:$F,6,false),"")</f>
        <v>KilogramElectronVoltRelationship</v>
      </c>
      <c r="G163" s="21" t="str">
        <f>IFERROR(__xludf.DUMMYFUNCTION("REGEXREPLACE(substitute(substitute(B163,"" "",""""),""..."",""""),""\(.*\)"","""")"),"5.60958921e35")</f>
        <v>5.60958921e35</v>
      </c>
      <c r="H163" s="43">
        <f t="shared" si="2"/>
        <v>5.60959E+35</v>
      </c>
      <c r="I163" s="21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43">
        <f t="shared" si="3"/>
        <v>2.2E+26</v>
      </c>
      <c r="K163" s="43" t="b">
        <f t="shared" si="4"/>
        <v>0</v>
      </c>
      <c r="L163" s="21" t="str">
        <f>IFERROR(__xludf.DUMMYFUNCTION("if(regexmatch(B163,""e(.*)$""),regexextract(B163,""e(.*)$""),"""")"),"35")</f>
        <v>35</v>
      </c>
    </row>
    <row r="164">
      <c r="A164" s="34" t="s">
        <v>1420</v>
      </c>
      <c r="B164" s="34" t="s">
        <v>4857</v>
      </c>
      <c r="C164" s="34" t="s">
        <v>593</v>
      </c>
      <c r="D164" s="13" t="str">
        <f t="shared" si="1"/>
        <v>E_h</v>
      </c>
      <c r="E164" s="42">
        <f>countif(Constants!F:F,F164)</f>
        <v>1</v>
      </c>
      <c r="F164" s="21" t="str">
        <f>ifna(VLOOKUP($A164,'v2002'!$A:$F,6,false),"")</f>
        <v>KilogramHartreeRelationship</v>
      </c>
      <c r="G164" s="21" t="str">
        <f>IFERROR(__xludf.DUMMYFUNCTION("REGEXREPLACE(substitute(substitute(B164,"" "",""""),""..."",""""),""\(.*\)"","""")"),"2.06148622e34")</f>
        <v>2.06148622e34</v>
      </c>
      <c r="H164" s="43">
        <f t="shared" si="2"/>
        <v>2.06149E+34</v>
      </c>
      <c r="I164" s="21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43">
        <f t="shared" si="3"/>
        <v>1.6E+25</v>
      </c>
      <c r="K164" s="43" t="b">
        <f t="shared" si="4"/>
        <v>0</v>
      </c>
      <c r="L164" s="21" t="str">
        <f>IFERROR(__xludf.DUMMYFUNCTION("if(regexmatch(B164,""e(.*)$""),regexextract(B164,""e(.*)$""),"""")"),"34")</f>
        <v>34</v>
      </c>
    </row>
    <row r="165">
      <c r="A165" s="34" t="s">
        <v>1425</v>
      </c>
      <c r="B165" s="34" t="s">
        <v>4858</v>
      </c>
      <c r="C165" s="34" t="s">
        <v>600</v>
      </c>
      <c r="D165" s="13" t="str">
        <f t="shared" si="1"/>
        <v>Hz</v>
      </c>
      <c r="E165" s="42">
        <f>countif(Constants!F:F,F165)</f>
        <v>1</v>
      </c>
      <c r="F165" s="21" t="str">
        <f>ifna(VLOOKUP($A165,'v2002'!$A:$F,6,false),"")</f>
        <v>KilogramHertzRelationship</v>
      </c>
      <c r="G165" s="21" t="str">
        <f>IFERROR(__xludf.DUMMYFUNCTION("REGEXREPLACE(substitute(substitute(B165,"" "",""""),""..."",""""),""\(.*\)"","""")"),"1.35639277e50")</f>
        <v>1.35639277e50</v>
      </c>
      <c r="H165" s="43">
        <f t="shared" si="2"/>
        <v>1.35639E+50</v>
      </c>
      <c r="I165" s="21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43">
        <f t="shared" si="3"/>
        <v>1.1E+41</v>
      </c>
      <c r="K165" s="43" t="b">
        <f t="shared" si="4"/>
        <v>0</v>
      </c>
      <c r="L165" s="21" t="str">
        <f>IFERROR(__xludf.DUMMYFUNCTION("if(regexmatch(B165,""e(.*)$""),regexextract(B165,""e(.*)$""),"""")"),"50")</f>
        <v>50</v>
      </c>
    </row>
    <row r="166">
      <c r="A166" s="34" t="s">
        <v>1430</v>
      </c>
      <c r="B166" s="34" t="s">
        <v>4859</v>
      </c>
      <c r="C166" s="34" t="s">
        <v>4174</v>
      </c>
      <c r="D166" s="13" t="str">
        <f t="shared" si="1"/>
        <v>m^-1</v>
      </c>
      <c r="E166" s="42">
        <f>countif(Constants!F:F,F166)</f>
        <v>1</v>
      </c>
      <c r="F166" s="21" t="str">
        <f>ifna(VLOOKUP($A166,'v2002'!$A:$F,6,false),"")</f>
        <v>KilogramInverseMeterRelationship</v>
      </c>
      <c r="G166" s="21" t="str">
        <f>IFERROR(__xludf.DUMMYFUNCTION("REGEXREPLACE(substitute(substitute(B166,"" "",""""),""..."",""""),""\(.*\)"","""")"),"4.52443929e41")</f>
        <v>4.52443929e41</v>
      </c>
      <c r="H166" s="43">
        <f t="shared" si="2"/>
        <v>4.52444E+41</v>
      </c>
      <c r="I166" s="21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43">
        <f t="shared" si="3"/>
        <v>3.5E+32</v>
      </c>
      <c r="K166" s="43" t="b">
        <f t="shared" si="4"/>
        <v>0</v>
      </c>
      <c r="L166" s="21" t="str">
        <f>IFERROR(__xludf.DUMMYFUNCTION("if(regexmatch(B166,""e(.*)$""),regexextract(B166,""e(.*)$""),"""")"),"41")</f>
        <v>41</v>
      </c>
    </row>
    <row r="167">
      <c r="A167" s="34" t="s">
        <v>1435</v>
      </c>
      <c r="B167" s="34" t="s">
        <v>2501</v>
      </c>
      <c r="C167" s="34" t="s">
        <v>543</v>
      </c>
      <c r="D167" s="13" t="str">
        <f t="shared" si="1"/>
        <v>J</v>
      </c>
      <c r="E167" s="42">
        <f>countif(Constants!F:F,F167)</f>
        <v>1</v>
      </c>
      <c r="F167" s="21" t="str">
        <f>ifna(VLOOKUP($A167,'v2002'!$A:$F,6,false),"")</f>
        <v>KilogramJouleRelationship</v>
      </c>
      <c r="G167" s="21" t="str">
        <f>IFERROR(__xludf.DUMMYFUNCTION("REGEXREPLACE(substitute(substitute(B167,"" "",""""),""..."",""""),""\(.*\)"","""")"),"8.987551787e16")</f>
        <v>8.987551787e16</v>
      </c>
      <c r="H167" s="43">
        <f t="shared" si="2"/>
        <v>8.98755E+16</v>
      </c>
      <c r="I167" s="21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43" t="str">
        <f t="shared" si="3"/>
        <v/>
      </c>
      <c r="K167" s="43" t="b">
        <f t="shared" si="4"/>
        <v>0</v>
      </c>
      <c r="L167" s="21" t="str">
        <f>IFERROR(__xludf.DUMMYFUNCTION("if(regexmatch(B167,""e(.*)$""),regexextract(B167,""e(.*)$""),"""")"),"16")</f>
        <v>16</v>
      </c>
    </row>
    <row r="168">
      <c r="A168" s="34" t="s">
        <v>1440</v>
      </c>
      <c r="B168" s="34" t="s">
        <v>4349</v>
      </c>
      <c r="C168" s="34" t="s">
        <v>618</v>
      </c>
      <c r="D168" s="13" t="str">
        <f t="shared" si="1"/>
        <v>K</v>
      </c>
      <c r="E168" s="42">
        <f>countif(Constants!F:F,F168)</f>
        <v>1</v>
      </c>
      <c r="F168" s="21" t="str">
        <f>ifna(VLOOKUP($A168,'v2002'!$A:$F,6,false),"")</f>
        <v>KilogramKelvinRelationship</v>
      </c>
      <c r="G168" s="21" t="str">
        <f>IFERROR(__xludf.DUMMYFUNCTION("REGEXREPLACE(substitute(substitute(B168,"" "",""""),""..."",""""),""\(.*\)"","""")"),"6.509651e39")</f>
        <v>6.509651e39</v>
      </c>
      <c r="H168" s="43">
        <f t="shared" si="2"/>
        <v>6.50965E+39</v>
      </c>
      <c r="I168" s="21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43">
        <f t="shared" si="3"/>
        <v>1.1E+32</v>
      </c>
      <c r="K168" s="43" t="b">
        <f t="shared" si="4"/>
        <v>0</v>
      </c>
      <c r="L168" s="21" t="str">
        <f>IFERROR(__xludf.DUMMYFUNCTION("if(regexmatch(B168,""e(.*)$""),regexextract(B168,""e(.*)$""),"""")"),"39")</f>
        <v>39</v>
      </c>
    </row>
    <row r="169">
      <c r="A169" s="34" t="s">
        <v>1445</v>
      </c>
      <c r="B169" s="34" t="s">
        <v>4860</v>
      </c>
      <c r="C169" s="34" t="s">
        <v>571</v>
      </c>
      <c r="D169" s="13" t="str">
        <f t="shared" si="1"/>
        <v>m</v>
      </c>
      <c r="E169" s="42">
        <f>countif(Constants!F:F,F169)</f>
        <v>1</v>
      </c>
      <c r="F169" s="21" t="str">
        <f>ifna(VLOOKUP($A169,'v2002'!$A:$F,6,false),"")</f>
        <v>LatticeParameterOfSilicon</v>
      </c>
      <c r="G169" s="21" t="str">
        <f>IFERROR(__xludf.DUMMYFUNCTION("REGEXREPLACE(substitute(substitute(B169,"" "",""""),""..."",""""),""\(.*\)"","""")"),"543.102088e-12")</f>
        <v>543.102088e-12</v>
      </c>
      <c r="H169" s="43">
        <f t="shared" si="2"/>
        <v>0.000000000543102088</v>
      </c>
      <c r="I169" s="21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43">
        <f t="shared" si="3"/>
        <v>0</v>
      </c>
      <c r="K169" s="43" t="b">
        <f t="shared" si="4"/>
        <v>0</v>
      </c>
      <c r="L169" s="21" t="str">
        <f>IFERROR(__xludf.DUMMYFUNCTION("if(regexmatch(B169,""e(.*)$""),regexextract(B169,""e(.*)$""),"""")"),"-12")</f>
        <v>-12</v>
      </c>
    </row>
    <row r="170">
      <c r="A170" s="34" t="s">
        <v>4351</v>
      </c>
      <c r="B170" s="34" t="s">
        <v>4861</v>
      </c>
      <c r="C170" s="34" t="s">
        <v>571</v>
      </c>
      <c r="D170" s="13" t="str">
        <f t="shared" si="1"/>
        <v>m</v>
      </c>
      <c r="E170" s="42">
        <f>countif(Constants!F:F,F170)</f>
        <v>1</v>
      </c>
      <c r="F170" s="21" t="str">
        <f>ifna(VLOOKUP($A170,'v2002'!$A:$F,6,false),"")</f>
        <v>LatticeSpacingOfSilicon</v>
      </c>
      <c r="G170" s="21" t="str">
        <f>IFERROR(__xludf.DUMMYFUNCTION("REGEXREPLACE(substitute(substitute(B170,"" "",""""),""..."",""""),""\(.*\)"","""")"),"192.0155845e-12")</f>
        <v>192.0155845e-12</v>
      </c>
      <c r="H170" s="43">
        <f t="shared" si="2"/>
        <v>0.0000000001920155845</v>
      </c>
      <c r="I170" s="21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43">
        <f t="shared" si="3"/>
        <v>0</v>
      </c>
      <c r="K170" s="43" t="b">
        <f t="shared" si="4"/>
        <v>0</v>
      </c>
      <c r="L170" s="21" t="str">
        <f>IFERROR(__xludf.DUMMYFUNCTION("if(regexmatch(B170,""e(.*)$""),regexextract(B170,""e(.*)$""),"""")"),"-12")</f>
        <v>-12</v>
      </c>
    </row>
    <row r="171">
      <c r="A171" s="34" t="s">
        <v>1458</v>
      </c>
      <c r="B171" s="34" t="s">
        <v>4862</v>
      </c>
      <c r="C171" s="34" t="s">
        <v>4354</v>
      </c>
      <c r="D171" s="13" t="str">
        <f t="shared" si="1"/>
        <v>m^-3</v>
      </c>
      <c r="E171" s="42">
        <f>countif(Constants!F:F,F171)</f>
        <v>1</v>
      </c>
      <c r="F171" s="21" t="str">
        <f>ifna(VLOOKUP($A171,'v2002'!$A:$F,6,false),"")</f>
        <v>LoschmidtConstant273K101Kpa</v>
      </c>
      <c r="G171" s="21" t="str">
        <f>IFERROR(__xludf.DUMMYFUNCTION("REGEXREPLACE(substitute(substitute(B171,"" "",""""),""..."",""""),""\(.*\)"","""")"),"2.6867775e25")</f>
        <v>2.6867775e25</v>
      </c>
      <c r="H171" s="43">
        <f t="shared" si="2"/>
        <v>2.68678E+25</v>
      </c>
      <c r="I171" s="21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43">
        <f t="shared" si="3"/>
        <v>4.7E+17</v>
      </c>
      <c r="K171" s="43" t="b">
        <f t="shared" si="4"/>
        <v>0</v>
      </c>
      <c r="L171" s="21" t="str">
        <f>IFERROR(__xludf.DUMMYFUNCTION("if(regexmatch(B171,""e(.*)$""),regexextract(B171,""e(.*)$""),"""")"),"25")</f>
        <v>25</v>
      </c>
    </row>
    <row r="172">
      <c r="A172" s="34" t="s">
        <v>2188</v>
      </c>
      <c r="B172" s="34" t="s">
        <v>4863</v>
      </c>
      <c r="C172" s="34" t="s">
        <v>4356</v>
      </c>
      <c r="D172" s="13" t="str">
        <f t="shared" si="1"/>
        <v>N A^-2</v>
      </c>
      <c r="E172" s="42">
        <f>countif(Constants!F:F,F172)</f>
        <v>1</v>
      </c>
      <c r="F172" s="21" t="str">
        <f>ifna(VLOOKUP($A172,'v2002'!$A:$F,6,false),"")</f>
        <v>MagneticConstant</v>
      </c>
      <c r="G172" s="21" t="str">
        <f>IFERROR(__xludf.DUMMYFUNCTION("REGEXREPLACE(substitute(substitute(B172,"" "",""""),""..."",""""),""\(.*\)"","""")"),"1256637.061435917")</f>
        <v>1256637.061435917</v>
      </c>
      <c r="H172" s="43">
        <f t="shared" si="2"/>
        <v>1256637.061</v>
      </c>
      <c r="I172" s="21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43" t="str">
        <f t="shared" si="3"/>
        <v/>
      </c>
      <c r="K172" s="43" t="b">
        <f t="shared" si="4"/>
        <v>1</v>
      </c>
      <c r="L172" s="21" t="str">
        <f>IFERROR(__xludf.DUMMYFUNCTION("if(regexmatch(B172,""e(.*)$""),regexextract(B172,""e(.*)$""),"""")"),"")</f>
        <v/>
      </c>
    </row>
    <row r="173">
      <c r="A173" s="34" t="s">
        <v>1469</v>
      </c>
      <c r="B173" s="34" t="s">
        <v>4864</v>
      </c>
      <c r="C173" s="34" t="s">
        <v>1468</v>
      </c>
      <c r="D173" s="13" t="str">
        <f t="shared" si="1"/>
        <v>Wb</v>
      </c>
      <c r="E173" s="42">
        <f>countif(Constants!F:F,F173)</f>
        <v>1</v>
      </c>
      <c r="F173" s="21" t="str">
        <f>ifna(VLOOKUP($A173,'v2002'!$A:$F,6,false),"")</f>
        <v>MagneticFluxQuantum</v>
      </c>
      <c r="G173" s="21" t="str">
        <f>IFERROR(__xludf.DUMMYFUNCTION("REGEXREPLACE(substitute(substitute(B173,"" "",""""),""..."",""""),""\(.*\)"","""")"),"2.067833636e-15")</f>
        <v>2.067833636e-15</v>
      </c>
      <c r="H173" s="43">
        <f t="shared" si="2"/>
        <v>0</v>
      </c>
      <c r="I173" s="21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43">
        <f t="shared" si="3"/>
        <v>0</v>
      </c>
      <c r="K173" s="43" t="b">
        <f t="shared" si="4"/>
        <v>0</v>
      </c>
      <c r="L173" s="21" t="str">
        <f>IFERROR(__xludf.DUMMYFUNCTION("if(regexmatch(B173,""e(.*)$""),regexextract(B173,""e(.*)$""),"""")"),"-15")</f>
        <v>-15</v>
      </c>
    </row>
    <row r="174">
      <c r="A174" s="34" t="s">
        <v>3502</v>
      </c>
      <c r="B174" s="34" t="s">
        <v>4865</v>
      </c>
      <c r="C174" s="34" t="s">
        <v>571</v>
      </c>
      <c r="D174" s="13" t="str">
        <f t="shared" si="1"/>
        <v>m</v>
      </c>
      <c r="E174" s="42">
        <f>countif(Constants!F:F,F174)</f>
        <v>1</v>
      </c>
      <c r="F174" s="21" t="str">
        <f>ifna(VLOOKUP($A174,'v2002'!$A:$F,6,false),"")</f>
        <v>MoXUnit</v>
      </c>
      <c r="G174" s="21" t="str">
        <f>IFERROR(__xludf.DUMMYFUNCTION("REGEXREPLACE(substitute(substitute(B174,"" "",""""),""..."",""""),""\(.*\)"","""")"),"1.00209959e-13")</f>
        <v>1.00209959e-13</v>
      </c>
      <c r="H174" s="43">
        <f t="shared" si="2"/>
        <v>0</v>
      </c>
      <c r="I174" s="21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43">
        <f t="shared" si="3"/>
        <v>0</v>
      </c>
      <c r="K174" s="43" t="b">
        <f t="shared" si="4"/>
        <v>0</v>
      </c>
      <c r="L174" s="21" t="str">
        <f>IFERROR(__xludf.DUMMYFUNCTION("if(regexmatch(B174,""e(.*)$""),regexextract(B174,""e(.*)$""),"""")"),"-13")</f>
        <v>-13</v>
      </c>
    </row>
    <row r="175">
      <c r="A175" s="34" t="s">
        <v>1486</v>
      </c>
      <c r="B175" s="34" t="s">
        <v>4866</v>
      </c>
      <c r="C175" s="34" t="s">
        <v>4360</v>
      </c>
      <c r="D175" s="13" t="str">
        <f t="shared" si="1"/>
        <v>J s mol^-1</v>
      </c>
      <c r="E175" s="42">
        <f>countif(Constants!F:F,F175)</f>
        <v>1</v>
      </c>
      <c r="F175" s="21" t="str">
        <f>ifna(VLOOKUP($A175,'v2002'!$A:$F,6,false),"")</f>
        <v>MolarPlanckConstant</v>
      </c>
      <c r="G175" s="21" t="str">
        <f>IFERROR(__xludf.DUMMYFUNCTION("REGEXREPLACE(substitute(substitute(B175,"" "",""""),""..."",""""),""\(.*\)"","""")"),"3.990312689e-10")</f>
        <v>3.990312689e-10</v>
      </c>
      <c r="H175" s="43">
        <f t="shared" si="2"/>
        <v>0.0000000003990312689</v>
      </c>
      <c r="I175" s="21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43">
        <f t="shared" si="3"/>
        <v>0</v>
      </c>
      <c r="K175" s="43" t="b">
        <f t="shared" si="4"/>
        <v>0</v>
      </c>
      <c r="L175" s="21" t="str">
        <f>IFERROR(__xludf.DUMMYFUNCTION("if(regexmatch(B175,""e(.*)$""),regexextract(B175,""e(.*)$""),"""")"),"-10")</f>
        <v>-10</v>
      </c>
    </row>
    <row r="176">
      <c r="A176" s="34" t="s">
        <v>1491</v>
      </c>
      <c r="B176" s="34" t="s">
        <v>4867</v>
      </c>
      <c r="C176" s="34" t="s">
        <v>4362</v>
      </c>
      <c r="D176" s="13" t="str">
        <f t="shared" si="1"/>
        <v>J m mol^-1</v>
      </c>
      <c r="E176" s="42">
        <f>countif(Constants!F:F,F176)</f>
        <v>1</v>
      </c>
      <c r="F176" s="21" t="str">
        <f>ifna(VLOOKUP($A176,'v2002'!$A:$F,6,false),"")</f>
        <v>MolarPlanckConstantTimesC</v>
      </c>
      <c r="G176" s="21" t="str">
        <f>IFERROR(__xludf.DUMMYFUNCTION("REGEXREPLACE(substitute(substitute(B176,"" "",""""),""..."",""""),""\(.*\)"","""")"),"0.11962656492")</f>
        <v>0.11962656492</v>
      </c>
      <c r="H176" s="43">
        <f t="shared" si="2"/>
        <v>0.1196265649</v>
      </c>
      <c r="I176" s="21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43">
        <f t="shared" si="3"/>
        <v>0</v>
      </c>
      <c r="K176" s="43" t="b">
        <f t="shared" si="4"/>
        <v>0</v>
      </c>
      <c r="L176" s="21" t="str">
        <f>IFERROR(__xludf.DUMMYFUNCTION("if(regexmatch(B176,""e(.*)$""),regexextract(B176,""e(.*)$""),"""")"),"")</f>
        <v/>
      </c>
    </row>
    <row r="177">
      <c r="A177" s="34" t="s">
        <v>1473</v>
      </c>
      <c r="B177" s="34" t="s">
        <v>4363</v>
      </c>
      <c r="C177" s="34" t="s">
        <v>4364</v>
      </c>
      <c r="D177" s="13" t="str">
        <f t="shared" si="1"/>
        <v>J mol^-1 K^-1</v>
      </c>
      <c r="E177" s="42">
        <f>countif(Constants!F:F,F177)</f>
        <v>1</v>
      </c>
      <c r="F177" s="21" t="str">
        <f>ifna(VLOOKUP($A177,'v2002'!$A:$F,6,false),"")</f>
        <v>MolarGasConstant</v>
      </c>
      <c r="G177" s="21" t="str">
        <f>IFERROR(__xludf.DUMMYFUNCTION("REGEXREPLACE(substitute(substitute(B177,"" "",""""),""..."",""""),""\(.*\)"","""")"),"8.314472")</f>
        <v>8.314472</v>
      </c>
      <c r="H177" s="43">
        <f t="shared" si="2"/>
        <v>8.314472</v>
      </c>
      <c r="I177" s="21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43">
        <f t="shared" si="3"/>
        <v>0.00000015</v>
      </c>
      <c r="K177" s="43" t="b">
        <f t="shared" si="4"/>
        <v>0</v>
      </c>
      <c r="L177" s="21" t="str">
        <f>IFERROR(__xludf.DUMMYFUNCTION("if(regexmatch(B177,""e(.*)$""),regexextract(B177,""e(.*)$""),"""")"),"")</f>
        <v/>
      </c>
    </row>
    <row r="178">
      <c r="A178" s="34" t="s">
        <v>1478</v>
      </c>
      <c r="B178" s="34" t="s">
        <v>4365</v>
      </c>
      <c r="C178" s="34" t="s">
        <v>4163</v>
      </c>
      <c r="D178" s="13" t="str">
        <f t="shared" si="1"/>
        <v>kg mol^-1</v>
      </c>
      <c r="E178" s="42">
        <f>countif(Constants!F:F,F178)</f>
        <v>1</v>
      </c>
      <c r="F178" s="21" t="str">
        <f>ifna(VLOOKUP($A178,'v2002'!$A:$F,6,false),"")</f>
        <v>MolarMassConstant</v>
      </c>
      <c r="G178" s="21" t="str">
        <f>IFERROR(__xludf.DUMMYFUNCTION("REGEXREPLACE(substitute(substitute(B178,"" "",""""),""..."",""""),""\(.*\)"","""")"),"1e-3")</f>
        <v>1e-3</v>
      </c>
      <c r="H178" s="43">
        <f t="shared" si="2"/>
        <v>0.001</v>
      </c>
      <c r="I178" s="21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43" t="str">
        <f t="shared" si="3"/>
        <v/>
      </c>
      <c r="K178" s="43" t="b">
        <f t="shared" si="4"/>
        <v>0</v>
      </c>
      <c r="L178" s="21" t="str">
        <f>IFERROR(__xludf.DUMMYFUNCTION("if(regexmatch(B178,""e(.*)$""),regexextract(B178,""e(.*)$""),"""")"),"-3")</f>
        <v>-3</v>
      </c>
    </row>
    <row r="179">
      <c r="A179" s="34" t="s">
        <v>1482</v>
      </c>
      <c r="B179" s="34" t="s">
        <v>4366</v>
      </c>
      <c r="C179" s="34" t="s">
        <v>4163</v>
      </c>
      <c r="D179" s="13" t="str">
        <f t="shared" si="1"/>
        <v>kg mol^-1</v>
      </c>
      <c r="E179" s="42">
        <f>countif(Constants!F:F,F179)</f>
        <v>1</v>
      </c>
      <c r="F179" s="21" t="str">
        <f>ifna(VLOOKUP($A179,'v2002'!$A:$F,6,false),"")</f>
        <v>MolarMassOfCarbon12</v>
      </c>
      <c r="G179" s="21" t="str">
        <f>IFERROR(__xludf.DUMMYFUNCTION("REGEXREPLACE(substitute(substitute(B179,"" "",""""),""..."",""""),""\(.*\)"","""")"),"12e-3")</f>
        <v>12e-3</v>
      </c>
      <c r="H179" s="43">
        <f t="shared" si="2"/>
        <v>0.012</v>
      </c>
      <c r="I179" s="21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43" t="str">
        <f t="shared" si="3"/>
        <v/>
      </c>
      <c r="K179" s="43" t="b">
        <f t="shared" si="4"/>
        <v>0</v>
      </c>
      <c r="L179" s="21" t="str">
        <f>IFERROR(__xludf.DUMMYFUNCTION("if(regexmatch(B179,""e(.*)$""),regexextract(B179,""e(.*)$""),"""")"),"-3")</f>
        <v>-3</v>
      </c>
    </row>
    <row r="180">
      <c r="A180" s="34" t="s">
        <v>1498</v>
      </c>
      <c r="B180" s="34" t="s">
        <v>4367</v>
      </c>
      <c r="C180" s="34" t="s">
        <v>4368</v>
      </c>
      <c r="D180" s="13" t="str">
        <f t="shared" si="1"/>
        <v>m^3 mol^-1</v>
      </c>
      <c r="E180" s="42">
        <f>countif(Constants!F:F,F180)</f>
        <v>1</v>
      </c>
      <c r="F180" s="21" t="str">
        <f>ifna(VLOOKUP($A180,'v2002'!$A:$F,6,false),"")</f>
        <v>MolarVolumeOfIdealGas</v>
      </c>
      <c r="G180" s="21" t="str">
        <f>IFERROR(__xludf.DUMMYFUNCTION("REGEXREPLACE(substitute(substitute(B180,"" "",""""),""..."",""""),""\(.*\)"","""")"),"22.710981e-3")</f>
        <v>22.710981e-3</v>
      </c>
      <c r="H180" s="43">
        <f t="shared" si="2"/>
        <v>0.022710981</v>
      </c>
      <c r="I180" s="21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43">
        <f t="shared" si="3"/>
        <v>0.0000000004</v>
      </c>
      <c r="K180" s="43" t="b">
        <f t="shared" si="4"/>
        <v>0</v>
      </c>
      <c r="L180" s="21" t="str">
        <f>IFERROR(__xludf.DUMMYFUNCTION("if(regexmatch(B180,""e(.*)$""),regexextract(B180,""e(.*)$""),"""")"),"-3")</f>
        <v>-3</v>
      </c>
    </row>
    <row r="181">
      <c r="A181" s="34" t="s">
        <v>1503</v>
      </c>
      <c r="B181" s="34" t="s">
        <v>4369</v>
      </c>
      <c r="C181" s="34" t="s">
        <v>4368</v>
      </c>
      <c r="D181" s="13" t="str">
        <f t="shared" si="1"/>
        <v>m^3 mol^-1</v>
      </c>
      <c r="E181" s="42">
        <f>countif(Constants!F:F,F181)</f>
        <v>1</v>
      </c>
      <c r="F181" s="21" t="str">
        <f>ifna(VLOOKUP($A181,'v2002'!$A:$F,6,false),"")</f>
        <v>MolarVolumeOfIdealGas273K101Kpa</v>
      </c>
      <c r="G181" s="21" t="str">
        <f>IFERROR(__xludf.DUMMYFUNCTION("REGEXREPLACE(substitute(substitute(B181,"" "",""""),""..."",""""),""\(.*\)"","""")"),"22.413996e-3")</f>
        <v>22.413996e-3</v>
      </c>
      <c r="H181" s="43">
        <f t="shared" si="2"/>
        <v>0.022413996</v>
      </c>
      <c r="I181" s="21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43">
        <f t="shared" si="3"/>
        <v>0.00000000039</v>
      </c>
      <c r="K181" s="43" t="b">
        <f t="shared" si="4"/>
        <v>0</v>
      </c>
      <c r="L181" s="21" t="str">
        <f>IFERROR(__xludf.DUMMYFUNCTION("if(regexmatch(B181,""e(.*)$""),regexextract(B181,""e(.*)$""),"""")"),"-3")</f>
        <v>-3</v>
      </c>
    </row>
    <row r="182">
      <c r="A182" s="34" t="s">
        <v>1507</v>
      </c>
      <c r="B182" s="34" t="s">
        <v>4868</v>
      </c>
      <c r="C182" s="34" t="s">
        <v>4869</v>
      </c>
      <c r="D182" s="13" t="str">
        <f t="shared" si="1"/>
        <v>m^3mol^-1</v>
      </c>
      <c r="E182" s="42">
        <f>countif(Constants!F:F,F182)</f>
        <v>1</v>
      </c>
      <c r="F182" s="21" t="str">
        <f>ifna(VLOOKUP($A182,'v2002'!$A:$F,6,false),"")</f>
        <v>MolarVolumeOfSilicon</v>
      </c>
      <c r="G182" s="21" t="str">
        <f>IFERROR(__xludf.DUMMYFUNCTION("REGEXREPLACE(substitute(substitute(B182,"" "",""""),""..."",""""),""\(.*\)"","""")"),"12.0588369e-6")</f>
        <v>12.0588369e-6</v>
      </c>
      <c r="H182" s="43">
        <f t="shared" si="2"/>
        <v>0.0000120588369</v>
      </c>
      <c r="I182" s="21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43">
        <f t="shared" si="3"/>
        <v>0</v>
      </c>
      <c r="K182" s="43" t="b">
        <f t="shared" si="4"/>
        <v>0</v>
      </c>
      <c r="L182" s="21" t="str">
        <f>IFERROR(__xludf.DUMMYFUNCTION("if(regexmatch(B182,""e(.*)$""),regexextract(B182,""e(.*)$""),"""")"),"-6")</f>
        <v>-6</v>
      </c>
    </row>
    <row r="183">
      <c r="A183" s="34" t="s">
        <v>1515</v>
      </c>
      <c r="B183" s="34" t="s">
        <v>4870</v>
      </c>
      <c r="C183" s="34" t="s">
        <v>571</v>
      </c>
      <c r="D183" s="13" t="str">
        <f t="shared" si="1"/>
        <v>m</v>
      </c>
      <c r="E183" s="42">
        <f>countif(Constants!F:F,F183)</f>
        <v>1</v>
      </c>
      <c r="F183" s="21" t="str">
        <f>ifna(VLOOKUP($A183,'v2002'!$A:$F,6,false),"")</f>
        <v>MuonComptonWavelength</v>
      </c>
      <c r="G183" s="21" t="str">
        <f>IFERROR(__xludf.DUMMYFUNCTION("REGEXREPLACE(substitute(substitute(B183,"" "",""""),""..."",""""),""\(.*\)"","""")"),"11.73444197e-15")</f>
        <v>11.73444197e-15</v>
      </c>
      <c r="H183" s="43">
        <f t="shared" si="2"/>
        <v>0</v>
      </c>
      <c r="I183" s="21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43">
        <f t="shared" si="3"/>
        <v>0</v>
      </c>
      <c r="K183" s="43" t="b">
        <f t="shared" si="4"/>
        <v>0</v>
      </c>
      <c r="L183" s="21" t="str">
        <f>IFERROR(__xludf.DUMMYFUNCTION("if(regexmatch(B183,""e(.*)$""),regexextract(B183,""e(.*)$""),"""")"),"-15")</f>
        <v>-15</v>
      </c>
    </row>
    <row r="184">
      <c r="A184" s="34" t="s">
        <v>1519</v>
      </c>
      <c r="B184" s="34" t="s">
        <v>4871</v>
      </c>
      <c r="C184" s="34" t="s">
        <v>571</v>
      </c>
      <c r="D184" s="13" t="str">
        <f t="shared" si="1"/>
        <v>m</v>
      </c>
      <c r="E184" s="42">
        <f>countif(Constants!F:F,F184)</f>
        <v>1</v>
      </c>
      <c r="F184" s="21" t="str">
        <f>ifna(VLOOKUP($A184,'v2002'!$A:$F,6,false),"")</f>
        <v>MuonComptonWavelengthOver2Pi</v>
      </c>
      <c r="G184" s="21" t="str">
        <f>IFERROR(__xludf.DUMMYFUNCTION("REGEXREPLACE(substitute(substitute(B184,"" "",""""),""..."",""""),""\(.*\)"","""")"),"1.867594444e-15")</f>
        <v>1.867594444e-15</v>
      </c>
      <c r="H184" s="43">
        <f t="shared" si="2"/>
        <v>0</v>
      </c>
      <c r="I184" s="21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43">
        <f t="shared" si="3"/>
        <v>0</v>
      </c>
      <c r="K184" s="43" t="b">
        <f t="shared" si="4"/>
        <v>0</v>
      </c>
      <c r="L184" s="21" t="str">
        <f>IFERROR(__xludf.DUMMYFUNCTION("if(regexmatch(B184,""e(.*)$""),regexextract(B184,""e(.*)$""),"""")"),"-15")</f>
        <v>-15</v>
      </c>
    </row>
    <row r="185">
      <c r="A185" s="34" t="s">
        <v>1530</v>
      </c>
      <c r="B185" s="34" t="s">
        <v>4872</v>
      </c>
      <c r="C185" s="34"/>
      <c r="D185" s="13" t="str">
        <f t="shared" si="1"/>
        <v/>
      </c>
      <c r="E185" s="42">
        <f>countif(Constants!F:F,F185)</f>
        <v>1</v>
      </c>
      <c r="F185" s="21" t="str">
        <f>ifna(VLOOKUP($A185,'v2002'!$A:$F,6,false),"")</f>
        <v>MuonGFactor</v>
      </c>
      <c r="G185" s="21" t="str">
        <f>IFERROR(__xludf.DUMMYFUNCTION("REGEXREPLACE(substitute(substitute(B185,"" "",""""),""..."",""""),""\(.*\)"","""")"),"-2.0023318320")</f>
        <v>-2.0023318320</v>
      </c>
      <c r="H185" s="43">
        <f t="shared" si="2"/>
        <v>-2.002331832</v>
      </c>
      <c r="I185" s="21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43">
        <f t="shared" si="3"/>
        <v>0</v>
      </c>
      <c r="K185" s="43" t="b">
        <f t="shared" si="4"/>
        <v>0</v>
      </c>
      <c r="L185" s="21" t="str">
        <f>IFERROR(__xludf.DUMMYFUNCTION("if(regexmatch(B185,""e(.*)$""),regexextract(B185,""e(.*)$""),"""")"),"")</f>
        <v/>
      </c>
    </row>
    <row r="186">
      <c r="A186" s="34" t="s">
        <v>1535</v>
      </c>
      <c r="B186" s="34" t="s">
        <v>4873</v>
      </c>
      <c r="C186" s="34" t="s">
        <v>4197</v>
      </c>
      <c r="D186" s="13" t="str">
        <f t="shared" si="1"/>
        <v>J T^-1</v>
      </c>
      <c r="E186" s="42">
        <f>countif(Constants!F:F,F186)</f>
        <v>1</v>
      </c>
      <c r="F186" s="21" t="str">
        <f>ifna(VLOOKUP($A186,'v2002'!$A:$F,6,false),"")</f>
        <v>MuonMagneticMoment</v>
      </c>
      <c r="G186" s="21" t="str">
        <f>IFERROR(__xludf.DUMMYFUNCTION("REGEXREPLACE(substitute(substitute(B186,"" "",""""),""..."",""""),""\(.*\)"","""")"),"-4.49044813e-26")</f>
        <v>-4.49044813e-26</v>
      </c>
      <c r="H186" s="43">
        <f t="shared" si="2"/>
        <v>0</v>
      </c>
      <c r="I186" s="21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43">
        <f t="shared" si="3"/>
        <v>0</v>
      </c>
      <c r="K186" s="43" t="b">
        <f t="shared" si="4"/>
        <v>0</v>
      </c>
      <c r="L186" s="21" t="str">
        <f>IFERROR(__xludf.DUMMYFUNCTION("if(regexmatch(B186,""e(.*)$""),regexextract(B186,""e(.*)$""),"""")"),"-26")</f>
        <v>-26</v>
      </c>
    </row>
    <row r="187">
      <c r="A187" s="34" t="s">
        <v>1541</v>
      </c>
      <c r="B187" s="34" t="s">
        <v>4874</v>
      </c>
      <c r="C187" s="34"/>
      <c r="D187" s="13" t="str">
        <f t="shared" si="1"/>
        <v/>
      </c>
      <c r="E187" s="42">
        <f>countif(Constants!F:F,F187)</f>
        <v>1</v>
      </c>
      <c r="F187" s="21" t="str">
        <f>ifna(VLOOKUP($A187,'v2002'!$A:$F,6,false),"")</f>
        <v>MuonMagneticMomentAnomaly</v>
      </c>
      <c r="G187" s="21" t="str">
        <f>IFERROR(__xludf.DUMMYFUNCTION("REGEXREPLACE(substitute(substitute(B187,"" "",""""),""..."",""""),""\(.*\)"","""")"),"1.16591602e-3")</f>
        <v>1.16591602e-3</v>
      </c>
      <c r="H187" s="43">
        <f t="shared" si="2"/>
        <v>0.00116591602</v>
      </c>
      <c r="I187" s="21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43">
        <f t="shared" si="3"/>
        <v>0</v>
      </c>
      <c r="K187" s="43" t="b">
        <f t="shared" si="4"/>
        <v>0</v>
      </c>
      <c r="L187" s="21" t="str">
        <f>IFERROR(__xludf.DUMMYFUNCTION("if(regexmatch(B187,""e(.*)$""),regexextract(B187,""e(.*)$""),"""")"),"-3")</f>
        <v>-3</v>
      </c>
    </row>
    <row r="188">
      <c r="A188" s="34" t="s">
        <v>1546</v>
      </c>
      <c r="B188" s="34" t="s">
        <v>4875</v>
      </c>
      <c r="C188" s="34"/>
      <c r="D188" s="13" t="str">
        <f t="shared" si="1"/>
        <v/>
      </c>
      <c r="E188" s="42">
        <f>countif(Constants!F:F,F188)</f>
        <v>1</v>
      </c>
      <c r="F188" s="21" t="str">
        <f>ifna(VLOOKUP($A188,'v2002'!$A:$F,6,false),"")</f>
        <v>MuonMagneticMomentToBohrMagnetonRatio</v>
      </c>
      <c r="G188" s="21" t="str">
        <f>IFERROR(__xludf.DUMMYFUNCTION("REGEXREPLACE(substitute(substitute(B188,"" "",""""),""..."",""""),""\(.*\)"","""")"),"-4.84197085e-3")</f>
        <v>-4.84197085e-3</v>
      </c>
      <c r="H188" s="43">
        <f t="shared" si="2"/>
        <v>-0.00484197085</v>
      </c>
      <c r="I188" s="21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43">
        <f t="shared" si="3"/>
        <v>0</v>
      </c>
      <c r="K188" s="43" t="b">
        <f t="shared" si="4"/>
        <v>0</v>
      </c>
      <c r="L188" s="21" t="str">
        <f>IFERROR(__xludf.DUMMYFUNCTION("if(regexmatch(B188,""e(.*)$""),regexextract(B188,""e(.*)$""),"""")"),"-3")</f>
        <v>-3</v>
      </c>
    </row>
    <row r="189">
      <c r="A189" s="34" t="s">
        <v>1551</v>
      </c>
      <c r="B189" s="34" t="s">
        <v>4876</v>
      </c>
      <c r="C189" s="34"/>
      <c r="D189" s="13" t="str">
        <f t="shared" si="1"/>
        <v/>
      </c>
      <c r="E189" s="42">
        <f>countif(Constants!F:F,F189)</f>
        <v>1</v>
      </c>
      <c r="F189" s="21" t="str">
        <f>ifna(VLOOKUP($A189,'v2002'!$A:$F,6,false),"")</f>
        <v>MuonMagneticMomentToNuclearMagnetonRatio</v>
      </c>
      <c r="G189" s="21" t="str">
        <f>IFERROR(__xludf.DUMMYFUNCTION("REGEXREPLACE(substitute(substitute(B189,"" "",""""),""..."",""""),""\(.*\)"","""")"),"-8.89059770")</f>
        <v>-8.89059770</v>
      </c>
      <c r="H189" s="43">
        <f t="shared" si="2"/>
        <v>-8.8905977</v>
      </c>
      <c r="I189" s="21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43">
        <f t="shared" si="3"/>
        <v>0.0000000027</v>
      </c>
      <c r="K189" s="43" t="b">
        <f t="shared" si="4"/>
        <v>0</v>
      </c>
      <c r="L189" s="21" t="str">
        <f>IFERROR(__xludf.DUMMYFUNCTION("if(regexmatch(B189,""e(.*)$""),regexextract(B189,""e(.*)$""),"""")"),"")</f>
        <v/>
      </c>
    </row>
    <row r="190">
      <c r="A190" s="34" t="s">
        <v>1555</v>
      </c>
      <c r="B190" s="34" t="s">
        <v>4877</v>
      </c>
      <c r="C190" s="34" t="s">
        <v>538</v>
      </c>
      <c r="D190" s="13" t="str">
        <f t="shared" si="1"/>
        <v>kg</v>
      </c>
      <c r="E190" s="42">
        <f>countif(Constants!F:F,F190)</f>
        <v>1</v>
      </c>
      <c r="F190" s="21" t="str">
        <f>ifna(VLOOKUP($A190,'v2002'!$A:$F,6,false),"")</f>
        <v>MuonMass</v>
      </c>
      <c r="G190" s="21" t="str">
        <f>IFERROR(__xludf.DUMMYFUNCTION("REGEXREPLACE(substitute(substitute(B190,"" "",""""),""..."",""""),""\(.*\)"","""")"),"1.88353109e-28")</f>
        <v>1.88353109e-28</v>
      </c>
      <c r="H190" s="43">
        <f t="shared" si="2"/>
        <v>0</v>
      </c>
      <c r="I190" s="21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43">
        <f t="shared" si="3"/>
        <v>0</v>
      </c>
      <c r="K190" s="43" t="b">
        <f t="shared" si="4"/>
        <v>0</v>
      </c>
      <c r="L190" s="21" t="str">
        <f>IFERROR(__xludf.DUMMYFUNCTION("if(regexmatch(B190,""e(.*)$""),regexextract(B190,""e(.*)$""),"""")"),"-28")</f>
        <v>-28</v>
      </c>
    </row>
    <row r="191">
      <c r="A191" s="34" t="s">
        <v>1559</v>
      </c>
      <c r="B191" s="34" t="s">
        <v>4878</v>
      </c>
      <c r="C191" s="34" t="s">
        <v>543</v>
      </c>
      <c r="D191" s="13" t="str">
        <f t="shared" si="1"/>
        <v>J</v>
      </c>
      <c r="E191" s="42">
        <f>countif(Constants!F:F,F191)</f>
        <v>1</v>
      </c>
      <c r="F191" s="21" t="str">
        <f>ifna(VLOOKUP($A191,'v2002'!$A:$F,6,false),"")</f>
        <v>MuonMassEnergyEquivalent</v>
      </c>
      <c r="G191" s="21" t="str">
        <f>IFERROR(__xludf.DUMMYFUNCTION("REGEXREPLACE(substitute(substitute(B191,"" "",""""),""..."",""""),""\(.*\)"","""")"),"1.69283332e-11")</f>
        <v>1.69283332e-11</v>
      </c>
      <c r="H191" s="43">
        <f t="shared" si="2"/>
        <v>0</v>
      </c>
      <c r="I191" s="21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43">
        <f t="shared" si="3"/>
        <v>0</v>
      </c>
      <c r="K191" s="43" t="b">
        <f t="shared" si="4"/>
        <v>0</v>
      </c>
      <c r="L191" s="21" t="str">
        <f>IFERROR(__xludf.DUMMYFUNCTION("if(regexmatch(B191,""e(.*)$""),regexextract(B191,""e(.*)$""),"""")"),"-11")</f>
        <v>-11</v>
      </c>
    </row>
    <row r="192">
      <c r="A192" s="34" t="s">
        <v>1563</v>
      </c>
      <c r="B192" s="34" t="s">
        <v>4879</v>
      </c>
      <c r="C192" s="34" t="s">
        <v>548</v>
      </c>
      <c r="D192" s="13" t="str">
        <f t="shared" si="1"/>
        <v>MeV</v>
      </c>
      <c r="E192" s="42">
        <f>countif(Constants!F:F,F192)</f>
        <v>1</v>
      </c>
      <c r="F192" s="21" t="str">
        <f>ifna(VLOOKUP($A192,'v2002'!$A:$F,6,false),"")</f>
        <v>MuonMassEnergyEquivalentInMeV</v>
      </c>
      <c r="G192" s="21" t="str">
        <f>IFERROR(__xludf.DUMMYFUNCTION("REGEXREPLACE(substitute(substitute(B192,"" "",""""),""..."",""""),""\(.*\)"","""")"),"105.6583568")</f>
        <v>105.6583568</v>
      </c>
      <c r="H192" s="43">
        <f t="shared" si="2"/>
        <v>105.6583568</v>
      </c>
      <c r="I192" s="21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43">
        <f t="shared" si="3"/>
        <v>0.000000052</v>
      </c>
      <c r="K192" s="43" t="b">
        <f t="shared" si="4"/>
        <v>0</v>
      </c>
      <c r="L192" s="21" t="str">
        <f>IFERROR(__xludf.DUMMYFUNCTION("if(regexmatch(B192,""e(.*)$""),regexextract(B192,""e(.*)$""),"""")"),"")</f>
        <v/>
      </c>
    </row>
    <row r="193">
      <c r="A193" s="34" t="s">
        <v>1566</v>
      </c>
      <c r="B193" s="34" t="s">
        <v>4880</v>
      </c>
      <c r="C193" s="34" t="s">
        <v>553</v>
      </c>
      <c r="D193" s="13" t="str">
        <f t="shared" si="1"/>
        <v>u</v>
      </c>
      <c r="E193" s="42">
        <f>countif(Constants!F:F,F193)</f>
        <v>1</v>
      </c>
      <c r="F193" s="21" t="str">
        <f>ifna(VLOOKUP($A193,'v2002'!$A:$F,6,false),"")</f>
        <v>MuonMassInAtomicMassUnit</v>
      </c>
      <c r="G193" s="21" t="str">
        <f>IFERROR(__xludf.DUMMYFUNCTION("REGEXREPLACE(substitute(substitute(B193,"" "",""""),""..."",""""),""\(.*\)"","""")"),"0.1134289168")</f>
        <v>0.1134289168</v>
      </c>
      <c r="H193" s="43">
        <f t="shared" si="2"/>
        <v>0.1134289168</v>
      </c>
      <c r="I193" s="21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43">
        <f t="shared" si="3"/>
        <v>0</v>
      </c>
      <c r="K193" s="43" t="b">
        <f t="shared" si="4"/>
        <v>0</v>
      </c>
      <c r="L193" s="21" t="str">
        <f>IFERROR(__xludf.DUMMYFUNCTION("if(regexmatch(B193,""e(.*)$""),regexextract(B193,""e(.*)$""),"""")"),"")</f>
        <v/>
      </c>
    </row>
    <row r="194">
      <c r="A194" s="34" t="s">
        <v>1569</v>
      </c>
      <c r="B194" s="34" t="s">
        <v>4881</v>
      </c>
      <c r="C194" s="34" t="s">
        <v>4163</v>
      </c>
      <c r="D194" s="13" t="str">
        <f t="shared" si="1"/>
        <v>kg mol^-1</v>
      </c>
      <c r="E194" s="42">
        <f>countif(Constants!F:F,F194)</f>
        <v>1</v>
      </c>
      <c r="F194" s="21" t="str">
        <f>ifna(VLOOKUP($A194,'v2002'!$A:$F,6,false),"")</f>
        <v>MuonMolarMass</v>
      </c>
      <c r="G194" s="21" t="str">
        <f>IFERROR(__xludf.DUMMYFUNCTION("REGEXREPLACE(substitute(substitute(B194,"" "",""""),""..."",""""),""\(.*\)"","""")"),"0.1134289168e-3")</f>
        <v>0.1134289168e-3</v>
      </c>
      <c r="H194" s="43">
        <f t="shared" si="2"/>
        <v>0.0001134289168</v>
      </c>
      <c r="I194" s="21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43">
        <f t="shared" si="3"/>
        <v>0</v>
      </c>
      <c r="K194" s="43" t="b">
        <f t="shared" si="4"/>
        <v>0</v>
      </c>
      <c r="L194" s="21" t="str">
        <f>IFERROR(__xludf.DUMMYFUNCTION("if(regexmatch(B194,""e(.*)$""),regexextract(B194,""e(.*)$""),"""")"),"-3")</f>
        <v>-3</v>
      </c>
    </row>
    <row r="195">
      <c r="A195" s="34" t="s">
        <v>1525</v>
      </c>
      <c r="B195" s="34" t="s">
        <v>4882</v>
      </c>
      <c r="C195" s="34"/>
      <c r="D195" s="13" t="str">
        <f t="shared" si="1"/>
        <v/>
      </c>
      <c r="E195" s="42">
        <f>countif(Constants!F:F,F195)</f>
        <v>1</v>
      </c>
      <c r="F195" s="21" t="str">
        <f>ifna(VLOOKUP($A195,'v2002'!$A:$F,6,false),"")</f>
        <v>MuonElectronMassRatio</v>
      </c>
      <c r="G195" s="21" t="str">
        <f>IFERROR(__xludf.DUMMYFUNCTION("REGEXREPLACE(substitute(substitute(B195,"" "",""""),""..."",""""),""\(.*\)"","""")"),"206.7682657")</f>
        <v>206.7682657</v>
      </c>
      <c r="H195" s="43">
        <f t="shared" si="2"/>
        <v>206.7682657</v>
      </c>
      <c r="I195" s="21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43">
        <f t="shared" si="3"/>
        <v>0.000000063</v>
      </c>
      <c r="K195" s="43" t="b">
        <f t="shared" si="4"/>
        <v>0</v>
      </c>
      <c r="L195" s="21" t="str">
        <f>IFERROR(__xludf.DUMMYFUNCTION("if(regexmatch(B195,""e(.*)$""),regexextract(B195,""e(.*)$""),"""")"),"")</f>
        <v/>
      </c>
    </row>
    <row r="196">
      <c r="A196" s="34" t="s">
        <v>1573</v>
      </c>
      <c r="B196" s="34" t="s">
        <v>4883</v>
      </c>
      <c r="C196" s="34"/>
      <c r="D196" s="13" t="str">
        <f t="shared" si="1"/>
        <v/>
      </c>
      <c r="E196" s="42">
        <f>countif(Constants!F:F,F196)</f>
        <v>1</v>
      </c>
      <c r="F196" s="21" t="str">
        <f>ifna(VLOOKUP($A196,'v2002'!$A:$F,6,false),"")</f>
        <v>MuonNeutronMassRatio</v>
      </c>
      <c r="G196" s="21" t="str">
        <f>IFERROR(__xludf.DUMMYFUNCTION("REGEXREPLACE(substitute(substitute(B196,"" "",""""),""..."",""""),""\(.*\)"","""")"),"0.1124545079")</f>
        <v>0.1124545079</v>
      </c>
      <c r="H196" s="43">
        <f t="shared" si="2"/>
        <v>0.1124545079</v>
      </c>
      <c r="I196" s="21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43">
        <f t="shared" si="3"/>
        <v>0</v>
      </c>
      <c r="K196" s="43" t="b">
        <f t="shared" si="4"/>
        <v>0</v>
      </c>
      <c r="L196" s="21" t="str">
        <f>IFERROR(__xludf.DUMMYFUNCTION("if(regexmatch(B196,""e(.*)$""),regexextract(B196,""e(.*)$""),"""")"),"")</f>
        <v/>
      </c>
    </row>
    <row r="197">
      <c r="A197" s="34" t="s">
        <v>4385</v>
      </c>
      <c r="B197" s="34" t="s">
        <v>4884</v>
      </c>
      <c r="C197" s="34"/>
      <c r="D197" s="13" t="str">
        <f t="shared" si="1"/>
        <v/>
      </c>
      <c r="E197" s="42">
        <f>countif(Constants!F:F,F197)</f>
        <v>1</v>
      </c>
      <c r="F197" s="21" t="str">
        <f>ifna(VLOOKUP($A197,'v2002'!$A:$F,6,false),"")</f>
        <v>MuonProtonMagneticMomentRatio</v>
      </c>
      <c r="G197" s="21" t="str">
        <f>IFERROR(__xludf.DUMMYFUNCTION("REGEXREPLACE(substitute(substitute(B197,"" "",""""),""..."",""""),""\(.*\)"","""")"),"-3.18334539")</f>
        <v>-3.18334539</v>
      </c>
      <c r="H197" s="43">
        <f t="shared" si="2"/>
        <v>-3.18334539</v>
      </c>
      <c r="I197" s="21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43">
        <f t="shared" si="3"/>
        <v>0.000000001</v>
      </c>
      <c r="K197" s="43" t="b">
        <f t="shared" si="4"/>
        <v>0</v>
      </c>
      <c r="L197" s="21" t="str">
        <f>IFERROR(__xludf.DUMMYFUNCTION("if(regexmatch(B197,""e(.*)$""),regexextract(B197,""e(.*)$""),"""")"),"")</f>
        <v/>
      </c>
    </row>
    <row r="198">
      <c r="A198" s="34" t="s">
        <v>1583</v>
      </c>
      <c r="B198" s="34" t="s">
        <v>4885</v>
      </c>
      <c r="C198" s="34"/>
      <c r="D198" s="13" t="str">
        <f t="shared" si="1"/>
        <v/>
      </c>
      <c r="E198" s="42">
        <f>countif(Constants!F:F,F198)</f>
        <v>1</v>
      </c>
      <c r="F198" s="21" t="str">
        <f>ifna(VLOOKUP($A198,'v2002'!$A:$F,6,false),"")</f>
        <v>MuonProtonMassRatio</v>
      </c>
      <c r="G198" s="21" t="str">
        <f>IFERROR(__xludf.DUMMYFUNCTION("REGEXREPLACE(substitute(substitute(B198,"" "",""""),""..."",""""),""\(.*\)"","""")"),"0.1126095173")</f>
        <v>0.1126095173</v>
      </c>
      <c r="H198" s="43">
        <f t="shared" si="2"/>
        <v>0.1126095173</v>
      </c>
      <c r="I198" s="21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43">
        <f t="shared" si="3"/>
        <v>0</v>
      </c>
      <c r="K198" s="43" t="b">
        <f t="shared" si="4"/>
        <v>0</v>
      </c>
      <c r="L198" s="21" t="str">
        <f>IFERROR(__xludf.DUMMYFUNCTION("if(regexmatch(B198,""e(.*)$""),regexextract(B198,""e(.*)$""),"""")"),"")</f>
        <v/>
      </c>
    </row>
    <row r="199">
      <c r="A199" s="34" t="s">
        <v>1588</v>
      </c>
      <c r="B199" s="34" t="s">
        <v>4886</v>
      </c>
      <c r="C199" s="34"/>
      <c r="D199" s="13" t="str">
        <f t="shared" si="1"/>
        <v/>
      </c>
      <c r="E199" s="42">
        <f>countif(Constants!F:F,F199)</f>
        <v>1</v>
      </c>
      <c r="F199" s="21" t="str">
        <f>ifna(VLOOKUP($A199,'v2002'!$A:$F,6,false),"")</f>
        <v>MuonTauMassRatio</v>
      </c>
      <c r="G199" s="21" t="str">
        <f>IFERROR(__xludf.DUMMYFUNCTION("REGEXREPLACE(substitute(substitute(B199,"" "",""""),""..."",""""),""\(.*\)"","""")"),"5.94572e-2")</f>
        <v>5.94572e-2</v>
      </c>
      <c r="H199" s="43">
        <f t="shared" si="2"/>
        <v>0.0594572</v>
      </c>
      <c r="I199" s="21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43">
        <f t="shared" si="3"/>
        <v>0.000000097</v>
      </c>
      <c r="K199" s="43" t="b">
        <f t="shared" si="4"/>
        <v>0</v>
      </c>
      <c r="L199" s="21" t="str">
        <f>IFERROR(__xludf.DUMMYFUNCTION("if(regexmatch(B199,""e(.*)$""),regexextract(B199,""e(.*)$""),"""")"),"-2")</f>
        <v>-2</v>
      </c>
    </row>
    <row r="200">
      <c r="A200" s="34" t="s">
        <v>1593</v>
      </c>
      <c r="B200" s="34" t="s">
        <v>4745</v>
      </c>
      <c r="C200" s="34" t="s">
        <v>643</v>
      </c>
      <c r="D200" s="13" t="str">
        <f t="shared" si="1"/>
        <v>J s</v>
      </c>
      <c r="E200" s="42">
        <f>countif(Constants!F:F,F200)</f>
        <v>1</v>
      </c>
      <c r="F200" s="21" t="str">
        <f>ifna(VLOOKUP($A200,'v2002'!$A:$F,6,false),"")</f>
        <v>NaturalUnitOfAction</v>
      </c>
      <c r="G200" s="21" t="str">
        <f>IFERROR(__xludf.DUMMYFUNCTION("REGEXREPLACE(substitute(substitute(B200,"" "",""""),""..."",""""),""\(.*\)"","""")"),"1.054571596e-34")</f>
        <v>1.054571596e-34</v>
      </c>
      <c r="H200" s="43">
        <f t="shared" si="2"/>
        <v>0</v>
      </c>
      <c r="I200" s="21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43">
        <f t="shared" si="3"/>
        <v>0</v>
      </c>
      <c r="K200" s="43" t="b">
        <f t="shared" si="4"/>
        <v>0</v>
      </c>
      <c r="L200" s="21" t="str">
        <f>IFERROR(__xludf.DUMMYFUNCTION("if(regexmatch(B200,""e(.*)$""),regexextract(B200,""e(.*)$""),"""")"),"-34")</f>
        <v>-34</v>
      </c>
    </row>
    <row r="201">
      <c r="A201" s="34" t="s">
        <v>1597</v>
      </c>
      <c r="B201" s="34" t="s">
        <v>4887</v>
      </c>
      <c r="C201" s="34" t="s">
        <v>1598</v>
      </c>
      <c r="D201" s="13" t="str">
        <f t="shared" si="1"/>
        <v>eV s</v>
      </c>
      <c r="E201" s="42">
        <f>countif(Constants!F:F,F201)</f>
        <v>1</v>
      </c>
      <c r="F201" s="21" t="str">
        <f>ifna(VLOOKUP($A201,'v2002'!$A:$F,6,false),"")</f>
        <v>NaturalUnitOfActionInEVS</v>
      </c>
      <c r="G201" s="21" t="str">
        <f>IFERROR(__xludf.DUMMYFUNCTION("REGEXREPLACE(substitute(substitute(B201,"" "",""""),""..."",""""),""\(.*\)"","""")"),"6.58211889e-16")</f>
        <v>6.58211889e-16</v>
      </c>
      <c r="H201" s="43">
        <f t="shared" si="2"/>
        <v>0</v>
      </c>
      <c r="I201" s="21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43">
        <f t="shared" si="3"/>
        <v>0</v>
      </c>
      <c r="K201" s="43" t="b">
        <f t="shared" si="4"/>
        <v>0</v>
      </c>
      <c r="L201" s="21" t="str">
        <f>IFERROR(__xludf.DUMMYFUNCTION("if(regexmatch(B201,""e(.*)$""),regexextract(B201,""e(.*)$""),"""")"),"-16")</f>
        <v>-16</v>
      </c>
    </row>
    <row r="202">
      <c r="A202" s="34" t="s">
        <v>1602</v>
      </c>
      <c r="B202" s="34" t="s">
        <v>4798</v>
      </c>
      <c r="C202" s="34" t="s">
        <v>543</v>
      </c>
      <c r="D202" s="13" t="str">
        <f t="shared" si="1"/>
        <v>J</v>
      </c>
      <c r="E202" s="42">
        <f>countif(Constants!F:F,F202)</f>
        <v>1</v>
      </c>
      <c r="F202" s="21" t="str">
        <f>ifna(VLOOKUP($A202,'v2002'!$A:$F,6,false),"")</f>
        <v>NaturalUnitOfEnergy</v>
      </c>
      <c r="G202" s="21" t="str">
        <f>IFERROR(__xludf.DUMMYFUNCTION("REGEXREPLACE(substitute(substitute(B202,"" "",""""),""..."",""""),""\(.*\)"","""")"),"8.18710414e-14")</f>
        <v>8.18710414e-14</v>
      </c>
      <c r="H202" s="43">
        <f t="shared" si="2"/>
        <v>0</v>
      </c>
      <c r="I202" s="21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43">
        <f t="shared" si="3"/>
        <v>0</v>
      </c>
      <c r="K202" s="43" t="b">
        <f t="shared" si="4"/>
        <v>0</v>
      </c>
      <c r="L202" s="21" t="str">
        <f>IFERROR(__xludf.DUMMYFUNCTION("if(regexmatch(B202,""e(.*)$""),regexextract(B202,""e(.*)$""),"""")"),"-14")</f>
        <v>-14</v>
      </c>
    </row>
    <row r="203">
      <c r="A203" s="34" t="s">
        <v>1606</v>
      </c>
      <c r="B203" s="34" t="s">
        <v>4799</v>
      </c>
      <c r="C203" s="34" t="s">
        <v>548</v>
      </c>
      <c r="D203" s="13" t="str">
        <f t="shared" si="1"/>
        <v>MeV</v>
      </c>
      <c r="E203" s="42">
        <f>countif(Constants!F:F,F203)</f>
        <v>1</v>
      </c>
      <c r="F203" s="21" t="str">
        <f>ifna(VLOOKUP($A203,'v2002'!$A:$F,6,false),"")</f>
        <v>NaturalUnitOfEnergyInMeV</v>
      </c>
      <c r="G203" s="21" t="str">
        <f>IFERROR(__xludf.DUMMYFUNCTION("REGEXREPLACE(substitute(substitute(B203,"" "",""""),""..."",""""),""\(.*\)"","""")"),"0.510998902")</f>
        <v>0.510998902</v>
      </c>
      <c r="H203" s="43">
        <f t="shared" si="2"/>
        <v>0.510998902</v>
      </c>
      <c r="I203" s="21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43">
        <f t="shared" si="3"/>
        <v>0.00000000021</v>
      </c>
      <c r="K203" s="43" t="b">
        <f t="shared" si="4"/>
        <v>0</v>
      </c>
      <c r="L203" s="21" t="str">
        <f>IFERROR(__xludf.DUMMYFUNCTION("if(regexmatch(B203,""e(.*)$""),regexextract(B203,""e(.*)$""),"""")"),"")</f>
        <v/>
      </c>
    </row>
    <row r="204">
      <c r="A204" s="34" t="s">
        <v>1609</v>
      </c>
      <c r="B204" s="34" t="s">
        <v>4773</v>
      </c>
      <c r="C204" s="34" t="s">
        <v>571</v>
      </c>
      <c r="D204" s="13" t="str">
        <f t="shared" si="1"/>
        <v>m</v>
      </c>
      <c r="E204" s="42">
        <f>countif(Constants!F:F,F204)</f>
        <v>1</v>
      </c>
      <c r="F204" s="21" t="str">
        <f>ifna(VLOOKUP($A204,'v2002'!$A:$F,6,false),"")</f>
        <v>NaturalUnitOfLength</v>
      </c>
      <c r="G204" s="21" t="str">
        <f>IFERROR(__xludf.DUMMYFUNCTION("REGEXREPLACE(substitute(substitute(B204,"" "",""""),""..."",""""),""\(.*\)"","""")"),"386.1592642e-15")</f>
        <v>386.1592642e-15</v>
      </c>
      <c r="H204" s="43">
        <f t="shared" si="2"/>
        <v>0</v>
      </c>
      <c r="I204" s="21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43">
        <f t="shared" si="3"/>
        <v>0</v>
      </c>
      <c r="K204" s="43" t="b">
        <f t="shared" si="4"/>
        <v>0</v>
      </c>
      <c r="L204" s="21" t="str">
        <f>IFERROR(__xludf.DUMMYFUNCTION("if(regexmatch(B204,""e(.*)$""),regexextract(B204,""e(.*)$""),"""")"),"-15")</f>
        <v>-15</v>
      </c>
    </row>
    <row r="205">
      <c r="A205" s="34" t="s">
        <v>1613</v>
      </c>
      <c r="B205" s="34" t="s">
        <v>4760</v>
      </c>
      <c r="C205" s="34" t="s">
        <v>538</v>
      </c>
      <c r="D205" s="13" t="str">
        <f t="shared" si="1"/>
        <v>kg</v>
      </c>
      <c r="E205" s="42">
        <f>countif(Constants!F:F,F205)</f>
        <v>1</v>
      </c>
      <c r="F205" s="21" t="str">
        <f>ifna(VLOOKUP($A205,'v2002'!$A:$F,6,false),"")</f>
        <v>NaturalUnitOfMass</v>
      </c>
      <c r="G205" s="21" t="str">
        <f>IFERROR(__xludf.DUMMYFUNCTION("REGEXREPLACE(substitute(substitute(B205,"" "",""""),""..."",""""),""\(.*\)"","""")"),"9.10938188e-31")</f>
        <v>9.10938188e-31</v>
      </c>
      <c r="H205" s="43">
        <f t="shared" si="2"/>
        <v>0</v>
      </c>
      <c r="I205" s="21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43">
        <f t="shared" si="3"/>
        <v>0</v>
      </c>
      <c r="K205" s="43" t="b">
        <f t="shared" si="4"/>
        <v>0</v>
      </c>
      <c r="L205" s="21" t="str">
        <f>IFERROR(__xludf.DUMMYFUNCTION("if(regexmatch(B205,""e(.*)$""),regexextract(B205,""e(.*)$""),"""")"),"-31")</f>
        <v>-31</v>
      </c>
    </row>
    <row r="206">
      <c r="A206" s="34" t="s">
        <v>1617</v>
      </c>
      <c r="B206" s="34" t="s">
        <v>4888</v>
      </c>
      <c r="C206" s="34" t="s">
        <v>4204</v>
      </c>
      <c r="D206" s="13" t="str">
        <f t="shared" si="1"/>
        <v>kg m s^-1</v>
      </c>
      <c r="E206" s="42">
        <f>countif(Constants!F:F,F206)</f>
        <v>1</v>
      </c>
      <c r="F206" s="21" t="str">
        <f>ifna(VLOOKUP($A206,'v2002'!$A:$F,6,false),"")</f>
        <v>NaturalUnitOfMomentum</v>
      </c>
      <c r="G206" s="21" t="str">
        <f>IFERROR(__xludf.DUMMYFUNCTION("REGEXREPLACE(substitute(substitute(B206,"" "",""""),""..."",""""),""\(.*\)"","""")"),"2.73092398e-22")</f>
        <v>2.73092398e-22</v>
      </c>
      <c r="H206" s="43">
        <f t="shared" si="2"/>
        <v>0</v>
      </c>
      <c r="I206" s="21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43">
        <f t="shared" si="3"/>
        <v>0</v>
      </c>
      <c r="K206" s="43" t="b">
        <f t="shared" si="4"/>
        <v>0</v>
      </c>
      <c r="L206" s="21" t="str">
        <f>IFERROR(__xludf.DUMMYFUNCTION("if(regexmatch(B206,""e(.*)$""),regexextract(B206,""e(.*)$""),"""")"),"-22")</f>
        <v>-22</v>
      </c>
    </row>
    <row r="207">
      <c r="A207" s="34" t="s">
        <v>1622</v>
      </c>
      <c r="B207" s="34" t="s">
        <v>4799</v>
      </c>
      <c r="C207" s="34" t="s">
        <v>1623</v>
      </c>
      <c r="D207" s="13" t="str">
        <f t="shared" si="1"/>
        <v>MeV/c</v>
      </c>
      <c r="E207" s="42">
        <f>countif(Constants!F:F,F207)</f>
        <v>1</v>
      </c>
      <c r="F207" s="21" t="str">
        <f>ifna(VLOOKUP($A207,'v2002'!$A:$F,6,false),"")</f>
        <v>NaturalUnitOfMomentumInMeV-PER-c</v>
      </c>
      <c r="G207" s="21" t="str">
        <f>IFERROR(__xludf.DUMMYFUNCTION("REGEXREPLACE(substitute(substitute(B207,"" "",""""),""..."",""""),""\(.*\)"","""")"),"0.510998902")</f>
        <v>0.510998902</v>
      </c>
      <c r="H207" s="43">
        <f t="shared" si="2"/>
        <v>0.510998902</v>
      </c>
      <c r="I207" s="21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43">
        <f t="shared" si="3"/>
        <v>0.00000000021</v>
      </c>
      <c r="K207" s="43" t="b">
        <f t="shared" si="4"/>
        <v>0</v>
      </c>
      <c r="L207" s="21" t="str">
        <f>IFERROR(__xludf.DUMMYFUNCTION("if(regexmatch(B207,""e(.*)$""),regexextract(B207,""e(.*)$""),"""")"),"")</f>
        <v/>
      </c>
    </row>
    <row r="208">
      <c r="A208" s="34" t="s">
        <v>1628</v>
      </c>
      <c r="B208" s="34" t="s">
        <v>4889</v>
      </c>
      <c r="C208" s="34" t="s">
        <v>749</v>
      </c>
      <c r="D208" s="13" t="str">
        <f t="shared" si="1"/>
        <v>s</v>
      </c>
      <c r="E208" s="42">
        <f>countif(Constants!F:F,F208)</f>
        <v>1</v>
      </c>
      <c r="F208" s="21" t="str">
        <f>ifna(VLOOKUP($A208,'v2002'!$A:$F,6,false),"")</f>
        <v>NaturalUnitOfTime</v>
      </c>
      <c r="G208" s="21" t="str">
        <f>IFERROR(__xludf.DUMMYFUNCTION("REGEXREPLACE(substitute(substitute(B208,"" "",""""),""..."",""""),""\(.*\)"","""")"),"1.2880886555e-21")</f>
        <v>1.2880886555e-21</v>
      </c>
      <c r="H208" s="43">
        <f t="shared" si="2"/>
        <v>0</v>
      </c>
      <c r="I208" s="21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43">
        <f t="shared" si="3"/>
        <v>0</v>
      </c>
      <c r="K208" s="43" t="b">
        <f t="shared" si="4"/>
        <v>0</v>
      </c>
      <c r="L208" s="21" t="str">
        <f>IFERROR(__xludf.DUMMYFUNCTION("if(regexmatch(B208,""e(.*)$""),regexextract(B208,""e(.*)$""),"""")"),"-21")</f>
        <v>-21</v>
      </c>
    </row>
    <row r="209">
      <c r="A209" s="34" t="s">
        <v>1632</v>
      </c>
      <c r="B209" s="34" t="s">
        <v>2474</v>
      </c>
      <c r="C209" s="34" t="s">
        <v>4209</v>
      </c>
      <c r="D209" s="13" t="str">
        <f t="shared" si="1"/>
        <v>m s^-1</v>
      </c>
      <c r="E209" s="42">
        <f>countif(Constants!F:F,F209)</f>
        <v>1</v>
      </c>
      <c r="F209" s="21" t="str">
        <f>ifna(VLOOKUP($A209,'v2002'!$A:$F,6,false),"")</f>
        <v>NaturalUnitOfVelocity</v>
      </c>
      <c r="G209" s="21" t="str">
        <f>IFERROR(__xludf.DUMMYFUNCTION("REGEXREPLACE(substitute(substitute(B209,"" "",""""),""..."",""""),""\(.*\)"","""")"),"299792458")</f>
        <v>299792458</v>
      </c>
      <c r="H209" s="43">
        <f t="shared" si="2"/>
        <v>299792458</v>
      </c>
      <c r="I209" s="21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43" t="str">
        <f t="shared" si="3"/>
        <v/>
      </c>
      <c r="K209" s="43" t="b">
        <f t="shared" si="4"/>
        <v>0</v>
      </c>
      <c r="L209" s="21" t="str">
        <f>IFERROR(__xludf.DUMMYFUNCTION("if(regexmatch(B209,""e(.*)$""),regexextract(B209,""e(.*)$""),"""")"),"")</f>
        <v/>
      </c>
    </row>
    <row r="210">
      <c r="A210" s="34" t="s">
        <v>1636</v>
      </c>
      <c r="B210" s="34" t="s">
        <v>4890</v>
      </c>
      <c r="C210" s="34" t="s">
        <v>571</v>
      </c>
      <c r="D210" s="13" t="str">
        <f t="shared" si="1"/>
        <v>m</v>
      </c>
      <c r="E210" s="42">
        <f>countif(Constants!F:F,F210)</f>
        <v>1</v>
      </c>
      <c r="F210" s="21" t="str">
        <f>ifna(VLOOKUP($A210,'v2002'!$A:$F,6,false),"")</f>
        <v>NeutronComptonWavelength</v>
      </c>
      <c r="G210" s="21" t="str">
        <f>IFERROR(__xludf.DUMMYFUNCTION("REGEXREPLACE(substitute(substitute(B210,"" "",""""),""..."",""""),""\(.*\)"","""")"),"1.319590898e-15")</f>
        <v>1.319590898e-15</v>
      </c>
      <c r="H210" s="43">
        <f t="shared" si="2"/>
        <v>0</v>
      </c>
      <c r="I210" s="21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43">
        <f t="shared" si="3"/>
        <v>0</v>
      </c>
      <c r="K210" s="43" t="b">
        <f t="shared" si="4"/>
        <v>0</v>
      </c>
      <c r="L210" s="21" t="str">
        <f>IFERROR(__xludf.DUMMYFUNCTION("if(regexmatch(B210,""e(.*)$""),regexextract(B210,""e(.*)$""),"""")"),"-15")</f>
        <v>-15</v>
      </c>
    </row>
    <row r="211">
      <c r="A211" s="34" t="s">
        <v>1929</v>
      </c>
      <c r="B211" s="34" t="s">
        <v>4891</v>
      </c>
      <c r="C211" s="34" t="s">
        <v>571</v>
      </c>
      <c r="D211" s="13" t="str">
        <f t="shared" si="1"/>
        <v>m</v>
      </c>
      <c r="E211" s="42">
        <f>countif(Constants!F:F,F211)</f>
        <v>1</v>
      </c>
      <c r="F211" s="21" t="str">
        <f>ifna(VLOOKUP($A211,'v2002'!$A:$F,6,false),"")</f>
        <v>NeutronComptonWavelengthOver2Pi</v>
      </c>
      <c r="G211" s="21" t="str">
        <f>IFERROR(__xludf.DUMMYFUNCTION("REGEXREPLACE(substitute(substitute(B211,"" "",""""),""..."",""""),""\(.*\)"","""")"),"0.2100194142e-15")</f>
        <v>0.2100194142e-15</v>
      </c>
      <c r="H211" s="43">
        <f t="shared" si="2"/>
        <v>0</v>
      </c>
      <c r="I211" s="21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43">
        <f t="shared" si="3"/>
        <v>0</v>
      </c>
      <c r="K211" s="43" t="b">
        <f t="shared" si="4"/>
        <v>0</v>
      </c>
      <c r="L211" s="21" t="str">
        <f>IFERROR(__xludf.DUMMYFUNCTION("if(regexmatch(B211,""e(.*)$""),regexextract(B211,""e(.*)$""),"""")"),"-15")</f>
        <v>-15</v>
      </c>
    </row>
    <row r="212">
      <c r="A212" s="34" t="s">
        <v>1650</v>
      </c>
      <c r="B212" s="34" t="s">
        <v>4394</v>
      </c>
      <c r="C212" s="34"/>
      <c r="D212" s="13" t="str">
        <f t="shared" si="1"/>
        <v/>
      </c>
      <c r="E212" s="42">
        <f>countif(Constants!F:F,F212)</f>
        <v>1</v>
      </c>
      <c r="F212" s="21" t="str">
        <f>ifna(VLOOKUP($A212,'v2002'!$A:$F,6,false),"")</f>
        <v>NeutronGFactor</v>
      </c>
      <c r="G212" s="21" t="str">
        <f>IFERROR(__xludf.DUMMYFUNCTION("REGEXREPLACE(substitute(substitute(B212,"" "",""""),""..."",""""),""\(.*\)"","""")"),"-3.82608545")</f>
        <v>-3.82608545</v>
      </c>
      <c r="H212" s="43">
        <f t="shared" si="2"/>
        <v>-3.82608545</v>
      </c>
      <c r="I212" s="21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43">
        <f t="shared" si="3"/>
        <v>0.000000009</v>
      </c>
      <c r="K212" s="43" t="b">
        <f t="shared" si="4"/>
        <v>0</v>
      </c>
      <c r="L212" s="21" t="str">
        <f>IFERROR(__xludf.DUMMYFUNCTION("if(regexmatch(B212,""e(.*)$""),regexextract(B212,""e(.*)$""),"""")"),"")</f>
        <v/>
      </c>
    </row>
    <row r="213">
      <c r="A213" s="34" t="s">
        <v>1655</v>
      </c>
      <c r="B213" s="34" t="s">
        <v>4892</v>
      </c>
      <c r="C213" s="34" t="s">
        <v>4258</v>
      </c>
      <c r="D213" s="13" t="str">
        <f t="shared" si="1"/>
        <v>s^-1 T^-1</v>
      </c>
      <c r="E213" s="42">
        <f>countif(Constants!F:F,F213)</f>
        <v>1</v>
      </c>
      <c r="F213" s="21" t="str">
        <f>ifna(VLOOKUP($A213,'v2002'!$A:$F,6,false),"")</f>
        <v>NeutronGyromagneticRatio</v>
      </c>
      <c r="G213" s="21" t="str">
        <f>IFERROR(__xludf.DUMMYFUNCTION("REGEXREPLACE(substitute(substitute(B213,"" "",""""),""..."",""""),""\(.*\)"","""")"),"1.83247188e8")</f>
        <v>1.83247188e8</v>
      </c>
      <c r="H213" s="43">
        <f t="shared" si="2"/>
        <v>183247188</v>
      </c>
      <c r="I213" s="21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43">
        <f t="shared" si="3"/>
        <v>0.44</v>
      </c>
      <c r="K213" s="43" t="b">
        <f t="shared" si="4"/>
        <v>0</v>
      </c>
      <c r="L213" s="21" t="str">
        <f>IFERROR(__xludf.DUMMYFUNCTION("if(regexmatch(B213,""e(.*)$""),regexextract(B213,""e(.*)$""),"""")"),"8")</f>
        <v>8</v>
      </c>
    </row>
    <row r="214">
      <c r="A214" s="34" t="s">
        <v>1658</v>
      </c>
      <c r="B214" s="34" t="s">
        <v>4893</v>
      </c>
      <c r="C214" s="34" t="s">
        <v>4260</v>
      </c>
      <c r="D214" s="13" t="str">
        <f t="shared" si="1"/>
        <v>MHz T^-1</v>
      </c>
      <c r="E214" s="42">
        <f>countif(Constants!F:F,F214)</f>
        <v>1</v>
      </c>
      <c r="F214" s="21" t="str">
        <f>ifna(VLOOKUP($A214,'v2002'!$A:$F,6,false),"")</f>
        <v>NeutronGyromagneticRatioOver2Pi</v>
      </c>
      <c r="G214" s="21" t="str">
        <f>IFERROR(__xludf.DUMMYFUNCTION("REGEXREPLACE(substitute(substitute(B214,"" "",""""),""..."",""""),""\(.*\)"","""")"),"29.1646958")</f>
        <v>29.1646958</v>
      </c>
      <c r="H214" s="43">
        <f t="shared" si="2"/>
        <v>29.1646958</v>
      </c>
      <c r="I214" s="21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43">
        <f t="shared" si="3"/>
        <v>0.00000007</v>
      </c>
      <c r="K214" s="43" t="b">
        <f t="shared" si="4"/>
        <v>0</v>
      </c>
      <c r="L214" s="21" t="str">
        <f>IFERROR(__xludf.DUMMYFUNCTION("if(regexmatch(B214,""e(.*)$""),regexextract(B214,""e(.*)$""),"""")"),"")</f>
        <v/>
      </c>
    </row>
    <row r="215">
      <c r="A215" s="34" t="s">
        <v>1664</v>
      </c>
      <c r="B215" s="34" t="s">
        <v>4894</v>
      </c>
      <c r="C215" s="34" t="s">
        <v>4197</v>
      </c>
      <c r="D215" s="13" t="str">
        <f t="shared" si="1"/>
        <v>J T^-1</v>
      </c>
      <c r="E215" s="42">
        <f>countif(Constants!F:F,F215)</f>
        <v>1</v>
      </c>
      <c r="F215" s="21" t="str">
        <f>ifna(VLOOKUP($A215,'v2002'!$A:$F,6,false),"")</f>
        <v>NeutronMagneticMoment</v>
      </c>
      <c r="G215" s="21" t="str">
        <f>IFERROR(__xludf.DUMMYFUNCTION("REGEXREPLACE(substitute(substitute(B215,"" "",""""),""..."",""""),""\(.*\)"","""")"),"-0.96623640e-26")</f>
        <v>-0.96623640e-26</v>
      </c>
      <c r="H215" s="43">
        <f t="shared" si="2"/>
        <v>0</v>
      </c>
      <c r="I215" s="21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43">
        <f t="shared" si="3"/>
        <v>0</v>
      </c>
      <c r="K215" s="43" t="b">
        <f t="shared" si="4"/>
        <v>0</v>
      </c>
      <c r="L215" s="21" t="str">
        <f>IFERROR(__xludf.DUMMYFUNCTION("if(regexmatch(B215,""e(.*)$""),regexextract(B215,""e(.*)$""),"""")"),"-26")</f>
        <v>-26</v>
      </c>
    </row>
    <row r="216">
      <c r="A216" s="34" t="s">
        <v>1669</v>
      </c>
      <c r="B216" s="34" t="s">
        <v>4398</v>
      </c>
      <c r="C216" s="34"/>
      <c r="D216" s="13" t="str">
        <f t="shared" si="1"/>
        <v/>
      </c>
      <c r="E216" s="42">
        <f>countif(Constants!F:F,F216)</f>
        <v>1</v>
      </c>
      <c r="F216" s="21" t="str">
        <f>ifna(VLOOKUP($A216,'v2002'!$A:$F,6,false),"")</f>
        <v>NeutronMagneticMomentToBohrMagnetonRatio</v>
      </c>
      <c r="G216" s="21" t="str">
        <f>IFERROR(__xludf.DUMMYFUNCTION("REGEXREPLACE(substitute(substitute(B216,"" "",""""),""..."",""""),""\(.*\)"","""")"),"-1.04187563e-3")</f>
        <v>-1.04187563e-3</v>
      </c>
      <c r="H216" s="43">
        <f t="shared" si="2"/>
        <v>-0.00104187563</v>
      </c>
      <c r="I216" s="21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43">
        <f t="shared" si="3"/>
        <v>0</v>
      </c>
      <c r="K216" s="43" t="b">
        <f t="shared" si="4"/>
        <v>0</v>
      </c>
      <c r="L216" s="21" t="str">
        <f>IFERROR(__xludf.DUMMYFUNCTION("if(regexmatch(B216,""e(.*)$""),regexextract(B216,""e(.*)$""),"""")"),"-3")</f>
        <v>-3</v>
      </c>
    </row>
    <row r="217">
      <c r="A217" s="34" t="s">
        <v>1674</v>
      </c>
      <c r="B217" s="34" t="s">
        <v>4895</v>
      </c>
      <c r="C217" s="34"/>
      <c r="D217" s="13" t="str">
        <f t="shared" si="1"/>
        <v/>
      </c>
      <c r="E217" s="42">
        <f>countif(Constants!F:F,F217)</f>
        <v>1</v>
      </c>
      <c r="F217" s="21" t="str">
        <f>ifna(VLOOKUP($A217,'v2002'!$A:$F,6,false),"")</f>
        <v>NeutronMagneticMomentToNuclearMagnetonRatio</v>
      </c>
      <c r="G217" s="21" t="str">
        <f>IFERROR(__xludf.DUMMYFUNCTION("REGEXREPLACE(substitute(substitute(B217,"" "",""""),""..."",""""),""\(.*\)"","""")"),"-1.91304272")</f>
        <v>-1.91304272</v>
      </c>
      <c r="H217" s="43">
        <f t="shared" si="2"/>
        <v>-1.91304272</v>
      </c>
      <c r="I217" s="21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43">
        <f t="shared" si="3"/>
        <v>0.0000000045</v>
      </c>
      <c r="K217" s="43" t="b">
        <f t="shared" si="4"/>
        <v>0</v>
      </c>
      <c r="L217" s="21" t="str">
        <f>IFERROR(__xludf.DUMMYFUNCTION("if(regexmatch(B217,""e(.*)$""),regexextract(B217,""e(.*)$""),"""")"),"")</f>
        <v/>
      </c>
    </row>
    <row r="218">
      <c r="A218" s="34" t="s">
        <v>1678</v>
      </c>
      <c r="B218" s="34" t="s">
        <v>4896</v>
      </c>
      <c r="C218" s="34" t="s">
        <v>538</v>
      </c>
      <c r="D218" s="13" t="str">
        <f t="shared" si="1"/>
        <v>kg</v>
      </c>
      <c r="E218" s="42">
        <f>countif(Constants!F:F,F218)</f>
        <v>1</v>
      </c>
      <c r="F218" s="21" t="str">
        <f>ifna(VLOOKUP($A218,'v2002'!$A:$F,6,false),"")</f>
        <v>NeutronMass</v>
      </c>
      <c r="G218" s="21" t="str">
        <f>IFERROR(__xludf.DUMMYFUNCTION("REGEXREPLACE(substitute(substitute(B218,"" "",""""),""..."",""""),""\(.*\)"","""")"),"1.67492716e-27")</f>
        <v>1.67492716e-27</v>
      </c>
      <c r="H218" s="43">
        <f t="shared" si="2"/>
        <v>0</v>
      </c>
      <c r="I218" s="21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43">
        <f t="shared" si="3"/>
        <v>0</v>
      </c>
      <c r="K218" s="43" t="b">
        <f t="shared" si="4"/>
        <v>0</v>
      </c>
      <c r="L218" s="21" t="str">
        <f>IFERROR(__xludf.DUMMYFUNCTION("if(regexmatch(B218,""e(.*)$""),regexextract(B218,""e(.*)$""),"""")"),"-27")</f>
        <v>-27</v>
      </c>
    </row>
    <row r="219">
      <c r="A219" s="34" t="s">
        <v>1682</v>
      </c>
      <c r="B219" s="34" t="s">
        <v>4897</v>
      </c>
      <c r="C219" s="34" t="s">
        <v>543</v>
      </c>
      <c r="D219" s="13" t="str">
        <f t="shared" si="1"/>
        <v>J</v>
      </c>
      <c r="E219" s="42">
        <f>countif(Constants!F:F,F219)</f>
        <v>1</v>
      </c>
      <c r="F219" s="21" t="str">
        <f>ifna(VLOOKUP($A219,'v2002'!$A:$F,6,false),"")</f>
        <v>NeutronMassEnergyEquivalent</v>
      </c>
      <c r="G219" s="21" t="str">
        <f>IFERROR(__xludf.DUMMYFUNCTION("REGEXREPLACE(substitute(substitute(B219,"" "",""""),""..."",""""),""\(.*\)"","""")"),"1.50534946e-10")</f>
        <v>1.50534946e-10</v>
      </c>
      <c r="H219" s="43">
        <f t="shared" si="2"/>
        <v>0.000000000150534946</v>
      </c>
      <c r="I219" s="21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43">
        <f t="shared" si="3"/>
        <v>0</v>
      </c>
      <c r="K219" s="43" t="b">
        <f t="shared" si="4"/>
        <v>0</v>
      </c>
      <c r="L219" s="21" t="str">
        <f>IFERROR(__xludf.DUMMYFUNCTION("if(regexmatch(B219,""e(.*)$""),regexextract(B219,""e(.*)$""),"""")"),"-10")</f>
        <v>-10</v>
      </c>
    </row>
    <row r="220">
      <c r="A220" s="34" t="s">
        <v>1686</v>
      </c>
      <c r="B220" s="34" t="s">
        <v>4898</v>
      </c>
      <c r="C220" s="34" t="s">
        <v>548</v>
      </c>
      <c r="D220" s="13" t="str">
        <f t="shared" si="1"/>
        <v>MeV</v>
      </c>
      <c r="E220" s="42">
        <f>countif(Constants!F:F,F220)</f>
        <v>1</v>
      </c>
      <c r="F220" s="21" t="str">
        <f>ifna(VLOOKUP($A220,'v2002'!$A:$F,6,false),"")</f>
        <v>NeutronMassEnergyEquivalentInMeV</v>
      </c>
      <c r="G220" s="21" t="str">
        <f>IFERROR(__xludf.DUMMYFUNCTION("REGEXREPLACE(substitute(substitute(B220,"" "",""""),""..."",""""),""\(.*\)"","""")"),"939.565330")</f>
        <v>939.565330</v>
      </c>
      <c r="H220" s="43">
        <f t="shared" si="2"/>
        <v>939.56533</v>
      </c>
      <c r="I220" s="21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43">
        <f t="shared" si="3"/>
        <v>0.00000038</v>
      </c>
      <c r="K220" s="43" t="b">
        <f t="shared" si="4"/>
        <v>0</v>
      </c>
      <c r="L220" s="21" t="str">
        <f>IFERROR(__xludf.DUMMYFUNCTION("if(regexmatch(B220,""e(.*)$""),regexextract(B220,""e(.*)$""),"""")"),"")</f>
        <v/>
      </c>
    </row>
    <row r="221">
      <c r="A221" s="34" t="s">
        <v>1689</v>
      </c>
      <c r="B221" s="34" t="s">
        <v>4899</v>
      </c>
      <c r="C221" s="34" t="s">
        <v>553</v>
      </c>
      <c r="D221" s="13" t="str">
        <f t="shared" si="1"/>
        <v>u</v>
      </c>
      <c r="E221" s="42">
        <f>countif(Constants!F:F,F221)</f>
        <v>1</v>
      </c>
      <c r="F221" s="21" t="str">
        <f>ifna(VLOOKUP($A221,'v2002'!$A:$F,6,false),"")</f>
        <v>NeutronMassInAtomicMassUnit</v>
      </c>
      <c r="G221" s="21" t="str">
        <f>IFERROR(__xludf.DUMMYFUNCTION("REGEXREPLACE(substitute(substitute(B221,"" "",""""),""..."",""""),""\(.*\)"","""")"),"1.00866491578")</f>
        <v>1.00866491578</v>
      </c>
      <c r="H221" s="43">
        <f t="shared" si="2"/>
        <v>1.008664916</v>
      </c>
      <c r="I221" s="21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43">
        <f t="shared" si="3"/>
        <v>0</v>
      </c>
      <c r="K221" s="43" t="b">
        <f t="shared" si="4"/>
        <v>0</v>
      </c>
      <c r="L221" s="21" t="str">
        <f>IFERROR(__xludf.DUMMYFUNCTION("if(regexmatch(B221,""e(.*)$""),regexextract(B221,""e(.*)$""),"""")"),"")</f>
        <v/>
      </c>
    </row>
    <row r="222">
      <c r="A222" s="34" t="s">
        <v>1692</v>
      </c>
      <c r="B222" s="34" t="s">
        <v>4900</v>
      </c>
      <c r="C222" s="34" t="s">
        <v>4163</v>
      </c>
      <c r="D222" s="13" t="str">
        <f t="shared" si="1"/>
        <v>kg mol^-1</v>
      </c>
      <c r="E222" s="42">
        <f>countif(Constants!F:F,F222)</f>
        <v>1</v>
      </c>
      <c r="F222" s="21" t="str">
        <f>ifna(VLOOKUP($A222,'v2002'!$A:$F,6,false),"")</f>
        <v>NeutronMolarMass</v>
      </c>
      <c r="G222" s="21" t="str">
        <f>IFERROR(__xludf.DUMMYFUNCTION("REGEXREPLACE(substitute(substitute(B222,"" "",""""),""..."",""""),""\(.*\)"","""")"),"1.00866491578e-3")</f>
        <v>1.00866491578e-3</v>
      </c>
      <c r="H222" s="43">
        <f t="shared" si="2"/>
        <v>0.001008664916</v>
      </c>
      <c r="I222" s="21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43">
        <f t="shared" si="3"/>
        <v>0</v>
      </c>
      <c r="K222" s="43" t="b">
        <f t="shared" si="4"/>
        <v>0</v>
      </c>
      <c r="L222" s="21" t="str">
        <f>IFERROR(__xludf.DUMMYFUNCTION("if(regexmatch(B222,""e(.*)$""),regexextract(B222,""e(.*)$""),"""")"),"-3")</f>
        <v>-3</v>
      </c>
    </row>
    <row r="223">
      <c r="A223" s="34" t="s">
        <v>1733</v>
      </c>
      <c r="B223" s="34" t="s">
        <v>4405</v>
      </c>
      <c r="C223" s="34"/>
      <c r="D223" s="13" t="str">
        <f t="shared" si="1"/>
        <v/>
      </c>
      <c r="E223" s="42">
        <f>countif(Constants!F:F,F223)</f>
        <v>1</v>
      </c>
      <c r="F223" s="21" t="str">
        <f>ifna(VLOOKUP($A223,'v2002'!$A:$F,6,false),"")</f>
        <v>NeutronToShieldedProtonMagneticMomentRatio</v>
      </c>
      <c r="G223" s="21" t="str">
        <f>IFERROR(__xludf.DUMMYFUNCTION("REGEXREPLACE(substitute(substitute(B223,"" "",""""),""..."",""""),""\(.*\)"","""")"),"-0.68499694")</f>
        <v>-0.68499694</v>
      </c>
      <c r="H223" s="43">
        <f t="shared" si="2"/>
        <v>-0.68499694</v>
      </c>
      <c r="I223" s="21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43">
        <f t="shared" si="3"/>
        <v>0.0000000016</v>
      </c>
      <c r="K223" s="43" t="b">
        <f t="shared" si="4"/>
        <v>0</v>
      </c>
      <c r="L223" s="21" t="str">
        <f>IFERROR(__xludf.DUMMYFUNCTION("if(regexmatch(B223,""e(.*)$""),regexextract(B223,""e(.*)$""),"""")"),"")</f>
        <v/>
      </c>
    </row>
    <row r="224">
      <c r="A224" s="34" t="s">
        <v>4406</v>
      </c>
      <c r="B224" s="34" t="s">
        <v>4407</v>
      </c>
      <c r="C224" s="34"/>
      <c r="D224" s="13" t="str">
        <f t="shared" si="1"/>
        <v/>
      </c>
      <c r="E224" s="42">
        <f>countif(Constants!F:F,F224)</f>
        <v>1</v>
      </c>
      <c r="F224" s="21" t="str">
        <f>ifna(VLOOKUP($A224,'v2002'!$A:$F,6,false),"")</f>
        <v>NeutronElectronMagneticMomentRatio</v>
      </c>
      <c r="G224" s="21" t="str">
        <f>IFERROR(__xludf.DUMMYFUNCTION("REGEXREPLACE(substitute(substitute(B224,"" "",""""),""..."",""""),""\(.*\)"","""")"),"1.04066882e-3")</f>
        <v>1.04066882e-3</v>
      </c>
      <c r="H224" s="43">
        <f t="shared" si="2"/>
        <v>0.00104066882</v>
      </c>
      <c r="I224" s="21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43">
        <f t="shared" si="3"/>
        <v>0</v>
      </c>
      <c r="K224" s="43" t="b">
        <f t="shared" si="4"/>
        <v>0</v>
      </c>
      <c r="L224" s="21" t="str">
        <f>IFERROR(__xludf.DUMMYFUNCTION("if(regexmatch(B224,""e(.*)$""),regexextract(B224,""e(.*)$""),"""")"),"-3")</f>
        <v>-3</v>
      </c>
    </row>
    <row r="225">
      <c r="A225" s="34" t="s">
        <v>1645</v>
      </c>
      <c r="B225" s="34" t="s">
        <v>4901</v>
      </c>
      <c r="C225" s="34"/>
      <c r="D225" s="13" t="str">
        <f t="shared" si="1"/>
        <v/>
      </c>
      <c r="E225" s="42">
        <f>countif(Constants!F:F,F225)</f>
        <v>1</v>
      </c>
      <c r="F225" s="21" t="str">
        <f>ifna(VLOOKUP($A225,'v2002'!$A:$F,6,false),"")</f>
        <v>NeutronElectronMassRatio</v>
      </c>
      <c r="G225" s="21" t="str">
        <f>IFERROR(__xludf.DUMMYFUNCTION("REGEXREPLACE(substitute(substitute(B225,"" "",""""),""..."",""""),""\(.*\)"","""")"),"1838.6836550")</f>
        <v>1838.6836550</v>
      </c>
      <c r="H225" s="43">
        <f t="shared" si="2"/>
        <v>1838.683655</v>
      </c>
      <c r="I225" s="21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43">
        <f t="shared" si="3"/>
        <v>0.00000004</v>
      </c>
      <c r="K225" s="43" t="b">
        <f t="shared" si="4"/>
        <v>0</v>
      </c>
      <c r="L225" s="21" t="str">
        <f>IFERROR(__xludf.DUMMYFUNCTION("if(regexmatch(B225,""e(.*)$""),regexextract(B225,""e(.*)$""),"""")"),"")</f>
        <v/>
      </c>
    </row>
    <row r="226">
      <c r="A226" s="34" t="s">
        <v>1696</v>
      </c>
      <c r="B226" s="34" t="s">
        <v>4902</v>
      </c>
      <c r="C226" s="34"/>
      <c r="D226" s="13" t="str">
        <f t="shared" si="1"/>
        <v/>
      </c>
      <c r="E226" s="42">
        <f>countif(Constants!F:F,F226)</f>
        <v>1</v>
      </c>
      <c r="F226" s="21" t="str">
        <f>ifna(VLOOKUP($A226,'v2002'!$A:$F,6,false),"")</f>
        <v>NeutronMuonMassRatio</v>
      </c>
      <c r="G226" s="21" t="str">
        <f>IFERROR(__xludf.DUMMYFUNCTION("REGEXREPLACE(substitute(substitute(B226,"" "",""""),""..."",""""),""\(.*\)"","""")"),"8.89248478")</f>
        <v>8.89248478</v>
      </c>
      <c r="H226" s="43">
        <f t="shared" si="2"/>
        <v>8.89248478</v>
      </c>
      <c r="I226" s="21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43">
        <f t="shared" si="3"/>
        <v>0.0000000027</v>
      </c>
      <c r="K226" s="43" t="b">
        <f t="shared" si="4"/>
        <v>0</v>
      </c>
      <c r="L226" s="21" t="str">
        <f>IFERROR(__xludf.DUMMYFUNCTION("if(regexmatch(B226,""e(.*)$""),regexextract(B226,""e(.*)$""),"""")"),"")</f>
        <v/>
      </c>
    </row>
    <row r="227">
      <c r="A227" s="34" t="s">
        <v>4410</v>
      </c>
      <c r="B227" s="34" t="s">
        <v>4411</v>
      </c>
      <c r="C227" s="34"/>
      <c r="D227" s="13" t="str">
        <f t="shared" si="1"/>
        <v/>
      </c>
      <c r="E227" s="42">
        <f>countif(Constants!F:F,F227)</f>
        <v>1</v>
      </c>
      <c r="F227" s="21" t="str">
        <f>ifna(VLOOKUP($A227,'v2002'!$A:$F,6,false),"")</f>
        <v>NeutronProtonMagneticMomentRatio</v>
      </c>
      <c r="G227" s="21" t="str">
        <f>IFERROR(__xludf.DUMMYFUNCTION("REGEXREPLACE(substitute(substitute(B227,"" "",""""),""..."",""""),""\(.*\)"","""")"),"-0.68497934")</f>
        <v>-0.68497934</v>
      </c>
      <c r="H227" s="43">
        <f t="shared" si="2"/>
        <v>-0.68497934</v>
      </c>
      <c r="I227" s="21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43">
        <f t="shared" si="3"/>
        <v>0.0000000016</v>
      </c>
      <c r="K227" s="43" t="b">
        <f t="shared" si="4"/>
        <v>0</v>
      </c>
      <c r="L227" s="21" t="str">
        <f>IFERROR(__xludf.DUMMYFUNCTION("if(regexmatch(B227,""e(.*)$""),regexextract(B227,""e(.*)$""),"""")"),"")</f>
        <v/>
      </c>
    </row>
    <row r="228">
      <c r="A228" s="34" t="s">
        <v>1719</v>
      </c>
      <c r="B228" s="34" t="s">
        <v>4903</v>
      </c>
      <c r="C228" s="34"/>
      <c r="D228" s="13" t="str">
        <f t="shared" si="1"/>
        <v/>
      </c>
      <c r="E228" s="42">
        <f>countif(Constants!F:F,F228)</f>
        <v>1</v>
      </c>
      <c r="F228" s="21" t="str">
        <f>ifna(VLOOKUP($A228,'v2002'!$A:$F,6,false),"")</f>
        <v>NeutronProtonMassRatio</v>
      </c>
      <c r="G228" s="21" t="str">
        <f>IFERROR(__xludf.DUMMYFUNCTION("REGEXREPLACE(substitute(substitute(B228,"" "",""""),""..."",""""),""\(.*\)"","""")"),"1.00137841887")</f>
        <v>1.00137841887</v>
      </c>
      <c r="H228" s="43">
        <f t="shared" si="2"/>
        <v>1.001378419</v>
      </c>
      <c r="I228" s="21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43">
        <f t="shared" si="3"/>
        <v>0</v>
      </c>
      <c r="K228" s="43" t="b">
        <f t="shared" si="4"/>
        <v>0</v>
      </c>
      <c r="L228" s="21" t="str">
        <f>IFERROR(__xludf.DUMMYFUNCTION("if(regexmatch(B228,""e(.*)$""),regexextract(B228,""e(.*)$""),"""")"),"")</f>
        <v/>
      </c>
    </row>
    <row r="229">
      <c r="A229" s="34" t="s">
        <v>1727</v>
      </c>
      <c r="B229" s="34" t="s">
        <v>4904</v>
      </c>
      <c r="C229" s="34"/>
      <c r="D229" s="13" t="str">
        <f t="shared" si="1"/>
        <v/>
      </c>
      <c r="E229" s="42">
        <f>countif(Constants!F:F,F229)</f>
        <v>1</v>
      </c>
      <c r="F229" s="21" t="str">
        <f>ifna(VLOOKUP($A229,'v2002'!$A:$F,6,false),"")</f>
        <v>NeutronTauMassRatio</v>
      </c>
      <c r="G229" s="21" t="str">
        <f>IFERROR(__xludf.DUMMYFUNCTION("REGEXREPLACE(substitute(substitute(B229,"" "",""""),""..."",""""),""\(.*\)"","""")"),"0.528722")</f>
        <v>0.528722</v>
      </c>
      <c r="H229" s="43">
        <f t="shared" si="2"/>
        <v>0.528722</v>
      </c>
      <c r="I229" s="21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43">
        <f t="shared" si="3"/>
        <v>0.00000086</v>
      </c>
      <c r="K229" s="43" t="b">
        <f t="shared" si="4"/>
        <v>0</v>
      </c>
      <c r="L229" s="21" t="str">
        <f>IFERROR(__xludf.DUMMYFUNCTION("if(regexmatch(B229,""e(.*)$""),regexextract(B229,""e(.*)$""),"""")"),"")</f>
        <v/>
      </c>
    </row>
    <row r="230">
      <c r="A230" s="34" t="s">
        <v>1737</v>
      </c>
      <c r="B230" s="34" t="s">
        <v>4905</v>
      </c>
      <c r="C230" s="34" t="s">
        <v>4415</v>
      </c>
      <c r="D230" s="13" t="str">
        <f t="shared" si="1"/>
        <v>m^3 kg^-1 s^-2</v>
      </c>
      <c r="E230" s="42">
        <f>countif(Constants!F:F,F230)</f>
        <v>1</v>
      </c>
      <c r="F230" s="21" t="str">
        <f>ifna(VLOOKUP($A230,'v2002'!$A:$F,6,false),"")</f>
        <v>NewtonianConstantOfGravitation</v>
      </c>
      <c r="G230" s="21" t="str">
        <f>IFERROR(__xludf.DUMMYFUNCTION("REGEXREPLACE(substitute(substitute(B230,"" "",""""),""..."",""""),""\(.*\)"","""")"),"6.673e-11")</f>
        <v>6.673e-11</v>
      </c>
      <c r="H230" s="43">
        <f t="shared" si="2"/>
        <v>0</v>
      </c>
      <c r="I230" s="21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43">
        <f t="shared" si="3"/>
        <v>0</v>
      </c>
      <c r="K230" s="43" t="b">
        <f t="shared" si="4"/>
        <v>0</v>
      </c>
      <c r="L230" s="21" t="str">
        <f>IFERROR(__xludf.DUMMYFUNCTION("if(regexmatch(B230,""e(.*)$""),regexextract(B230,""e(.*)$""),"""")"),"-11")</f>
        <v>-11</v>
      </c>
    </row>
    <row r="231">
      <c r="A231" s="34" t="s">
        <v>1744</v>
      </c>
      <c r="B231" s="34" t="s">
        <v>4906</v>
      </c>
      <c r="C231" s="34" t="s">
        <v>4417</v>
      </c>
      <c r="D231" s="13" t="str">
        <f t="shared" si="1"/>
        <v>(GeV/c^2)^-2</v>
      </c>
      <c r="E231" s="42">
        <f>countif(Constants!F:F,F231)</f>
        <v>1</v>
      </c>
      <c r="F231" s="21" t="str">
        <f>ifna(VLOOKUP($A231,'v2002'!$A:$F,6,false),"")</f>
        <v>NewtonianConstantOfGravitationOverHBarC</v>
      </c>
      <c r="G231" s="21" t="str">
        <f>IFERROR(__xludf.DUMMYFUNCTION("REGEXREPLACE(substitute(substitute(B231,"" "",""""),""..."",""""),""\(.*\)"","""")"),"6.707e-39")</f>
        <v>6.707e-39</v>
      </c>
      <c r="H231" s="43">
        <f t="shared" si="2"/>
        <v>0</v>
      </c>
      <c r="I231" s="21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43">
        <f t="shared" si="3"/>
        <v>0</v>
      </c>
      <c r="K231" s="43" t="b">
        <f t="shared" si="4"/>
        <v>0</v>
      </c>
      <c r="L231" s="21" t="str">
        <f>IFERROR(__xludf.DUMMYFUNCTION("if(regexmatch(B231,""e(.*)$""),regexextract(B231,""e(.*)$""),"""")"),"-39")</f>
        <v>-39</v>
      </c>
    </row>
    <row r="232">
      <c r="A232" s="34" t="s">
        <v>1750</v>
      </c>
      <c r="B232" s="34" t="s">
        <v>4907</v>
      </c>
      <c r="C232" s="34" t="s">
        <v>4197</v>
      </c>
      <c r="D232" s="13" t="str">
        <f t="shared" si="1"/>
        <v>J T^-1</v>
      </c>
      <c r="E232" s="42">
        <f>countif(Constants!F:F,F232)</f>
        <v>1</v>
      </c>
      <c r="F232" s="21" t="str">
        <f>ifna(VLOOKUP($A232,'v2002'!$A:$F,6,false),"")</f>
        <v>NuclearMagneton</v>
      </c>
      <c r="G232" s="21" t="str">
        <f>IFERROR(__xludf.DUMMYFUNCTION("REGEXREPLACE(substitute(substitute(B232,"" "",""""),""..."",""""),""\(.*\)"","""")"),"5.05078317e-27")</f>
        <v>5.05078317e-27</v>
      </c>
      <c r="H232" s="43">
        <f t="shared" si="2"/>
        <v>0</v>
      </c>
      <c r="I232" s="21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43">
        <f t="shared" si="3"/>
        <v>0</v>
      </c>
      <c r="K232" s="43" t="b">
        <f t="shared" si="4"/>
        <v>0</v>
      </c>
      <c r="L232" s="21" t="str">
        <f>IFERROR(__xludf.DUMMYFUNCTION("if(regexmatch(B232,""e(.*)$""),regexextract(B232,""e(.*)$""),"""")"),"-27")</f>
        <v>-27</v>
      </c>
    </row>
    <row r="233">
      <c r="A233" s="34" t="s">
        <v>1760</v>
      </c>
      <c r="B233" s="34" t="s">
        <v>4908</v>
      </c>
      <c r="C233" s="34" t="s">
        <v>4216</v>
      </c>
      <c r="D233" s="13" t="str">
        <f t="shared" si="1"/>
        <v>K T^-1</v>
      </c>
      <c r="E233" s="42">
        <f>countif(Constants!F:F,F233)</f>
        <v>1</v>
      </c>
      <c r="F233" s="21" t="str">
        <f>ifna(VLOOKUP($A233,'v2002'!$A:$F,6,false),"")</f>
        <v>NuclearMagnetonInKPerT</v>
      </c>
      <c r="G233" s="21" t="str">
        <f>IFERROR(__xludf.DUMMYFUNCTION("REGEXREPLACE(substitute(substitute(B233,"" "",""""),""..."",""""),""\(.*\)"","""")"),"3.6582638e-4")</f>
        <v>3.6582638e-4</v>
      </c>
      <c r="H233" s="43">
        <f t="shared" si="2"/>
        <v>0.00036582638</v>
      </c>
      <c r="I233" s="21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43">
        <f t="shared" si="3"/>
        <v>0</v>
      </c>
      <c r="K233" s="43" t="b">
        <f t="shared" si="4"/>
        <v>0</v>
      </c>
      <c r="L233" s="21" t="str">
        <f>IFERROR(__xludf.DUMMYFUNCTION("if(regexmatch(B233,""e(.*)$""),regexextract(B233,""e(.*)$""),"""")"),"-4")</f>
        <v>-4</v>
      </c>
    </row>
    <row r="234">
      <c r="A234" s="34" t="s">
        <v>1763</v>
      </c>
      <c r="B234" s="34" t="s">
        <v>4909</v>
      </c>
      <c r="C234" s="34" t="s">
        <v>4260</v>
      </c>
      <c r="D234" s="13" t="str">
        <f t="shared" si="1"/>
        <v>MHz T^-1</v>
      </c>
      <c r="E234" s="42">
        <f>countif(Constants!F:F,F234)</f>
        <v>1</v>
      </c>
      <c r="F234" s="21" t="str">
        <f>ifna(VLOOKUP($A234,'v2002'!$A:$F,6,false),"")</f>
        <v>NuclearMagnetonInMHzPerT</v>
      </c>
      <c r="G234" s="21" t="str">
        <f>IFERROR(__xludf.DUMMYFUNCTION("REGEXREPLACE(substitute(substitute(B234,"" "",""""),""..."",""""),""\(.*\)"","""")"),"7.62259396")</f>
        <v>7.62259396</v>
      </c>
      <c r="H234" s="43">
        <f t="shared" si="2"/>
        <v>7.62259396</v>
      </c>
      <c r="I234" s="21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43">
        <f t="shared" si="3"/>
        <v>0.0000000031</v>
      </c>
      <c r="K234" s="43" t="b">
        <f t="shared" si="4"/>
        <v>0</v>
      </c>
      <c r="L234" s="21" t="str">
        <f>IFERROR(__xludf.DUMMYFUNCTION("if(regexmatch(B234,""e(.*)$""),regexextract(B234,""e(.*)$""),"""")"),"")</f>
        <v/>
      </c>
    </row>
    <row r="235">
      <c r="A235" s="34" t="s">
        <v>1754</v>
      </c>
      <c r="B235" s="34" t="s">
        <v>4910</v>
      </c>
      <c r="C235" s="34" t="s">
        <v>4218</v>
      </c>
      <c r="D235" s="13" t="str">
        <f t="shared" si="1"/>
        <v>eV T^-1</v>
      </c>
      <c r="E235" s="42">
        <f>countif(Constants!F:F,F235)</f>
        <v>1</v>
      </c>
      <c r="F235" s="21" t="str">
        <f>ifna(VLOOKUP($A235,'v2002'!$A:$F,6,false),"")</f>
        <v>NuclearMagnetonInEVPerT</v>
      </c>
      <c r="G235" s="21" t="str">
        <f>IFERROR(__xludf.DUMMYFUNCTION("REGEXREPLACE(substitute(substitute(B235,"" "",""""),""..."",""""),""\(.*\)"","""")"),"3.152451238e-8")</f>
        <v>3.152451238e-8</v>
      </c>
      <c r="H235" s="43">
        <f t="shared" si="2"/>
        <v>0.00000003152451238</v>
      </c>
      <c r="I235" s="21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43">
        <f t="shared" si="3"/>
        <v>0</v>
      </c>
      <c r="K235" s="43" t="b">
        <f t="shared" si="4"/>
        <v>0</v>
      </c>
      <c r="L235" s="21" t="str">
        <f>IFERROR(__xludf.DUMMYFUNCTION("if(regexmatch(B235,""e(.*)$""),regexextract(B235,""e(.*)$""),"""")"),"-8")</f>
        <v>-8</v>
      </c>
    </row>
    <row r="236">
      <c r="A236" s="34" t="s">
        <v>3572</v>
      </c>
      <c r="B236" s="34" t="s">
        <v>4911</v>
      </c>
      <c r="C236" s="34" t="s">
        <v>4220</v>
      </c>
      <c r="D236" s="13" t="str">
        <f t="shared" si="1"/>
        <v>m^-1 T^-1</v>
      </c>
      <c r="E236" s="42">
        <f>countif(Constants!F:F,F236)</f>
        <v>1</v>
      </c>
      <c r="F236" s="21" t="str">
        <f>ifna(VLOOKUP($A236,'v2002'!$A:$F,6,false),"")</f>
        <v>NuclearMagnetonInInverseMetersPerTesla</v>
      </c>
      <c r="G236" s="21" t="str">
        <f>IFERROR(__xludf.DUMMYFUNCTION("REGEXREPLACE(substitute(substitute(B236,"" "",""""),""..."",""""),""\(.*\)"","""")"),"2.54262366e-2")</f>
        <v>2.54262366e-2</v>
      </c>
      <c r="H236" s="43">
        <f t="shared" si="2"/>
        <v>0.0254262366</v>
      </c>
      <c r="I236" s="21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43">
        <f t="shared" si="3"/>
        <v>0</v>
      </c>
      <c r="K236" s="43" t="b">
        <f t="shared" si="4"/>
        <v>0</v>
      </c>
      <c r="L236" s="21" t="str">
        <f>IFERROR(__xludf.DUMMYFUNCTION("if(regexmatch(B236,""e(.*)$""),regexextract(B236,""e(.*)$""),"""")"),"-2")</f>
        <v>-2</v>
      </c>
    </row>
    <row r="237">
      <c r="A237" s="34" t="s">
        <v>1766</v>
      </c>
      <c r="B237" s="34" t="s">
        <v>4839</v>
      </c>
      <c r="C237" s="34" t="s">
        <v>643</v>
      </c>
      <c r="D237" s="13" t="str">
        <f t="shared" si="1"/>
        <v>J s</v>
      </c>
      <c r="E237" s="42">
        <f>countif(Constants!F:F,F237)</f>
        <v>1</v>
      </c>
      <c r="F237" s="21" t="str">
        <f>ifna(VLOOKUP($A237,'v2002'!$A:$F,6,false),"")</f>
        <v>PlanckConstant</v>
      </c>
      <c r="G237" s="21" t="str">
        <f>IFERROR(__xludf.DUMMYFUNCTION("REGEXREPLACE(substitute(substitute(B237,"" "",""""),""..."",""""),""\(.*\)"","""")"),"6.62606876e-34")</f>
        <v>6.62606876e-34</v>
      </c>
      <c r="H237" s="43">
        <f t="shared" si="2"/>
        <v>0</v>
      </c>
      <c r="I237" s="21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43">
        <f t="shared" si="3"/>
        <v>0</v>
      </c>
      <c r="K237" s="43" t="b">
        <f t="shared" si="4"/>
        <v>0</v>
      </c>
      <c r="L237" s="21" t="str">
        <f>IFERROR(__xludf.DUMMYFUNCTION("if(regexmatch(B237,""e(.*)$""),regexextract(B237,""e(.*)$""),"""")"),"-34")</f>
        <v>-34</v>
      </c>
    </row>
    <row r="238">
      <c r="A238" s="34" t="s">
        <v>3580</v>
      </c>
      <c r="B238" s="34" t="s">
        <v>4836</v>
      </c>
      <c r="C238" s="34" t="s">
        <v>1598</v>
      </c>
      <c r="D238" s="13" t="str">
        <f t="shared" si="1"/>
        <v>eV s</v>
      </c>
      <c r="E238" s="42">
        <f>countif(Constants!F:F,F238)</f>
        <v>1</v>
      </c>
      <c r="F238" s="21" t="str">
        <f>ifna(VLOOKUP($A238,'v2002'!$A:$F,6,false),"")</f>
        <v>PlanckConstantInEVS</v>
      </c>
      <c r="G238" s="21" t="str">
        <f>IFERROR(__xludf.DUMMYFUNCTION("REGEXREPLACE(substitute(substitute(B238,"" "",""""),""..."",""""),""\(.*\)"","""")"),"4.13566727e-15")</f>
        <v>4.13566727e-15</v>
      </c>
      <c r="H238" s="43">
        <f t="shared" si="2"/>
        <v>0</v>
      </c>
      <c r="I238" s="21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43">
        <f t="shared" si="3"/>
        <v>0</v>
      </c>
      <c r="K238" s="43" t="b">
        <f t="shared" si="4"/>
        <v>0</v>
      </c>
      <c r="L238" s="21" t="str">
        <f>IFERROR(__xludf.DUMMYFUNCTION("if(regexmatch(B238,""e(.*)$""),regexextract(B238,""e(.*)$""),"""")"),"-15")</f>
        <v>-15</v>
      </c>
    </row>
    <row r="239">
      <c r="A239" s="34" t="s">
        <v>1908</v>
      </c>
      <c r="B239" s="34" t="s">
        <v>4745</v>
      </c>
      <c r="C239" s="34" t="s">
        <v>643</v>
      </c>
      <c r="D239" s="13" t="str">
        <f t="shared" si="1"/>
        <v>J s</v>
      </c>
      <c r="E239" s="42">
        <f>countif(Constants!F:F,F239)</f>
        <v>1</v>
      </c>
      <c r="F239" s="21" t="str">
        <f>ifna(VLOOKUP($A239,'v2002'!$A:$F,6,false),"")</f>
        <v>PlanckConstantOver2Pi</v>
      </c>
      <c r="G239" s="21" t="str">
        <f>IFERROR(__xludf.DUMMYFUNCTION("REGEXREPLACE(substitute(substitute(B239,"" "",""""),""..."",""""),""\(.*\)"","""")"),"1.054571596e-34")</f>
        <v>1.054571596e-34</v>
      </c>
      <c r="H239" s="43">
        <f t="shared" si="2"/>
        <v>0</v>
      </c>
      <c r="I239" s="21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43">
        <f t="shared" si="3"/>
        <v>0</v>
      </c>
      <c r="K239" s="43" t="b">
        <f t="shared" si="4"/>
        <v>0</v>
      </c>
      <c r="L239" s="21" t="str">
        <f>IFERROR(__xludf.DUMMYFUNCTION("if(regexmatch(B239,""e(.*)$""),regexextract(B239,""e(.*)$""),"""")"),"-34")</f>
        <v>-34</v>
      </c>
    </row>
    <row r="240">
      <c r="A240" s="34" t="s">
        <v>1912</v>
      </c>
      <c r="B240" s="34" t="s">
        <v>4887</v>
      </c>
      <c r="C240" s="34" t="s">
        <v>1598</v>
      </c>
      <c r="D240" s="13" t="str">
        <f t="shared" si="1"/>
        <v>eV s</v>
      </c>
      <c r="E240" s="42">
        <f>countif(Constants!F:F,F240)</f>
        <v>1</v>
      </c>
      <c r="F240" s="21" t="str">
        <f>ifna(VLOOKUP($A240,'v2002'!$A:$F,6,false),"")</f>
        <v>PlanckConstantOver2PiInEVS</v>
      </c>
      <c r="G240" s="21" t="str">
        <f>IFERROR(__xludf.DUMMYFUNCTION("REGEXREPLACE(substitute(substitute(B240,"" "",""""),""..."",""""),""\(.*\)"","""")"),"6.58211889e-16")</f>
        <v>6.58211889e-16</v>
      </c>
      <c r="H240" s="43">
        <f t="shared" si="2"/>
        <v>0</v>
      </c>
      <c r="I240" s="21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43">
        <f t="shared" si="3"/>
        <v>0</v>
      </c>
      <c r="K240" s="43" t="b">
        <f t="shared" si="4"/>
        <v>0</v>
      </c>
      <c r="L240" s="21" t="str">
        <f>IFERROR(__xludf.DUMMYFUNCTION("if(regexmatch(B240,""e(.*)$""),regexextract(B240,""e(.*)$""),"""")"),"-16")</f>
        <v>-16</v>
      </c>
    </row>
    <row r="241">
      <c r="A241" s="34" t="s">
        <v>1777</v>
      </c>
      <c r="B241" s="34" t="s">
        <v>4912</v>
      </c>
      <c r="C241" s="34" t="s">
        <v>571</v>
      </c>
      <c r="D241" s="13" t="str">
        <f t="shared" si="1"/>
        <v>m</v>
      </c>
      <c r="E241" s="42">
        <f>countif(Constants!F:F,F241)</f>
        <v>1</v>
      </c>
      <c r="F241" s="21" t="str">
        <f>ifna(VLOOKUP($A241,'v2002'!$A:$F,6,false),"")</f>
        <v>PlanckLength</v>
      </c>
      <c r="G241" s="21" t="str">
        <f>IFERROR(__xludf.DUMMYFUNCTION("REGEXREPLACE(substitute(substitute(B241,"" "",""""),""..."",""""),""\(.*\)"","""")"),"1.6160e-35")</f>
        <v>1.6160e-35</v>
      </c>
      <c r="H241" s="43">
        <f t="shared" si="2"/>
        <v>0</v>
      </c>
      <c r="I241" s="21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43">
        <f t="shared" si="3"/>
        <v>0</v>
      </c>
      <c r="K241" s="43" t="b">
        <f t="shared" si="4"/>
        <v>0</v>
      </c>
      <c r="L241" s="21" t="str">
        <f>IFERROR(__xludf.DUMMYFUNCTION("if(regexmatch(B241,""e(.*)$""),regexextract(B241,""e(.*)$""),"""")"),"-35")</f>
        <v>-35</v>
      </c>
    </row>
    <row r="242">
      <c r="A242" s="34" t="s">
        <v>1781</v>
      </c>
      <c r="B242" s="34" t="s">
        <v>4913</v>
      </c>
      <c r="C242" s="34" t="s">
        <v>538</v>
      </c>
      <c r="D242" s="13" t="str">
        <f t="shared" si="1"/>
        <v>kg</v>
      </c>
      <c r="E242" s="42">
        <f>countif(Constants!F:F,F242)</f>
        <v>1</v>
      </c>
      <c r="F242" s="21" t="str">
        <f>ifna(VLOOKUP($A242,'v2002'!$A:$F,6,false),"")</f>
        <v>PlanckMass</v>
      </c>
      <c r="G242" s="21" t="str">
        <f>IFERROR(__xludf.DUMMYFUNCTION("REGEXREPLACE(substitute(substitute(B242,"" "",""""),""..."",""""),""\(.*\)"","""")"),"2.1767e-8")</f>
        <v>2.1767e-8</v>
      </c>
      <c r="H242" s="43">
        <f t="shared" si="2"/>
        <v>0.000000021767</v>
      </c>
      <c r="I242" s="21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43">
        <f t="shared" si="3"/>
        <v>0</v>
      </c>
      <c r="K242" s="43" t="b">
        <f t="shared" si="4"/>
        <v>0</v>
      </c>
      <c r="L242" s="21" t="str">
        <f>IFERROR(__xludf.DUMMYFUNCTION("if(regexmatch(B242,""e(.*)$""),regexextract(B242,""e(.*)$""),"""")"),"-8")</f>
        <v>-8</v>
      </c>
    </row>
    <row r="243">
      <c r="A243" s="34" t="s">
        <v>1795</v>
      </c>
      <c r="B243" s="34" t="s">
        <v>4914</v>
      </c>
      <c r="C243" s="34" t="s">
        <v>749</v>
      </c>
      <c r="D243" s="13" t="str">
        <f t="shared" si="1"/>
        <v>s</v>
      </c>
      <c r="E243" s="42">
        <f>countif(Constants!F:F,F243)</f>
        <v>1</v>
      </c>
      <c r="F243" s="21" t="str">
        <f>ifna(VLOOKUP($A243,'v2002'!$A:$F,6,false),"")</f>
        <v>PlanckTime</v>
      </c>
      <c r="G243" s="21" t="str">
        <f>IFERROR(__xludf.DUMMYFUNCTION("REGEXREPLACE(substitute(substitute(B243,"" "",""""),""..."",""""),""\(.*\)"","""")"),"5.3906e-44")</f>
        <v>5.3906e-44</v>
      </c>
      <c r="H243" s="43">
        <f t="shared" si="2"/>
        <v>0</v>
      </c>
      <c r="I243" s="21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43">
        <f t="shared" si="3"/>
        <v>0</v>
      </c>
      <c r="K243" s="43" t="b">
        <f t="shared" si="4"/>
        <v>0</v>
      </c>
      <c r="L243" s="21" t="str">
        <f>IFERROR(__xludf.DUMMYFUNCTION("if(regexmatch(B243,""e(.*)$""),regexextract(B243,""e(.*)$""),"""")"),"-44")</f>
        <v>-44</v>
      </c>
    </row>
    <row r="244">
      <c r="A244" s="34" t="s">
        <v>1803</v>
      </c>
      <c r="B244" s="34" t="s">
        <v>4915</v>
      </c>
      <c r="C244" s="34" t="s">
        <v>571</v>
      </c>
      <c r="D244" s="13" t="str">
        <f t="shared" si="1"/>
        <v>m</v>
      </c>
      <c r="E244" s="42">
        <f>countif(Constants!F:F,F244)</f>
        <v>1</v>
      </c>
      <c r="F244" s="21" t="str">
        <f>ifna(VLOOKUP($A244,'v2002'!$A:$F,6,false),"")</f>
        <v>ProtonComptonWavelength</v>
      </c>
      <c r="G244" s="21" t="str">
        <f>IFERROR(__xludf.DUMMYFUNCTION("REGEXREPLACE(substitute(substitute(B244,"" "",""""),""..."",""""),""\(.*\)"","""")"),"1.321409847e-15")</f>
        <v>1.321409847e-15</v>
      </c>
      <c r="H244" s="43">
        <f t="shared" si="2"/>
        <v>0</v>
      </c>
      <c r="I244" s="21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43">
        <f t="shared" si="3"/>
        <v>0</v>
      </c>
      <c r="K244" s="43" t="b">
        <f t="shared" si="4"/>
        <v>0</v>
      </c>
      <c r="L244" s="21" t="str">
        <f>IFERROR(__xludf.DUMMYFUNCTION("if(regexmatch(B244,""e(.*)$""),regexextract(B244,""e(.*)$""),"""")"),"-15")</f>
        <v>-15</v>
      </c>
    </row>
    <row r="245">
      <c r="A245" s="34" t="s">
        <v>1924</v>
      </c>
      <c r="B245" s="34" t="s">
        <v>4916</v>
      </c>
      <c r="C245" s="34" t="s">
        <v>571</v>
      </c>
      <c r="D245" s="13" t="str">
        <f t="shared" si="1"/>
        <v>m</v>
      </c>
      <c r="E245" s="42">
        <f>countif(Constants!F:F,F245)</f>
        <v>1</v>
      </c>
      <c r="F245" s="21" t="str">
        <f>ifna(VLOOKUP($A245,'v2002'!$A:$F,6,false),"")</f>
        <v>ProtonComptonWavelengthOver2Pi</v>
      </c>
      <c r="G245" s="21" t="str">
        <f>IFERROR(__xludf.DUMMYFUNCTION("REGEXREPLACE(substitute(substitute(B245,"" "",""""),""..."",""""),""\(.*\)"","""")"),"0.2103089089e-15")</f>
        <v>0.2103089089e-15</v>
      </c>
      <c r="H245" s="43">
        <f t="shared" si="2"/>
        <v>0</v>
      </c>
      <c r="I245" s="21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43">
        <f t="shared" si="3"/>
        <v>0</v>
      </c>
      <c r="K245" s="43" t="b">
        <f t="shared" si="4"/>
        <v>0</v>
      </c>
      <c r="L245" s="21" t="str">
        <f>IFERROR(__xludf.DUMMYFUNCTION("if(regexmatch(B245,""e(.*)$""),regexextract(B245,""e(.*)$""),"""")"),"-15")</f>
        <v>-15</v>
      </c>
    </row>
    <row r="246">
      <c r="A246" s="34" t="s">
        <v>1799</v>
      </c>
      <c r="B246" s="34" t="s">
        <v>4917</v>
      </c>
      <c r="C246" s="34" t="s">
        <v>4255</v>
      </c>
      <c r="D246" s="13" t="str">
        <f t="shared" si="1"/>
        <v>C kg^-1</v>
      </c>
      <c r="E246" s="42">
        <f>countif(Constants!F:F,F246)</f>
        <v>1</v>
      </c>
      <c r="F246" s="21" t="str">
        <f>ifna(VLOOKUP($A246,'v2002'!$A:$F,6,false),"")</f>
        <v>ProtonChargeToMassQuotient</v>
      </c>
      <c r="G246" s="21" t="str">
        <f>IFERROR(__xludf.DUMMYFUNCTION("REGEXREPLACE(substitute(substitute(B246,"" "",""""),""..."",""""),""\(.*\)"","""")"),"9.57883408e7")</f>
        <v>9.57883408e7</v>
      </c>
      <c r="H246" s="43">
        <f t="shared" si="2"/>
        <v>95788340.8</v>
      </c>
      <c r="I246" s="21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43">
        <f t="shared" si="3"/>
        <v>0.038</v>
      </c>
      <c r="K246" s="43" t="b">
        <f t="shared" si="4"/>
        <v>0</v>
      </c>
      <c r="L246" s="21" t="str">
        <f>IFERROR(__xludf.DUMMYFUNCTION("if(regexmatch(B246,""e(.*)$""),regexextract(B246,""e(.*)$""),"""")"),"7")</f>
        <v>7</v>
      </c>
    </row>
    <row r="247">
      <c r="A247" s="34" t="s">
        <v>1811</v>
      </c>
      <c r="B247" s="34" t="s">
        <v>4918</v>
      </c>
      <c r="C247" s="34"/>
      <c r="D247" s="13" t="str">
        <f t="shared" si="1"/>
        <v/>
      </c>
      <c r="E247" s="42">
        <f>countif(Constants!F:F,F247)</f>
        <v>1</v>
      </c>
      <c r="F247" s="21" t="str">
        <f>ifna(VLOOKUP($A247,'v2002'!$A:$F,6,false),"")</f>
        <v>ProtonGFactor</v>
      </c>
      <c r="G247" s="21" t="str">
        <f>IFERROR(__xludf.DUMMYFUNCTION("REGEXREPLACE(substitute(substitute(B247,"" "",""""),""..."",""""),""\(.*\)"","""")"),"5.585694675")</f>
        <v>5.585694675</v>
      </c>
      <c r="H247" s="43">
        <f t="shared" si="2"/>
        <v>5.585694675</v>
      </c>
      <c r="I247" s="21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43">
        <f t="shared" si="3"/>
        <v>0.00000000057</v>
      </c>
      <c r="K247" s="43" t="b">
        <f t="shared" si="4"/>
        <v>0</v>
      </c>
      <c r="L247" s="21" t="str">
        <f>IFERROR(__xludf.DUMMYFUNCTION("if(regexmatch(B247,""e(.*)$""),regexextract(B247,""e(.*)$""),"""")"),"")</f>
        <v/>
      </c>
    </row>
    <row r="248">
      <c r="A248" s="34" t="s">
        <v>1816</v>
      </c>
      <c r="B248" s="34" t="s">
        <v>4919</v>
      </c>
      <c r="C248" s="34" t="s">
        <v>4258</v>
      </c>
      <c r="D248" s="13" t="str">
        <f t="shared" si="1"/>
        <v>s^-1 T^-1</v>
      </c>
      <c r="E248" s="42">
        <f>countif(Constants!F:F,F248)</f>
        <v>1</v>
      </c>
      <c r="F248" s="21" t="str">
        <f>ifna(VLOOKUP($A248,'v2002'!$A:$F,6,false),"")</f>
        <v>ProtonGyromagneticRatio</v>
      </c>
      <c r="G248" s="21" t="str">
        <f>IFERROR(__xludf.DUMMYFUNCTION("REGEXREPLACE(substitute(substitute(B248,"" "",""""),""..."",""""),""\(.*\)"","""")"),"2.67522212e8")</f>
        <v>2.67522212e8</v>
      </c>
      <c r="H248" s="43">
        <f t="shared" si="2"/>
        <v>267522212</v>
      </c>
      <c r="I248" s="21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43">
        <f t="shared" si="3"/>
        <v>0.11</v>
      </c>
      <c r="K248" s="43" t="b">
        <f t="shared" si="4"/>
        <v>0</v>
      </c>
      <c r="L248" s="21" t="str">
        <f>IFERROR(__xludf.DUMMYFUNCTION("if(regexmatch(B248,""e(.*)$""),regexextract(B248,""e(.*)$""),"""")"),"8")</f>
        <v>8</v>
      </c>
    </row>
    <row r="249">
      <c r="A249" s="34" t="s">
        <v>1819</v>
      </c>
      <c r="B249" s="34" t="s">
        <v>4920</v>
      </c>
      <c r="C249" s="34" t="s">
        <v>4260</v>
      </c>
      <c r="D249" s="13" t="str">
        <f t="shared" si="1"/>
        <v>MHz T^-1</v>
      </c>
      <c r="E249" s="42">
        <f>countif(Constants!F:F,F249)</f>
        <v>1</v>
      </c>
      <c r="F249" s="21" t="str">
        <f>ifna(VLOOKUP($A249,'v2002'!$A:$F,6,false),"")</f>
        <v>ProtonGyromagneticRatioOver2Pi</v>
      </c>
      <c r="G249" s="21" t="str">
        <f>IFERROR(__xludf.DUMMYFUNCTION("REGEXREPLACE(substitute(substitute(B249,"" "",""""),""..."",""""),""\(.*\)"","""")"),"42.5774825")</f>
        <v>42.5774825</v>
      </c>
      <c r="H249" s="43">
        <f t="shared" si="2"/>
        <v>42.5774825</v>
      </c>
      <c r="I249" s="21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43">
        <f t="shared" si="3"/>
        <v>0.000000018</v>
      </c>
      <c r="K249" s="43" t="b">
        <f t="shared" si="4"/>
        <v>0</v>
      </c>
      <c r="L249" s="21" t="str">
        <f>IFERROR(__xludf.DUMMYFUNCTION("if(regexmatch(B249,""e(.*)$""),regexextract(B249,""e(.*)$""),"""")"),"")</f>
        <v/>
      </c>
    </row>
    <row r="250">
      <c r="A250" s="34" t="s">
        <v>1825</v>
      </c>
      <c r="B250" s="34" t="s">
        <v>4921</v>
      </c>
      <c r="C250" s="34" t="s">
        <v>4197</v>
      </c>
      <c r="D250" s="13" t="str">
        <f t="shared" si="1"/>
        <v>J T^-1</v>
      </c>
      <c r="E250" s="42">
        <f>countif(Constants!F:F,F250)</f>
        <v>1</v>
      </c>
      <c r="F250" s="21" t="str">
        <f>ifna(VLOOKUP($A250,'v2002'!$A:$F,6,false),"")</f>
        <v>ProtonMagneticMoment</v>
      </c>
      <c r="G250" s="21" t="str">
        <f>IFERROR(__xludf.DUMMYFUNCTION("REGEXREPLACE(substitute(substitute(B250,"" "",""""),""..."",""""),""\(.*\)"","""")"),"1.410606633e-26")</f>
        <v>1.410606633e-26</v>
      </c>
      <c r="H250" s="43">
        <f t="shared" si="2"/>
        <v>0</v>
      </c>
      <c r="I250" s="21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43">
        <f t="shared" si="3"/>
        <v>0</v>
      </c>
      <c r="K250" s="43" t="b">
        <f t="shared" si="4"/>
        <v>0</v>
      </c>
      <c r="L250" s="21" t="str">
        <f>IFERROR(__xludf.DUMMYFUNCTION("if(regexmatch(B250,""e(.*)$""),regexextract(B250,""e(.*)$""),"""")"),"-26")</f>
        <v>-26</v>
      </c>
    </row>
    <row r="251">
      <c r="A251" s="34" t="s">
        <v>1830</v>
      </c>
      <c r="B251" s="34" t="s">
        <v>4922</v>
      </c>
      <c r="C251" s="34"/>
      <c r="D251" s="13" t="str">
        <f t="shared" si="1"/>
        <v/>
      </c>
      <c r="E251" s="42">
        <f>countif(Constants!F:F,F251)</f>
        <v>1</v>
      </c>
      <c r="F251" s="21" t="str">
        <f>ifna(VLOOKUP($A251,'v2002'!$A:$F,6,false),"")</f>
        <v>ProtonMagneticMomentToBohrMagnetonRatio</v>
      </c>
      <c r="G251" s="21" t="str">
        <f>IFERROR(__xludf.DUMMYFUNCTION("REGEXREPLACE(substitute(substitute(B251,"" "",""""),""..."",""""),""\(.*\)"","""")"),"1.521032203e-3")</f>
        <v>1.521032203e-3</v>
      </c>
      <c r="H251" s="43">
        <f t="shared" si="2"/>
        <v>0.001521032203</v>
      </c>
      <c r="I251" s="21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43">
        <f t="shared" si="3"/>
        <v>0</v>
      </c>
      <c r="K251" s="43" t="b">
        <f t="shared" si="4"/>
        <v>0</v>
      </c>
      <c r="L251" s="21" t="str">
        <f>IFERROR(__xludf.DUMMYFUNCTION("if(regexmatch(B251,""e(.*)$""),regexextract(B251,""e(.*)$""),"""")"),"-3")</f>
        <v>-3</v>
      </c>
    </row>
    <row r="252">
      <c r="A252" s="34" t="s">
        <v>1835</v>
      </c>
      <c r="B252" s="34" t="s">
        <v>4923</v>
      </c>
      <c r="C252" s="34"/>
      <c r="D252" s="13" t="str">
        <f t="shared" si="1"/>
        <v/>
      </c>
      <c r="E252" s="42">
        <f>countif(Constants!F:F,F252)</f>
        <v>1</v>
      </c>
      <c r="F252" s="21" t="str">
        <f>ifna(VLOOKUP($A252,'v2002'!$A:$F,6,false),"")</f>
        <v>ProtonMagneticMomentToNuclearMagnetonRatio</v>
      </c>
      <c r="G252" s="21" t="str">
        <f>IFERROR(__xludf.DUMMYFUNCTION("REGEXREPLACE(substitute(substitute(B252,"" "",""""),""..."",""""),""\(.*\)"","""")"),"2.792847337")</f>
        <v>2.792847337</v>
      </c>
      <c r="H252" s="43">
        <f t="shared" si="2"/>
        <v>2.792847337</v>
      </c>
      <c r="I252" s="21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43">
        <f t="shared" si="3"/>
        <v>0.00000000029</v>
      </c>
      <c r="K252" s="43" t="b">
        <f t="shared" si="4"/>
        <v>0</v>
      </c>
      <c r="L252" s="21" t="str">
        <f>IFERROR(__xludf.DUMMYFUNCTION("if(regexmatch(B252,""e(.*)$""),regexextract(B252,""e(.*)$""),"""")"),"")</f>
        <v/>
      </c>
    </row>
    <row r="253">
      <c r="A253" s="34" t="s">
        <v>1840</v>
      </c>
      <c r="B253" s="34" t="s">
        <v>4924</v>
      </c>
      <c r="C253" s="34"/>
      <c r="D253" s="13" t="str">
        <f t="shared" si="1"/>
        <v/>
      </c>
      <c r="E253" s="42">
        <f>countif(Constants!F:F,F253)</f>
        <v>1</v>
      </c>
      <c r="F253" s="21" t="str">
        <f>ifna(VLOOKUP($A253,'v2002'!$A:$F,6,false),"")</f>
        <v>ProtonMagneticShieldingCorrection</v>
      </c>
      <c r="G253" s="21" t="str">
        <f>IFERROR(__xludf.DUMMYFUNCTION("REGEXREPLACE(substitute(substitute(B253,"" "",""""),""..."",""""),""\(.*\)"","""")"),"25.687e-6")</f>
        <v>25.687e-6</v>
      </c>
      <c r="H253" s="43">
        <f t="shared" si="2"/>
        <v>0.000025687</v>
      </c>
      <c r="I253" s="21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43">
        <f t="shared" si="3"/>
        <v>0.00000000015</v>
      </c>
      <c r="K253" s="43" t="b">
        <f t="shared" si="4"/>
        <v>0</v>
      </c>
      <c r="L253" s="21" t="str">
        <f>IFERROR(__xludf.DUMMYFUNCTION("if(regexmatch(B253,""e(.*)$""),regexextract(B253,""e(.*)$""),"""")"),"-6")</f>
        <v>-6</v>
      </c>
    </row>
    <row r="254">
      <c r="A254" s="34" t="s">
        <v>1843</v>
      </c>
      <c r="B254" s="34" t="s">
        <v>4925</v>
      </c>
      <c r="C254" s="34" t="s">
        <v>538</v>
      </c>
      <c r="D254" s="13" t="str">
        <f t="shared" si="1"/>
        <v>kg</v>
      </c>
      <c r="E254" s="42">
        <f>countif(Constants!F:F,F254)</f>
        <v>1</v>
      </c>
      <c r="F254" s="21" t="str">
        <f>ifna(VLOOKUP($A254,'v2002'!$A:$F,6,false),"")</f>
        <v>ProtonMass</v>
      </c>
      <c r="G254" s="21" t="str">
        <f>IFERROR(__xludf.DUMMYFUNCTION("REGEXREPLACE(substitute(substitute(B254,"" "",""""),""..."",""""),""\(.*\)"","""")"),"1.67262158e-27")</f>
        <v>1.67262158e-27</v>
      </c>
      <c r="H254" s="43">
        <f t="shared" si="2"/>
        <v>0</v>
      </c>
      <c r="I254" s="21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43">
        <f t="shared" si="3"/>
        <v>0</v>
      </c>
      <c r="K254" s="43" t="b">
        <f t="shared" si="4"/>
        <v>0</v>
      </c>
      <c r="L254" s="21" t="str">
        <f>IFERROR(__xludf.DUMMYFUNCTION("if(regexmatch(B254,""e(.*)$""),regexextract(B254,""e(.*)$""),"""")"),"-27")</f>
        <v>-27</v>
      </c>
    </row>
    <row r="255">
      <c r="A255" s="34" t="s">
        <v>1848</v>
      </c>
      <c r="B255" s="34" t="s">
        <v>4926</v>
      </c>
      <c r="C255" s="34" t="s">
        <v>543</v>
      </c>
      <c r="D255" s="13" t="str">
        <f t="shared" si="1"/>
        <v>J</v>
      </c>
      <c r="E255" s="42">
        <f>countif(Constants!F:F,F255)</f>
        <v>1</v>
      </c>
      <c r="F255" s="21" t="str">
        <f>ifna(VLOOKUP($A255,'v2002'!$A:$F,6,false),"")</f>
        <v>ProtonMassEnergyEquivalent</v>
      </c>
      <c r="G255" s="21" t="str">
        <f>IFERROR(__xludf.DUMMYFUNCTION("REGEXREPLACE(substitute(substitute(B255,"" "",""""),""..."",""""),""\(.*\)"","""")"),"1.50327731e-10")</f>
        <v>1.50327731e-10</v>
      </c>
      <c r="H255" s="43">
        <f t="shared" si="2"/>
        <v>0.000000000150327731</v>
      </c>
      <c r="I255" s="21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43">
        <f t="shared" si="3"/>
        <v>0</v>
      </c>
      <c r="K255" s="43" t="b">
        <f t="shared" si="4"/>
        <v>0</v>
      </c>
      <c r="L255" s="21" t="str">
        <f>IFERROR(__xludf.DUMMYFUNCTION("if(regexmatch(B255,""e(.*)$""),regexextract(B255,""e(.*)$""),"""")"),"-10")</f>
        <v>-10</v>
      </c>
    </row>
    <row r="256">
      <c r="A256" s="34" t="s">
        <v>1852</v>
      </c>
      <c r="B256" s="34" t="s">
        <v>4927</v>
      </c>
      <c r="C256" s="34" t="s">
        <v>548</v>
      </c>
      <c r="D256" s="13" t="str">
        <f t="shared" si="1"/>
        <v>MeV</v>
      </c>
      <c r="E256" s="42">
        <f>countif(Constants!F:F,F256)</f>
        <v>1</v>
      </c>
      <c r="F256" s="21" t="str">
        <f>ifna(VLOOKUP($A256,'v2002'!$A:$F,6,false),"")</f>
        <v>ProtonMassEnergyEquivalentInMeV</v>
      </c>
      <c r="G256" s="21" t="str">
        <f>IFERROR(__xludf.DUMMYFUNCTION("REGEXREPLACE(substitute(substitute(B256,"" "",""""),""..."",""""),""\(.*\)"","""")"),"938.271998")</f>
        <v>938.271998</v>
      </c>
      <c r="H256" s="43">
        <f t="shared" si="2"/>
        <v>938.271998</v>
      </c>
      <c r="I256" s="21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43">
        <f t="shared" si="3"/>
        <v>0.00000038</v>
      </c>
      <c r="K256" s="43" t="b">
        <f t="shared" si="4"/>
        <v>0</v>
      </c>
      <c r="L256" s="21" t="str">
        <f>IFERROR(__xludf.DUMMYFUNCTION("if(regexmatch(B256,""e(.*)$""),regexextract(B256,""e(.*)$""),"""")"),"")</f>
        <v/>
      </c>
    </row>
    <row r="257">
      <c r="A257" s="34" t="s">
        <v>1855</v>
      </c>
      <c r="B257" s="34" t="s">
        <v>4698</v>
      </c>
      <c r="C257" s="34" t="s">
        <v>553</v>
      </c>
      <c r="D257" s="13" t="str">
        <f t="shared" si="1"/>
        <v>u</v>
      </c>
      <c r="E257" s="42">
        <f>countif(Constants!F:F,F257)</f>
        <v>1</v>
      </c>
      <c r="F257" s="21" t="str">
        <f>ifna(VLOOKUP($A257,'v2002'!$A:$F,6,false),"")</f>
        <v>ProtonMassInAtomicMassUnit</v>
      </c>
      <c r="G257" s="21" t="str">
        <f>IFERROR(__xludf.DUMMYFUNCTION("REGEXREPLACE(substitute(substitute(B257,"" "",""""),""..."",""""),""\(.*\)"","""")"),"1.00727646688")</f>
        <v>1.00727646688</v>
      </c>
      <c r="H257" s="43">
        <f t="shared" si="2"/>
        <v>1.007276467</v>
      </c>
      <c r="I257" s="21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43">
        <f t="shared" si="3"/>
        <v>0</v>
      </c>
      <c r="K257" s="43" t="b">
        <f t="shared" si="4"/>
        <v>0</v>
      </c>
      <c r="L257" s="21" t="str">
        <f>IFERROR(__xludf.DUMMYFUNCTION("if(regexmatch(B257,""e(.*)$""),regexextract(B257,""e(.*)$""),"""")"),"")</f>
        <v/>
      </c>
    </row>
    <row r="258">
      <c r="A258" s="34" t="s">
        <v>1858</v>
      </c>
      <c r="B258" s="34" t="s">
        <v>4699</v>
      </c>
      <c r="C258" s="34" t="s">
        <v>4163</v>
      </c>
      <c r="D258" s="13" t="str">
        <f t="shared" si="1"/>
        <v>kg mol^-1</v>
      </c>
      <c r="E258" s="42">
        <f>countif(Constants!F:F,F258)</f>
        <v>1</v>
      </c>
      <c r="F258" s="21" t="str">
        <f>ifna(VLOOKUP($A258,'v2002'!$A:$F,6,false),"")</f>
        <v>ProtonMolarMass</v>
      </c>
      <c r="G258" s="21" t="str">
        <f>IFERROR(__xludf.DUMMYFUNCTION("REGEXREPLACE(substitute(substitute(B258,"" "",""""),""..."",""""),""\(.*\)"","""")"),"1.00727646688e-3")</f>
        <v>1.00727646688e-3</v>
      </c>
      <c r="H258" s="43">
        <f t="shared" si="2"/>
        <v>0.001007276467</v>
      </c>
      <c r="I258" s="21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43">
        <f t="shared" si="3"/>
        <v>0</v>
      </c>
      <c r="K258" s="43" t="b">
        <f t="shared" si="4"/>
        <v>0</v>
      </c>
      <c r="L258" s="21" t="str">
        <f>IFERROR(__xludf.DUMMYFUNCTION("if(regexmatch(B258,""e(.*)$""),regexextract(B258,""e(.*)$""),"""")"),"-3")</f>
        <v>-3</v>
      </c>
    </row>
    <row r="259">
      <c r="A259" s="34" t="s">
        <v>1807</v>
      </c>
      <c r="B259" s="34" t="s">
        <v>4928</v>
      </c>
      <c r="C259" s="34"/>
      <c r="D259" s="13" t="str">
        <f t="shared" si="1"/>
        <v/>
      </c>
      <c r="E259" s="42">
        <f>countif(Constants!F:F,F259)</f>
        <v>1</v>
      </c>
      <c r="F259" s="21" t="str">
        <f>ifna(VLOOKUP($A259,'v2002'!$A:$F,6,false),"")</f>
        <v>ProtonElectronMassRatio</v>
      </c>
      <c r="G259" s="21" t="str">
        <f>IFERROR(__xludf.DUMMYFUNCTION("REGEXREPLACE(substitute(substitute(B259,"" "",""""),""..."",""""),""\(.*\)"","""")"),"1836.1526675")</f>
        <v>1836.1526675</v>
      </c>
      <c r="H259" s="43">
        <f t="shared" si="2"/>
        <v>1836.152668</v>
      </c>
      <c r="I259" s="21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43">
        <f t="shared" si="3"/>
        <v>0.000000039</v>
      </c>
      <c r="K259" s="43" t="b">
        <f t="shared" si="4"/>
        <v>0</v>
      </c>
      <c r="L259" s="21" t="str">
        <f>IFERROR(__xludf.DUMMYFUNCTION("if(regexmatch(B259,""e(.*)$""),regexextract(B259,""e(.*)$""),"""")"),"")</f>
        <v/>
      </c>
    </row>
    <row r="260">
      <c r="A260" s="34" t="s">
        <v>1862</v>
      </c>
      <c r="B260" s="34" t="s">
        <v>4929</v>
      </c>
      <c r="C260" s="34"/>
      <c r="D260" s="13" t="str">
        <f t="shared" si="1"/>
        <v/>
      </c>
      <c r="E260" s="42">
        <f>countif(Constants!F:F,F260)</f>
        <v>1</v>
      </c>
      <c r="F260" s="21" t="str">
        <f>ifna(VLOOKUP($A260,'v2002'!$A:$F,6,false),"")</f>
        <v>ProtonMuonMassRatio</v>
      </c>
      <c r="G260" s="21" t="str">
        <f>IFERROR(__xludf.DUMMYFUNCTION("REGEXREPLACE(substitute(substitute(B260,"" "",""""),""..."",""""),""\(.*\)"","""")"),"8.88024408")</f>
        <v>8.88024408</v>
      </c>
      <c r="H260" s="43">
        <f t="shared" si="2"/>
        <v>8.88024408</v>
      </c>
      <c r="I260" s="21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43">
        <f t="shared" si="3"/>
        <v>0.0000000027</v>
      </c>
      <c r="K260" s="43" t="b">
        <f t="shared" si="4"/>
        <v>0</v>
      </c>
      <c r="L260" s="21" t="str">
        <f>IFERROR(__xludf.DUMMYFUNCTION("if(regexmatch(B260,""e(.*)$""),regexextract(B260,""e(.*)$""),"""")"),"")</f>
        <v/>
      </c>
    </row>
    <row r="261">
      <c r="A261" s="34" t="s">
        <v>4447</v>
      </c>
      <c r="B261" s="34" t="s">
        <v>4703</v>
      </c>
      <c r="C261" s="34"/>
      <c r="D261" s="13" t="str">
        <f t="shared" si="1"/>
        <v/>
      </c>
      <c r="E261" s="42">
        <f>countif(Constants!F:F,F261)</f>
        <v>1</v>
      </c>
      <c r="F261" s="21" t="str">
        <f>ifna(VLOOKUP($A261,'v2002'!$A:$F,6,false),"")</f>
        <v>ProtonNeutronMagneticMomentRatio</v>
      </c>
      <c r="G261" s="21" t="str">
        <f>IFERROR(__xludf.DUMMYFUNCTION("REGEXREPLACE(substitute(substitute(B261,"" "",""""),""..."",""""),""\(.*\)"","""")"),"-1.45989805")</f>
        <v>-1.45989805</v>
      </c>
      <c r="H261" s="43">
        <f t="shared" si="2"/>
        <v>-1.45989805</v>
      </c>
      <c r="I261" s="21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43">
        <f t="shared" si="3"/>
        <v>0.0000000034</v>
      </c>
      <c r="K261" s="43" t="b">
        <f t="shared" si="4"/>
        <v>0</v>
      </c>
      <c r="L261" s="21" t="str">
        <f>IFERROR(__xludf.DUMMYFUNCTION("if(regexmatch(B261,""e(.*)$""),regexextract(B261,""e(.*)$""),"""")"),"")</f>
        <v/>
      </c>
    </row>
    <row r="262">
      <c r="A262" s="34" t="s">
        <v>1872</v>
      </c>
      <c r="B262" s="34" t="s">
        <v>4930</v>
      </c>
      <c r="C262" s="34"/>
      <c r="D262" s="13" t="str">
        <f t="shared" si="1"/>
        <v/>
      </c>
      <c r="E262" s="42">
        <f>countif(Constants!F:F,F262)</f>
        <v>1</v>
      </c>
      <c r="F262" s="21" t="str">
        <f>ifna(VLOOKUP($A262,'v2002'!$A:$F,6,false),"")</f>
        <v>ProtonNeutronMassRatio</v>
      </c>
      <c r="G262" s="21" t="str">
        <f>IFERROR(__xludf.DUMMYFUNCTION("REGEXREPLACE(substitute(substitute(B262,"" "",""""),""..."",""""),""\(.*\)"","""")"),"0.99862347855")</f>
        <v>0.99862347855</v>
      </c>
      <c r="H262" s="43">
        <f t="shared" si="2"/>
        <v>0.9986234786</v>
      </c>
      <c r="I262" s="21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43">
        <f t="shared" si="3"/>
        <v>0</v>
      </c>
      <c r="K262" s="43" t="b">
        <f t="shared" si="4"/>
        <v>0</v>
      </c>
      <c r="L262" s="21" t="str">
        <f>IFERROR(__xludf.DUMMYFUNCTION("if(regexmatch(B262,""e(.*)$""),regexextract(B262,""e(.*)$""),"""")"),"")</f>
        <v/>
      </c>
    </row>
    <row r="263">
      <c r="A263" s="34" t="s">
        <v>1884</v>
      </c>
      <c r="B263" s="34" t="s">
        <v>4931</v>
      </c>
      <c r="C263" s="34"/>
      <c r="D263" s="13" t="str">
        <f t="shared" si="1"/>
        <v/>
      </c>
      <c r="E263" s="42">
        <f>countif(Constants!F:F,F263)</f>
        <v>1</v>
      </c>
      <c r="F263" s="21" t="str">
        <f>ifna(VLOOKUP($A263,'v2002'!$A:$F,6,false),"")</f>
        <v>ProtonTauMassRatio</v>
      </c>
      <c r="G263" s="21" t="str">
        <f>IFERROR(__xludf.DUMMYFUNCTION("REGEXREPLACE(substitute(substitute(B263,"" "",""""),""..."",""""),""\(.*\)"","""")"),"0.527994")</f>
        <v>0.527994</v>
      </c>
      <c r="H263" s="43">
        <f t="shared" si="2"/>
        <v>0.527994</v>
      </c>
      <c r="I263" s="21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43">
        <f t="shared" si="3"/>
        <v>0.00000086</v>
      </c>
      <c r="K263" s="43" t="b">
        <f t="shared" si="4"/>
        <v>0</v>
      </c>
      <c r="L263" s="21" t="str">
        <f>IFERROR(__xludf.DUMMYFUNCTION("if(regexmatch(B263,""e(.*)$""),regexextract(B263,""e(.*)$""),"""")"),"")</f>
        <v/>
      </c>
    </row>
    <row r="264">
      <c r="A264" s="34" t="s">
        <v>1889</v>
      </c>
      <c r="B264" s="34" t="s">
        <v>4932</v>
      </c>
      <c r="C264" s="34" t="s">
        <v>4452</v>
      </c>
      <c r="D264" s="13" t="str">
        <f t="shared" si="1"/>
        <v>m^2 s^-1</v>
      </c>
      <c r="E264" s="42">
        <f>countif(Constants!F:F,F264)</f>
        <v>1</v>
      </c>
      <c r="F264" s="21" t="str">
        <f>ifna(VLOOKUP($A264,'v2002'!$A:$F,6,false),"")</f>
        <v>QuantumOfCirculation</v>
      </c>
      <c r="G264" s="21" t="str">
        <f>IFERROR(__xludf.DUMMYFUNCTION("REGEXREPLACE(substitute(substitute(B264,"" "",""""),""..."",""""),""\(.*\)"","""")"),"3.636947516e-4")</f>
        <v>3.636947516e-4</v>
      </c>
      <c r="H264" s="43">
        <f t="shared" si="2"/>
        <v>0.0003636947516</v>
      </c>
      <c r="I264" s="21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43">
        <f t="shared" si="3"/>
        <v>0</v>
      </c>
      <c r="K264" s="43" t="b">
        <f t="shared" si="4"/>
        <v>0</v>
      </c>
      <c r="L264" s="21" t="str">
        <f>IFERROR(__xludf.DUMMYFUNCTION("if(regexmatch(B264,""e(.*)$""),regexextract(B264,""e(.*)$""),"""")"),"-4")</f>
        <v>-4</v>
      </c>
    </row>
    <row r="265">
      <c r="A265" s="34" t="s">
        <v>1895</v>
      </c>
      <c r="B265" s="34" t="s">
        <v>4933</v>
      </c>
      <c r="C265" s="34" t="s">
        <v>4452</v>
      </c>
      <c r="D265" s="13" t="str">
        <f t="shared" si="1"/>
        <v>m^2 s^-1</v>
      </c>
      <c r="E265" s="42">
        <f>countif(Constants!F:F,F265)</f>
        <v>1</v>
      </c>
      <c r="F265" s="21" t="str">
        <f>ifna(VLOOKUP($A265,'v2002'!$A:$F,6,false),"")</f>
        <v>QuantumOfCirculationTimes2</v>
      </c>
      <c r="G265" s="21" t="str">
        <f>IFERROR(__xludf.DUMMYFUNCTION("REGEXREPLACE(substitute(substitute(B265,"" "",""""),""..."",""""),""\(.*\)"","""")"),"7.273895032e-4")</f>
        <v>7.273895032e-4</v>
      </c>
      <c r="H265" s="43">
        <f t="shared" si="2"/>
        <v>0.0007273895032</v>
      </c>
      <c r="I265" s="21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43">
        <f t="shared" si="3"/>
        <v>0</v>
      </c>
      <c r="K265" s="43" t="b">
        <f t="shared" si="4"/>
        <v>0</v>
      </c>
      <c r="L265" s="21" t="str">
        <f>IFERROR(__xludf.DUMMYFUNCTION("if(regexmatch(B265,""e(.*)$""),regexextract(B265,""e(.*)$""),"""")"),"-4")</f>
        <v>-4</v>
      </c>
    </row>
    <row r="266">
      <c r="A266" s="34" t="s">
        <v>1933</v>
      </c>
      <c r="B266" s="34" t="s">
        <v>4934</v>
      </c>
      <c r="C266" s="34" t="s">
        <v>4174</v>
      </c>
      <c r="D266" s="13" t="str">
        <f t="shared" si="1"/>
        <v>m^-1</v>
      </c>
      <c r="E266" s="42">
        <f>countif(Constants!F:F,F266)</f>
        <v>1</v>
      </c>
      <c r="F266" s="21" t="str">
        <f>ifna(VLOOKUP($A266,'v2002'!$A:$F,6,false),"")</f>
        <v>RydbergConstant</v>
      </c>
      <c r="G266" s="21" t="str">
        <f>IFERROR(__xludf.DUMMYFUNCTION("REGEXREPLACE(substitute(substitute(B266,"" "",""""),""..."",""""),""\(.*\)"","""")"),"10973731.568549")</f>
        <v>10973731.568549</v>
      </c>
      <c r="H266" s="43">
        <f t="shared" si="2"/>
        <v>10973731.57</v>
      </c>
      <c r="I266" s="21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43">
        <f t="shared" si="3"/>
        <v>0.00000083</v>
      </c>
      <c r="K266" s="43" t="b">
        <f t="shared" si="4"/>
        <v>0</v>
      </c>
      <c r="L266" s="21" t="str">
        <f>IFERROR(__xludf.DUMMYFUNCTION("if(regexmatch(B266,""e(.*)$""),regexextract(B266,""e(.*)$""),"""")"),"")</f>
        <v/>
      </c>
    </row>
    <row r="267">
      <c r="A267" s="34" t="s">
        <v>1937</v>
      </c>
      <c r="B267" s="34" t="s">
        <v>4935</v>
      </c>
      <c r="C267" s="34" t="s">
        <v>600</v>
      </c>
      <c r="D267" s="13" t="str">
        <f t="shared" si="1"/>
        <v>Hz</v>
      </c>
      <c r="E267" s="42">
        <f>countif(Constants!F:F,F267)</f>
        <v>1</v>
      </c>
      <c r="F267" s="21" t="str">
        <f>ifna(VLOOKUP($A267,'v2002'!$A:$F,6,false),"")</f>
        <v>RydbergConstantTimesCInHz</v>
      </c>
      <c r="G267" s="21" t="str">
        <f>IFERROR(__xludf.DUMMYFUNCTION("REGEXREPLACE(substitute(substitute(B267,"" "",""""),""..."",""""),""\(.*\)"","""")"),"3.289841960368e15")</f>
        <v>3.289841960368e15</v>
      </c>
      <c r="H267" s="43">
        <f t="shared" si="2"/>
        <v>3.28984E+15</v>
      </c>
      <c r="I267" s="21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43">
        <f t="shared" si="3"/>
        <v>250</v>
      </c>
      <c r="K267" s="43" t="b">
        <f t="shared" si="4"/>
        <v>0</v>
      </c>
      <c r="L267" s="21" t="str">
        <f>IFERROR(__xludf.DUMMYFUNCTION("if(regexmatch(B267,""e(.*)$""),regexextract(B267,""e(.*)$""),"""")"),"15")</f>
        <v>15</v>
      </c>
    </row>
    <row r="268">
      <c r="A268" s="34" t="s">
        <v>1945</v>
      </c>
      <c r="B268" s="34" t="s">
        <v>4936</v>
      </c>
      <c r="C268" s="34" t="s">
        <v>543</v>
      </c>
      <c r="D268" s="13" t="str">
        <f t="shared" si="1"/>
        <v>J</v>
      </c>
      <c r="E268" s="42">
        <f>countif(Constants!F:F,F268)</f>
        <v>1</v>
      </c>
      <c r="F268" s="21" t="str">
        <f>ifna(VLOOKUP($A268,'v2002'!$A:$F,6,false),"")</f>
        <v>RydbergConstantTimesHcInJ</v>
      </c>
      <c r="G268" s="21" t="str">
        <f>IFERROR(__xludf.DUMMYFUNCTION("REGEXREPLACE(substitute(substitute(B268,"" "",""""),""..."",""""),""\(.*\)"","""")"),"2.17987190e-18")</f>
        <v>2.17987190e-18</v>
      </c>
      <c r="H268" s="43">
        <f t="shared" si="2"/>
        <v>0</v>
      </c>
      <c r="I268" s="21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43">
        <f t="shared" si="3"/>
        <v>0</v>
      </c>
      <c r="K268" s="43" t="b">
        <f t="shared" si="4"/>
        <v>0</v>
      </c>
      <c r="L268" s="21" t="str">
        <f>IFERROR(__xludf.DUMMYFUNCTION("if(regexmatch(B268,""e(.*)$""),regexextract(B268,""e(.*)$""),"""")"),"-18")</f>
        <v>-18</v>
      </c>
    </row>
    <row r="269">
      <c r="A269" s="34" t="s">
        <v>1941</v>
      </c>
      <c r="B269" s="34" t="s">
        <v>4937</v>
      </c>
      <c r="C269" s="34" t="s">
        <v>175</v>
      </c>
      <c r="D269" s="13" t="str">
        <f t="shared" si="1"/>
        <v>eV</v>
      </c>
      <c r="E269" s="42">
        <f>countif(Constants!F:F,F269)</f>
        <v>1</v>
      </c>
      <c r="F269" s="21" t="str">
        <f>ifna(VLOOKUP($A269,'v2002'!$A:$F,6,false),"")</f>
        <v>RydbergConstantTimesHcInEV</v>
      </c>
      <c r="G269" s="21" t="str">
        <f>IFERROR(__xludf.DUMMYFUNCTION("REGEXREPLACE(substitute(substitute(B269,"" "",""""),""..."",""""),""\(.*\)"","""")"),"13.60569172")</f>
        <v>13.60569172</v>
      </c>
      <c r="H269" s="43">
        <f t="shared" si="2"/>
        <v>13.60569172</v>
      </c>
      <c r="I269" s="21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43">
        <f t="shared" si="3"/>
        <v>0.0000000053</v>
      </c>
      <c r="K269" s="43" t="b">
        <f t="shared" si="4"/>
        <v>0</v>
      </c>
      <c r="L269" s="21" t="str">
        <f>IFERROR(__xludf.DUMMYFUNCTION("if(regexmatch(B269,""e(.*)$""),regexextract(B269,""e(.*)$""),"""")"),"")</f>
        <v/>
      </c>
    </row>
    <row r="270">
      <c r="A270" s="34" t="s">
        <v>4458</v>
      </c>
      <c r="B270" s="34" t="s">
        <v>4938</v>
      </c>
      <c r="C270" s="34"/>
      <c r="D270" s="13" t="str">
        <f t="shared" si="1"/>
        <v/>
      </c>
      <c r="E270" s="42">
        <f>countif(Constants!F:F,F270)</f>
        <v>1</v>
      </c>
      <c r="F270" s="21" t="str">
        <f>ifna(VLOOKUP($A270,'v2002'!$A:$F,6,false),"")</f>
        <v>SackurTetrodeConstant</v>
      </c>
      <c r="G270" s="21" t="str">
        <f>IFERROR(__xludf.DUMMYFUNCTION("REGEXREPLACE(substitute(substitute(B270,"" "",""""),""..."",""""),""\(.*\)"","""")"),"-1.1517048")</f>
        <v>-1.1517048</v>
      </c>
      <c r="H270" s="43">
        <f t="shared" si="2"/>
        <v>-1.1517048</v>
      </c>
      <c r="I270" s="21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43">
        <f t="shared" si="3"/>
        <v>0.000000044</v>
      </c>
      <c r="K270" s="43" t="b">
        <f t="shared" si="4"/>
        <v>0</v>
      </c>
      <c r="L270" s="21" t="str">
        <f>IFERROR(__xludf.DUMMYFUNCTION("if(regexmatch(B270,""e(.*)$""),regexextract(B270,""e(.*)$""),"""")"),"")</f>
        <v/>
      </c>
    </row>
    <row r="271">
      <c r="A271" s="34" t="s">
        <v>4460</v>
      </c>
      <c r="B271" s="34" t="s">
        <v>4939</v>
      </c>
      <c r="C271" s="34"/>
      <c r="D271" s="13" t="str">
        <f t="shared" si="1"/>
        <v/>
      </c>
      <c r="E271" s="42">
        <f>countif(Constants!F:F,F271)</f>
        <v>1</v>
      </c>
      <c r="F271" s="21" t="str">
        <f>ifna(VLOOKUP($A271,'v2002'!$A:$F,6,false),"")</f>
        <v>SackurTetrodeConstant1K101KPa</v>
      </c>
      <c r="G271" s="21" t="str">
        <f>IFERROR(__xludf.DUMMYFUNCTION("REGEXREPLACE(substitute(substitute(B271,"" "",""""),""..."",""""),""\(.*\)"","""")"),"-1.1648678")</f>
        <v>-1.1648678</v>
      </c>
      <c r="H271" s="43">
        <f t="shared" si="2"/>
        <v>-1.1648678</v>
      </c>
      <c r="I271" s="21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43">
        <f t="shared" si="3"/>
        <v>0.000000044</v>
      </c>
      <c r="K271" s="43" t="b">
        <f t="shared" si="4"/>
        <v>0</v>
      </c>
      <c r="L271" s="21" t="str">
        <f>IFERROR(__xludf.DUMMYFUNCTION("if(regexmatch(B271,""e(.*)$""),regexextract(B271,""e(.*)$""),"""")"),"")</f>
        <v/>
      </c>
    </row>
    <row r="272">
      <c r="A272" s="34" t="s">
        <v>1954</v>
      </c>
      <c r="B272" s="34" t="s">
        <v>4329</v>
      </c>
      <c r="C272" s="34" t="s">
        <v>1955</v>
      </c>
      <c r="D272" s="13" t="str">
        <f t="shared" si="1"/>
        <v>m K</v>
      </c>
      <c r="E272" s="42">
        <f>countif(Constants!F:F,F272)</f>
        <v>1</v>
      </c>
      <c r="F272" s="21" t="str">
        <f>ifna(VLOOKUP($A272,'v2002'!$A:$F,6,false),"")</f>
        <v>SecondRadiationConstant</v>
      </c>
      <c r="G272" s="21" t="str">
        <f>IFERROR(__xludf.DUMMYFUNCTION("REGEXREPLACE(substitute(substitute(B272,"" "",""""),""..."",""""),""\(.*\)"","""")"),"1.4387752e-2")</f>
        <v>1.4387752e-2</v>
      </c>
      <c r="H272" s="43">
        <f t="shared" si="2"/>
        <v>0.014387752</v>
      </c>
      <c r="I272" s="21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43">
        <f t="shared" si="3"/>
        <v>0.00000000025</v>
      </c>
      <c r="K272" s="43" t="b">
        <f t="shared" si="4"/>
        <v>0</v>
      </c>
      <c r="L272" s="21" t="str">
        <f>IFERROR(__xludf.DUMMYFUNCTION("if(regexmatch(B272,""e(.*)$""),regexextract(B272,""e(.*)$""),"""")"),"-2")</f>
        <v>-2</v>
      </c>
    </row>
    <row r="273">
      <c r="A273" s="34" t="s">
        <v>1961</v>
      </c>
      <c r="B273" s="34" t="s">
        <v>4940</v>
      </c>
      <c r="C273" s="34" t="s">
        <v>4258</v>
      </c>
      <c r="D273" s="13" t="str">
        <f t="shared" si="1"/>
        <v>s^-1 T^-1</v>
      </c>
      <c r="E273" s="42">
        <f>countif(Constants!F:F,F273)</f>
        <v>1</v>
      </c>
      <c r="F273" s="21" t="str">
        <f>ifna(VLOOKUP($A273,'v2002'!$A:$F,6,false),"")</f>
        <v>ShieldedHelionGyromagneticRatio</v>
      </c>
      <c r="G273" s="21" t="str">
        <f>IFERROR(__xludf.DUMMYFUNCTION("REGEXREPLACE(substitute(substitute(B273,"" "",""""),""..."",""""),""\(.*\)"","""")"),"2.037894764e8")</f>
        <v>2.037894764e8</v>
      </c>
      <c r="H273" s="43">
        <f t="shared" si="2"/>
        <v>203789476.4</v>
      </c>
      <c r="I273" s="21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43">
        <f t="shared" si="3"/>
        <v>0.085</v>
      </c>
      <c r="K273" s="43" t="b">
        <f t="shared" si="4"/>
        <v>0</v>
      </c>
      <c r="L273" s="21" t="str">
        <f>IFERROR(__xludf.DUMMYFUNCTION("if(regexmatch(B273,""e(.*)$""),regexextract(B273,""e(.*)$""),"""")"),"8")</f>
        <v>8</v>
      </c>
    </row>
    <row r="274">
      <c r="A274" s="34" t="s">
        <v>1964</v>
      </c>
      <c r="B274" s="34" t="s">
        <v>4941</v>
      </c>
      <c r="C274" s="34" t="s">
        <v>4260</v>
      </c>
      <c r="D274" s="13" t="str">
        <f t="shared" si="1"/>
        <v>MHz T^-1</v>
      </c>
      <c r="E274" s="42">
        <f>countif(Constants!F:F,F274)</f>
        <v>1</v>
      </c>
      <c r="F274" s="21" t="str">
        <f>ifna(VLOOKUP($A274,'v2002'!$A:$F,6,false),"")</f>
        <v>ShieldedHelionGyromagneticRatioOver2Pi</v>
      </c>
      <c r="G274" s="21" t="str">
        <f>IFERROR(__xludf.DUMMYFUNCTION("REGEXREPLACE(substitute(substitute(B274,"" "",""""),""..."",""""),""\(.*\)"","""")"),"32.4341025")</f>
        <v>32.4341025</v>
      </c>
      <c r="H274" s="43">
        <f t="shared" si="2"/>
        <v>32.4341025</v>
      </c>
      <c r="I274" s="21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43">
        <f t="shared" si="3"/>
        <v>0.000000014</v>
      </c>
      <c r="K274" s="43" t="b">
        <f t="shared" si="4"/>
        <v>0</v>
      </c>
      <c r="L274" s="21" t="str">
        <f>IFERROR(__xludf.DUMMYFUNCTION("if(regexmatch(B274,""e(.*)$""),regexextract(B274,""e(.*)$""),"""")"),"")</f>
        <v/>
      </c>
    </row>
    <row r="275">
      <c r="A275" s="34" t="s">
        <v>1970</v>
      </c>
      <c r="B275" s="34" t="s">
        <v>4942</v>
      </c>
      <c r="C275" s="34" t="s">
        <v>4197</v>
      </c>
      <c r="D275" s="13" t="str">
        <f t="shared" si="1"/>
        <v>J T^-1</v>
      </c>
      <c r="E275" s="42">
        <f>countif(Constants!F:F,F275)</f>
        <v>1</v>
      </c>
      <c r="F275" s="21" t="str">
        <f>ifna(VLOOKUP($A275,'v2002'!$A:$F,6,false),"")</f>
        <v>ShieldedHelionMagneticMoment</v>
      </c>
      <c r="G275" s="21" t="str">
        <f>IFERROR(__xludf.DUMMYFUNCTION("REGEXREPLACE(substitute(substitute(B275,"" "",""""),""..."",""""),""\(.*\)"","""")"),"-1.074552967e-26")</f>
        <v>-1.074552967e-26</v>
      </c>
      <c r="H275" s="43">
        <f t="shared" si="2"/>
        <v>0</v>
      </c>
      <c r="I275" s="21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43">
        <f t="shared" si="3"/>
        <v>0</v>
      </c>
      <c r="K275" s="43" t="b">
        <f t="shared" si="4"/>
        <v>0</v>
      </c>
      <c r="L275" s="21" t="str">
        <f>IFERROR(__xludf.DUMMYFUNCTION("if(regexmatch(B275,""e(.*)$""),regexextract(B275,""e(.*)$""),"""")"),"-26")</f>
        <v>-26</v>
      </c>
    </row>
    <row r="276">
      <c r="A276" s="34" t="s">
        <v>1975</v>
      </c>
      <c r="B276" s="34" t="s">
        <v>4714</v>
      </c>
      <c r="C276" s="34"/>
      <c r="D276" s="13" t="str">
        <f t="shared" si="1"/>
        <v/>
      </c>
      <c r="E276" s="42">
        <f>countif(Constants!F:F,F276)</f>
        <v>1</v>
      </c>
      <c r="F276" s="21" t="str">
        <f>ifna(VLOOKUP($A276,'v2002'!$A:$F,6,false),"")</f>
        <v>ShieldedHelionMagneticMomentToBohrMagnetonRatio</v>
      </c>
      <c r="G276" s="21" t="str">
        <f>IFERROR(__xludf.DUMMYFUNCTION("REGEXREPLACE(substitute(substitute(B276,"" "",""""),""..."",""""),""\(.*\)"","""")"),"-1.158671474e-3")</f>
        <v>-1.158671474e-3</v>
      </c>
      <c r="H276" s="43">
        <f t="shared" si="2"/>
        <v>-0.001158671474</v>
      </c>
      <c r="I276" s="21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43">
        <f t="shared" si="3"/>
        <v>0</v>
      </c>
      <c r="K276" s="43" t="b">
        <f t="shared" si="4"/>
        <v>0</v>
      </c>
      <c r="L276" s="21" t="str">
        <f>IFERROR(__xludf.DUMMYFUNCTION("if(regexmatch(B276,""e(.*)$""),regexextract(B276,""e(.*)$""),"""")"),"-3")</f>
        <v>-3</v>
      </c>
    </row>
    <row r="277">
      <c r="A277" s="34" t="s">
        <v>1980</v>
      </c>
      <c r="B277" s="34" t="s">
        <v>4466</v>
      </c>
      <c r="C277" s="34"/>
      <c r="D277" s="13" t="str">
        <f t="shared" si="1"/>
        <v/>
      </c>
      <c r="E277" s="42">
        <f>countif(Constants!F:F,F277)</f>
        <v>1</v>
      </c>
      <c r="F277" s="21" t="str">
        <f>ifna(VLOOKUP($A277,'v2002'!$A:$F,6,false),"")</f>
        <v>ShieldedHelionMagneticMomentToNuclearMagnetonRatio</v>
      </c>
      <c r="G277" s="21" t="str">
        <f>IFERROR(__xludf.DUMMYFUNCTION("REGEXREPLACE(substitute(substitute(B277,"" "",""""),""..."",""""),""\(.*\)"","""")"),"-2.127497718")</f>
        <v>-2.127497718</v>
      </c>
      <c r="H277" s="43">
        <f t="shared" si="2"/>
        <v>-2.127497718</v>
      </c>
      <c r="I277" s="21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43">
        <f t="shared" si="3"/>
        <v>0.00000000025</v>
      </c>
      <c r="K277" s="43" t="b">
        <f t="shared" si="4"/>
        <v>0</v>
      </c>
      <c r="L277" s="21" t="str">
        <f>IFERROR(__xludf.DUMMYFUNCTION("if(regexmatch(B277,""e(.*)$""),regexextract(B277,""e(.*)$""),"""")"),"")</f>
        <v/>
      </c>
    </row>
    <row r="278">
      <c r="A278" s="34" t="s">
        <v>1985</v>
      </c>
      <c r="B278" s="34" t="s">
        <v>4943</v>
      </c>
      <c r="C278" s="34"/>
      <c r="D278" s="13" t="str">
        <f t="shared" si="1"/>
        <v/>
      </c>
      <c r="E278" s="42">
        <f>countif(Constants!F:F,F278)</f>
        <v>1</v>
      </c>
      <c r="F278" s="21" t="str">
        <f>ifna(VLOOKUP($A278,'v2002'!$A:$F,6,false),"")</f>
        <v>ShieldedHelionToProtonMagneticMomentRatio</v>
      </c>
      <c r="G278" s="21" t="str">
        <f>IFERROR(__xludf.DUMMYFUNCTION("REGEXREPLACE(substitute(substitute(B278,"" "",""""),""..."",""""),""\(.*\)"","""")"),"-0.761766563")</f>
        <v>-0.761766563</v>
      </c>
      <c r="H278" s="43">
        <f t="shared" si="2"/>
        <v>-0.761766563</v>
      </c>
      <c r="I278" s="21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43">
        <f t="shared" si="3"/>
        <v>0.00000000012</v>
      </c>
      <c r="K278" s="43" t="b">
        <f t="shared" si="4"/>
        <v>0</v>
      </c>
      <c r="L278" s="21" t="str">
        <f>IFERROR(__xludf.DUMMYFUNCTION("if(regexmatch(B278,""e(.*)$""),regexextract(B278,""e(.*)$""),"""")"),"")</f>
        <v/>
      </c>
    </row>
    <row r="279">
      <c r="A279" s="34" t="s">
        <v>1990</v>
      </c>
      <c r="B279" s="34" t="s">
        <v>4468</v>
      </c>
      <c r="C279" s="34"/>
      <c r="D279" s="13" t="str">
        <f t="shared" si="1"/>
        <v/>
      </c>
      <c r="E279" s="42">
        <f>countif(Constants!F:F,F279)</f>
        <v>1</v>
      </c>
      <c r="F279" s="21" t="str">
        <f>ifna(VLOOKUP($A279,'v2002'!$A:$F,6,false),"")</f>
        <v>ShieldedHelionToShieldedProtonMagneticMomentRatio</v>
      </c>
      <c r="G279" s="21" t="str">
        <f>IFERROR(__xludf.DUMMYFUNCTION("REGEXREPLACE(substitute(substitute(B279,"" "",""""),""..."",""""),""\(.*\)"","""")"),"-0.7617861313")</f>
        <v>-0.7617861313</v>
      </c>
      <c r="H279" s="43">
        <f t="shared" si="2"/>
        <v>-0.7617861313</v>
      </c>
      <c r="I279" s="21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43">
        <f t="shared" si="3"/>
        <v>0</v>
      </c>
      <c r="K279" s="43" t="b">
        <f t="shared" si="4"/>
        <v>0</v>
      </c>
      <c r="L279" s="21" t="str">
        <f>IFERROR(__xludf.DUMMYFUNCTION("if(regexmatch(B279,""e(.*)$""),regexextract(B279,""e(.*)$""),"""")"),"")</f>
        <v/>
      </c>
    </row>
    <row r="280">
      <c r="A280" s="34" t="s">
        <v>1995</v>
      </c>
      <c r="B280" s="34" t="s">
        <v>4944</v>
      </c>
      <c r="C280" s="34" t="s">
        <v>4258</v>
      </c>
      <c r="D280" s="13" t="str">
        <f t="shared" si="1"/>
        <v>s^-1 T^-1</v>
      </c>
      <c r="E280" s="42">
        <f>countif(Constants!F:F,F280)</f>
        <v>1</v>
      </c>
      <c r="F280" s="21" t="str">
        <f>ifna(VLOOKUP($A280,'v2002'!$A:$F,6,false),"")</f>
        <v>ShieldedProtonGyromagneticRatio</v>
      </c>
      <c r="G280" s="21" t="str">
        <f>IFERROR(__xludf.DUMMYFUNCTION("REGEXREPLACE(substitute(substitute(B280,"" "",""""),""..."",""""),""\(.*\)"","""")"),"2.67515341e8")</f>
        <v>2.67515341e8</v>
      </c>
      <c r="H280" s="43">
        <f t="shared" si="2"/>
        <v>267515341</v>
      </c>
      <c r="I280" s="21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43">
        <f t="shared" si="3"/>
        <v>0.11</v>
      </c>
      <c r="K280" s="43" t="b">
        <f t="shared" si="4"/>
        <v>0</v>
      </c>
      <c r="L280" s="21" t="str">
        <f>IFERROR(__xludf.DUMMYFUNCTION("if(regexmatch(B280,""e(.*)$""),regexextract(B280,""e(.*)$""),"""")"),"8")</f>
        <v>8</v>
      </c>
    </row>
    <row r="281">
      <c r="A281" s="34" t="s">
        <v>4470</v>
      </c>
      <c r="B281" s="34" t="s">
        <v>4945</v>
      </c>
      <c r="C281" s="34" t="s">
        <v>4260</v>
      </c>
      <c r="D281" s="13" t="str">
        <f t="shared" si="1"/>
        <v>MHz T^-1</v>
      </c>
      <c r="E281" s="42">
        <f>countif(Constants!F:F,F281)</f>
        <v>1</v>
      </c>
      <c r="F281" s="21" t="str">
        <f>ifna(VLOOKUP($A281,'v2002'!$A:$F,6,false),"")</f>
        <v>ShieldedProtonGyromagneticRatioOver2Pi</v>
      </c>
      <c r="G281" s="21" t="str">
        <f>IFERROR(__xludf.DUMMYFUNCTION("REGEXREPLACE(substitute(substitute(B281,"" "",""""),""..."",""""),""\(.*\)"","""")"),"42.5763888")</f>
        <v>42.5763888</v>
      </c>
      <c r="H281" s="43">
        <f t="shared" si="2"/>
        <v>42.5763888</v>
      </c>
      <c r="I281" s="21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43">
        <f t="shared" si="3"/>
        <v>0.000000018</v>
      </c>
      <c r="K281" s="43" t="b">
        <f t="shared" si="4"/>
        <v>0</v>
      </c>
      <c r="L281" s="21" t="str">
        <f>IFERROR(__xludf.DUMMYFUNCTION("if(regexmatch(B281,""e(.*)$""),regexextract(B281,""e(.*)$""),"""")"),"")</f>
        <v/>
      </c>
    </row>
    <row r="282">
      <c r="A282" s="34" t="s">
        <v>2004</v>
      </c>
      <c r="B282" s="34" t="s">
        <v>4946</v>
      </c>
      <c r="C282" s="34" t="s">
        <v>4197</v>
      </c>
      <c r="D282" s="13" t="str">
        <f t="shared" si="1"/>
        <v>J T^-1</v>
      </c>
      <c r="E282" s="42">
        <f>countif(Constants!F:F,F282)</f>
        <v>1</v>
      </c>
      <c r="F282" s="21" t="str">
        <f>ifna(VLOOKUP($A282,'v2002'!$A:$F,6,false),"")</f>
        <v>ShieldedProtonMagneticMoment</v>
      </c>
      <c r="G282" s="21" t="str">
        <f>IFERROR(__xludf.DUMMYFUNCTION("REGEXREPLACE(substitute(substitute(B282,"" "",""""),""..."",""""),""\(.*\)"","""")"),"1.410570399e-26")</f>
        <v>1.410570399e-26</v>
      </c>
      <c r="H282" s="43">
        <f t="shared" si="2"/>
        <v>0</v>
      </c>
      <c r="I282" s="21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43">
        <f t="shared" si="3"/>
        <v>0</v>
      </c>
      <c r="K282" s="43" t="b">
        <f t="shared" si="4"/>
        <v>0</v>
      </c>
      <c r="L282" s="21" t="str">
        <f>IFERROR(__xludf.DUMMYFUNCTION("if(regexmatch(B282,""e(.*)$""),regexextract(B282,""e(.*)$""),"""")"),"-26")</f>
        <v>-26</v>
      </c>
    </row>
    <row r="283">
      <c r="A283" s="34" t="s">
        <v>2009</v>
      </c>
      <c r="B283" s="34" t="s">
        <v>4720</v>
      </c>
      <c r="C283" s="34"/>
      <c r="D283" s="13" t="str">
        <f t="shared" si="1"/>
        <v/>
      </c>
      <c r="E283" s="42">
        <f>countif(Constants!F:F,F283)</f>
        <v>1</v>
      </c>
      <c r="F283" s="21" t="str">
        <f>ifna(VLOOKUP($A283,'v2002'!$A:$F,6,false),"")</f>
        <v>ShieldedProtonMagneticMomentToBohrMagnetonRatio</v>
      </c>
      <c r="G283" s="21" t="str">
        <f>IFERROR(__xludf.DUMMYFUNCTION("REGEXREPLACE(substitute(substitute(B283,"" "",""""),""..."",""""),""\(.*\)"","""")"),"1.520993132e-3")</f>
        <v>1.520993132e-3</v>
      </c>
      <c r="H283" s="43">
        <f t="shared" si="2"/>
        <v>0.001520993132</v>
      </c>
      <c r="I283" s="21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43">
        <f t="shared" si="3"/>
        <v>0</v>
      </c>
      <c r="K283" s="43" t="b">
        <f t="shared" si="4"/>
        <v>0</v>
      </c>
      <c r="L283" s="21" t="str">
        <f>IFERROR(__xludf.DUMMYFUNCTION("if(regexmatch(B283,""e(.*)$""),regexextract(B283,""e(.*)$""),"""")"),"-3")</f>
        <v>-3</v>
      </c>
    </row>
    <row r="284">
      <c r="A284" s="34" t="s">
        <v>2014</v>
      </c>
      <c r="B284" s="34" t="s">
        <v>4947</v>
      </c>
      <c r="C284" s="34"/>
      <c r="D284" s="13" t="str">
        <f t="shared" si="1"/>
        <v/>
      </c>
      <c r="E284" s="42">
        <f>countif(Constants!F:F,F284)</f>
        <v>1</v>
      </c>
      <c r="F284" s="21" t="str">
        <f>ifna(VLOOKUP($A284,'v2002'!$A:$F,6,false),"")</f>
        <v>ShieldedProtonMagneticMomentToNuclearMagnetonRatio</v>
      </c>
      <c r="G284" s="21" t="str">
        <f>IFERROR(__xludf.DUMMYFUNCTION("REGEXREPLACE(substitute(substitute(B284,"" "",""""),""..."",""""),""\(.*\)"","""")"),"2.792775597")</f>
        <v>2.792775597</v>
      </c>
      <c r="H284" s="43">
        <f t="shared" si="2"/>
        <v>2.792775597</v>
      </c>
      <c r="I284" s="21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43">
        <f t="shared" si="3"/>
        <v>0.00000000031</v>
      </c>
      <c r="K284" s="43" t="b">
        <f t="shared" si="4"/>
        <v>0</v>
      </c>
      <c r="L284" s="21" t="str">
        <f>IFERROR(__xludf.DUMMYFUNCTION("if(regexmatch(B284,""e(.*)$""),regexextract(B284,""e(.*)$""),"""")"),"")</f>
        <v/>
      </c>
    </row>
    <row r="285">
      <c r="A285" s="34" t="s">
        <v>2021</v>
      </c>
      <c r="B285" s="34" t="s">
        <v>2474</v>
      </c>
      <c r="C285" s="34" t="s">
        <v>4209</v>
      </c>
      <c r="D285" s="13" t="str">
        <f t="shared" si="1"/>
        <v>m s^-1</v>
      </c>
      <c r="E285" s="42">
        <f>countif(Constants!F:F,F285)</f>
        <v>1</v>
      </c>
      <c r="F285" s="21" t="str">
        <f>ifna(VLOOKUP($A285,'v2002'!$A:$F,6,false),"")</f>
        <v>SpeedOfLight_Vacuum</v>
      </c>
      <c r="G285" s="21" t="str">
        <f>IFERROR(__xludf.DUMMYFUNCTION("REGEXREPLACE(substitute(substitute(B285,"" "",""""),""..."",""""),""\(.*\)"","""")"),"299792458")</f>
        <v>299792458</v>
      </c>
      <c r="H285" s="43">
        <f t="shared" si="2"/>
        <v>299792458</v>
      </c>
      <c r="I285" s="21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43" t="str">
        <f t="shared" si="3"/>
        <v/>
      </c>
      <c r="K285" s="43" t="b">
        <f t="shared" si="4"/>
        <v>0</v>
      </c>
      <c r="L285" s="21" t="str">
        <f>IFERROR(__xludf.DUMMYFUNCTION("if(regexmatch(B285,""e(.*)$""),regexextract(B285,""e(.*)$""),"""")"),"")</f>
        <v/>
      </c>
    </row>
    <row r="286">
      <c r="A286" s="34" t="s">
        <v>2026</v>
      </c>
      <c r="B286" s="34" t="s">
        <v>2706</v>
      </c>
      <c r="C286" s="34" t="s">
        <v>4475</v>
      </c>
      <c r="D286" s="13" t="str">
        <f t="shared" si="1"/>
        <v>m s^-2</v>
      </c>
      <c r="E286" s="42">
        <f>countif(Constants!F:F,F286)</f>
        <v>1</v>
      </c>
      <c r="F286" s="21" t="str">
        <f>ifna(VLOOKUP($A286,'v2002'!$A:$F,6,false),"")</f>
        <v>StandardAccelerationOfGravity</v>
      </c>
      <c r="G286" s="21" t="str">
        <f>IFERROR(__xludf.DUMMYFUNCTION("REGEXREPLACE(substitute(substitute(B286,"" "",""""),""..."",""""),""\(.*\)"","""")"),"9.80665")</f>
        <v>9.80665</v>
      </c>
      <c r="H286" s="43">
        <f t="shared" si="2"/>
        <v>9.80665</v>
      </c>
      <c r="I286" s="21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43" t="str">
        <f t="shared" si="3"/>
        <v/>
      </c>
      <c r="K286" s="43" t="b">
        <f t="shared" si="4"/>
        <v>0</v>
      </c>
      <c r="L286" s="21" t="str">
        <f>IFERROR(__xludf.DUMMYFUNCTION("if(regexmatch(B286,""e(.*)$""),regexextract(B286,""e(.*)$""),"""")"),"")</f>
        <v/>
      </c>
    </row>
    <row r="287">
      <c r="A287" s="34" t="s">
        <v>2033</v>
      </c>
      <c r="B287" s="34" t="s">
        <v>2707</v>
      </c>
      <c r="C287" s="34" t="s">
        <v>2034</v>
      </c>
      <c r="D287" s="13" t="str">
        <f t="shared" si="1"/>
        <v>Pa</v>
      </c>
      <c r="E287" s="42">
        <f>countif(Constants!F:F,F287)</f>
        <v>1</v>
      </c>
      <c r="F287" s="21" t="str">
        <f>ifna(VLOOKUP($A287,'v2002'!$A:$F,6,false),"")</f>
        <v>StandardAtmosphere</v>
      </c>
      <c r="G287" s="21" t="str">
        <f>IFERROR(__xludf.DUMMYFUNCTION("REGEXREPLACE(substitute(substitute(B287,"" "",""""),""..."",""""),""\(.*\)"","""")"),"101325")</f>
        <v>101325</v>
      </c>
      <c r="H287" s="43">
        <f t="shared" si="2"/>
        <v>101325</v>
      </c>
      <c r="I287" s="21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43" t="str">
        <f t="shared" si="3"/>
        <v/>
      </c>
      <c r="K287" s="43" t="b">
        <f t="shared" si="4"/>
        <v>0</v>
      </c>
      <c r="L287" s="21" t="str">
        <f>IFERROR(__xludf.DUMMYFUNCTION("if(regexmatch(B287,""e(.*)$""),regexextract(B287,""e(.*)$""),"""")"),"")</f>
        <v/>
      </c>
    </row>
    <row r="288">
      <c r="A288" s="34" t="s">
        <v>2041</v>
      </c>
      <c r="B288" s="34" t="s">
        <v>4476</v>
      </c>
      <c r="C288" s="34" t="s">
        <v>4477</v>
      </c>
      <c r="D288" s="13" t="str">
        <f t="shared" si="1"/>
        <v>W m^-2 K^-4</v>
      </c>
      <c r="E288" s="42">
        <f>countif(Constants!F:F,F288)</f>
        <v>1</v>
      </c>
      <c r="F288" s="21" t="str">
        <f>ifna(VLOOKUP($A288,'v2002'!$A:$F,6,false),"")</f>
        <v>StefanBoltzmannConstant</v>
      </c>
      <c r="G288" s="21" t="str">
        <f>IFERROR(__xludf.DUMMYFUNCTION("REGEXREPLACE(substitute(substitute(B288,"" "",""""),""..."",""""),""\(.*\)"","""")"),"5.670400e-8")</f>
        <v>5.670400e-8</v>
      </c>
      <c r="H288" s="43">
        <f t="shared" si="2"/>
        <v>0.000000056704</v>
      </c>
      <c r="I288" s="21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43">
        <f t="shared" si="3"/>
        <v>0</v>
      </c>
      <c r="K288" s="43" t="b">
        <f t="shared" si="4"/>
        <v>0</v>
      </c>
      <c r="L288" s="21" t="str">
        <f>IFERROR(__xludf.DUMMYFUNCTION("if(regexmatch(B288,""e(.*)$""),regexextract(B288,""e(.*)$""),"""")"),"-8")</f>
        <v>-8</v>
      </c>
    </row>
    <row r="289">
      <c r="A289" s="34" t="s">
        <v>2047</v>
      </c>
      <c r="B289" s="34" t="s">
        <v>4948</v>
      </c>
      <c r="C289" s="34" t="s">
        <v>571</v>
      </c>
      <c r="D289" s="13" t="str">
        <f t="shared" si="1"/>
        <v>m</v>
      </c>
      <c r="E289" s="42">
        <f>countif(Constants!F:F,F289)</f>
        <v>1</v>
      </c>
      <c r="F289" s="21" t="str">
        <f>ifna(VLOOKUP($A289,'v2002'!$A:$F,6,false),"")</f>
        <v>TauComptonWavelength</v>
      </c>
      <c r="G289" s="21" t="str">
        <f>IFERROR(__xludf.DUMMYFUNCTION("REGEXREPLACE(substitute(substitute(B289,"" "",""""),""..."",""""),""\(.*\)"","""")"),"0.69770e-15")</f>
        <v>0.69770e-15</v>
      </c>
      <c r="H289" s="43">
        <f t="shared" si="2"/>
        <v>0</v>
      </c>
      <c r="I289" s="21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43">
        <f t="shared" si="3"/>
        <v>0</v>
      </c>
      <c r="K289" s="43" t="b">
        <f t="shared" si="4"/>
        <v>0</v>
      </c>
      <c r="L289" s="21" t="str">
        <f>IFERROR(__xludf.DUMMYFUNCTION("if(regexmatch(B289,""e(.*)$""),regexextract(B289,""e(.*)$""),"""")"),"-15")</f>
        <v>-15</v>
      </c>
    </row>
    <row r="290">
      <c r="A290" s="34" t="s">
        <v>2050</v>
      </c>
      <c r="B290" s="34" t="s">
        <v>4949</v>
      </c>
      <c r="C290" s="34" t="s">
        <v>571</v>
      </c>
      <c r="D290" s="13" t="str">
        <f t="shared" si="1"/>
        <v>m</v>
      </c>
      <c r="E290" s="42">
        <f>countif(Constants!F:F,F290)</f>
        <v>1</v>
      </c>
      <c r="F290" s="21" t="str">
        <f>ifna(VLOOKUP($A290,'v2002'!$A:$F,6,false),"")</f>
        <v>TauComptonWavelengthOver2Pi</v>
      </c>
      <c r="G290" s="21" t="str">
        <f>IFERROR(__xludf.DUMMYFUNCTION("REGEXREPLACE(substitute(substitute(B290,"" "",""""),""..."",""""),""\(.*\)"","""")"),"0.111042e-15")</f>
        <v>0.111042e-15</v>
      </c>
      <c r="H290" s="43">
        <f t="shared" si="2"/>
        <v>0</v>
      </c>
      <c r="I290" s="21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43">
        <f t="shared" si="3"/>
        <v>0</v>
      </c>
      <c r="K290" s="43" t="b">
        <f t="shared" si="4"/>
        <v>0</v>
      </c>
      <c r="L290" s="21" t="str">
        <f>IFERROR(__xludf.DUMMYFUNCTION("if(regexmatch(B290,""e(.*)$""),regexextract(B290,""e(.*)$""),"""")"),"-15")</f>
        <v>-15</v>
      </c>
    </row>
    <row r="291">
      <c r="A291" s="34" t="s">
        <v>2071</v>
      </c>
      <c r="B291" s="34" t="s">
        <v>4950</v>
      </c>
      <c r="C291" s="34" t="s">
        <v>548</v>
      </c>
      <c r="D291" s="13" t="str">
        <f t="shared" si="1"/>
        <v>MeV</v>
      </c>
      <c r="E291" s="42">
        <f>countif(Constants!F:F,F291)</f>
        <v>1</v>
      </c>
      <c r="F291" s="21" t="str">
        <f>ifna(VLOOKUP($A291,'v2002'!$A:$F,6,false),"")</f>
        <v>TauMassEnergyEquivalentInMeV</v>
      </c>
      <c r="G291" s="21" t="str">
        <f>IFERROR(__xludf.DUMMYFUNCTION("REGEXREPLACE(substitute(substitute(B291,"" "",""""),""..."",""""),""\(.*\)"","""")"),"1777.05")</f>
        <v>1777.05</v>
      </c>
      <c r="H291" s="43">
        <f t="shared" si="2"/>
        <v>1777.05</v>
      </c>
      <c r="I291" s="21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43">
        <f t="shared" si="3"/>
        <v>0.0029</v>
      </c>
      <c r="K291" s="43" t="b">
        <f t="shared" si="4"/>
        <v>0</v>
      </c>
      <c r="L291" s="21" t="str">
        <f>IFERROR(__xludf.DUMMYFUNCTION("if(regexmatch(B291,""e(.*)$""),regexextract(B291,""e(.*)$""),"""")"),"")</f>
        <v/>
      </c>
    </row>
    <row r="292">
      <c r="A292" s="34" t="s">
        <v>2062</v>
      </c>
      <c r="B292" s="34" t="s">
        <v>4951</v>
      </c>
      <c r="C292" s="34" t="s">
        <v>538</v>
      </c>
      <c r="D292" s="13" t="str">
        <f t="shared" si="1"/>
        <v>kg</v>
      </c>
      <c r="E292" s="42">
        <f>countif(Constants!F:F,F292)</f>
        <v>1</v>
      </c>
      <c r="F292" s="21" t="str">
        <f>ifna(VLOOKUP($A292,'v2002'!$A:$F,6,false),"")</f>
        <v>TauMass</v>
      </c>
      <c r="G292" s="21" t="str">
        <f>IFERROR(__xludf.DUMMYFUNCTION("REGEXREPLACE(substitute(substitute(B292,"" "",""""),""..."",""""),""\(.*\)"","""")"),"3.16788e-27")</f>
        <v>3.16788e-27</v>
      </c>
      <c r="H292" s="43">
        <f t="shared" si="2"/>
        <v>0</v>
      </c>
      <c r="I292" s="21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43">
        <f t="shared" si="3"/>
        <v>0</v>
      </c>
      <c r="K292" s="43" t="b">
        <f t="shared" si="4"/>
        <v>0</v>
      </c>
      <c r="L292" s="21" t="str">
        <f>IFERROR(__xludf.DUMMYFUNCTION("if(regexmatch(B292,""e(.*)$""),regexextract(B292,""e(.*)$""),"""")"),"-27")</f>
        <v>-27</v>
      </c>
    </row>
    <row r="293">
      <c r="A293" s="34" t="s">
        <v>2066</v>
      </c>
      <c r="B293" s="34" t="s">
        <v>4952</v>
      </c>
      <c r="C293" s="34" t="s">
        <v>543</v>
      </c>
      <c r="D293" s="13" t="str">
        <f t="shared" si="1"/>
        <v>J</v>
      </c>
      <c r="E293" s="42">
        <f>countif(Constants!F:F,F293)</f>
        <v>1</v>
      </c>
      <c r="F293" s="21" t="str">
        <f>ifna(VLOOKUP($A293,'v2002'!$A:$F,6,false),"")</f>
        <v>TauMassEnergyEquivalent</v>
      </c>
      <c r="G293" s="21" t="str">
        <f>IFERROR(__xludf.DUMMYFUNCTION("REGEXREPLACE(substitute(substitute(B293,"" "",""""),""..."",""""),""\(.*\)"","""")"),"2.84715e-10")</f>
        <v>2.84715e-10</v>
      </c>
      <c r="H293" s="43">
        <f t="shared" si="2"/>
        <v>0.000000000284715</v>
      </c>
      <c r="I293" s="21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43">
        <f t="shared" si="3"/>
        <v>0</v>
      </c>
      <c r="K293" s="43" t="b">
        <f t="shared" si="4"/>
        <v>0</v>
      </c>
      <c r="L293" s="21" t="str">
        <f>IFERROR(__xludf.DUMMYFUNCTION("if(regexmatch(B293,""e(.*)$""),regexextract(B293,""e(.*)$""),"""")"),"-10")</f>
        <v>-10</v>
      </c>
    </row>
    <row r="294">
      <c r="A294" s="34" t="s">
        <v>2074</v>
      </c>
      <c r="B294" s="34" t="s">
        <v>4953</v>
      </c>
      <c r="C294" s="34" t="s">
        <v>553</v>
      </c>
      <c r="D294" s="13" t="str">
        <f t="shared" si="1"/>
        <v>u</v>
      </c>
      <c r="E294" s="42">
        <f>countif(Constants!F:F,F294)</f>
        <v>1</v>
      </c>
      <c r="F294" s="21" t="str">
        <f>ifna(VLOOKUP($A294,'v2002'!$A:$F,6,false),"")</f>
        <v>TauMassInAtomicMassUnit</v>
      </c>
      <c r="G294" s="21" t="str">
        <f>IFERROR(__xludf.DUMMYFUNCTION("REGEXREPLACE(substitute(substitute(B294,"" "",""""),""..."",""""),""\(.*\)"","""")"),"1.90774")</f>
        <v>1.90774</v>
      </c>
      <c r="H294" s="43">
        <f t="shared" si="2"/>
        <v>1.90774</v>
      </c>
      <c r="I294" s="21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43">
        <f t="shared" si="3"/>
        <v>0.0000031</v>
      </c>
      <c r="K294" s="43" t="b">
        <f t="shared" si="4"/>
        <v>0</v>
      </c>
      <c r="L294" s="21" t="str">
        <f>IFERROR(__xludf.DUMMYFUNCTION("if(regexmatch(B294,""e(.*)$""),regexextract(B294,""e(.*)$""),"""")"),"")</f>
        <v/>
      </c>
    </row>
    <row r="295">
      <c r="A295" s="34" t="s">
        <v>2077</v>
      </c>
      <c r="B295" s="34" t="s">
        <v>4954</v>
      </c>
      <c r="C295" s="34" t="s">
        <v>4163</v>
      </c>
      <c r="D295" s="13" t="str">
        <f t="shared" si="1"/>
        <v>kg mol^-1</v>
      </c>
      <c r="E295" s="42">
        <f>countif(Constants!F:F,F295)</f>
        <v>1</v>
      </c>
      <c r="F295" s="21" t="str">
        <f>ifna(VLOOKUP($A295,'v2002'!$A:$F,6,false),"")</f>
        <v>TauMolarMass</v>
      </c>
      <c r="G295" s="21" t="str">
        <f>IFERROR(__xludf.DUMMYFUNCTION("REGEXREPLACE(substitute(substitute(B295,"" "",""""),""..."",""""),""\(.*\)"","""")"),"1.90774e-3")</f>
        <v>1.90774e-3</v>
      </c>
      <c r="H295" s="43">
        <f t="shared" si="2"/>
        <v>0.00190774</v>
      </c>
      <c r="I295" s="21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43">
        <f t="shared" si="3"/>
        <v>0.0000000031</v>
      </c>
      <c r="K295" s="43" t="b">
        <f t="shared" si="4"/>
        <v>0</v>
      </c>
      <c r="L295" s="21" t="str">
        <f>IFERROR(__xludf.DUMMYFUNCTION("if(regexmatch(B295,""e(.*)$""),regexextract(B295,""e(.*)$""),"""")"),"-3")</f>
        <v>-3</v>
      </c>
    </row>
    <row r="296">
      <c r="A296" s="34" t="s">
        <v>2057</v>
      </c>
      <c r="B296" s="34" t="s">
        <v>4955</v>
      </c>
      <c r="C296" s="34"/>
      <c r="D296" s="13" t="str">
        <f t="shared" si="1"/>
        <v/>
      </c>
      <c r="E296" s="42">
        <f>countif(Constants!F:F,F296)</f>
        <v>1</v>
      </c>
      <c r="F296" s="21" t="str">
        <f>ifna(VLOOKUP($A296,'v2002'!$A:$F,6,false),"")</f>
        <v>TauElectronMassRatio</v>
      </c>
      <c r="G296" s="21" t="str">
        <f>IFERROR(__xludf.DUMMYFUNCTION("REGEXREPLACE(substitute(substitute(B296,"" "",""""),""..."",""""),""\(.*\)"","""")"),"3477.60")</f>
        <v>3477.60</v>
      </c>
      <c r="H296" s="43">
        <f t="shared" si="2"/>
        <v>3477.6</v>
      </c>
      <c r="I296" s="21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43">
        <f t="shared" si="3"/>
        <v>0.0057</v>
      </c>
      <c r="K296" s="43" t="b">
        <f t="shared" si="4"/>
        <v>0</v>
      </c>
      <c r="L296" s="21" t="str">
        <f>IFERROR(__xludf.DUMMYFUNCTION("if(regexmatch(B296,""e(.*)$""),regexextract(B296,""e(.*)$""),"""")"),"")</f>
        <v/>
      </c>
    </row>
    <row r="297">
      <c r="A297" s="34" t="s">
        <v>2081</v>
      </c>
      <c r="B297" s="34" t="s">
        <v>4956</v>
      </c>
      <c r="C297" s="34"/>
      <c r="D297" s="13" t="str">
        <f t="shared" si="1"/>
        <v/>
      </c>
      <c r="E297" s="42">
        <f>countif(Constants!F:F,F297)</f>
        <v>1</v>
      </c>
      <c r="F297" s="21" t="str">
        <f>ifna(VLOOKUP($A297,'v2002'!$A:$F,6,false),"")</f>
        <v>TauMuonMassRatio</v>
      </c>
      <c r="G297" s="21" t="str">
        <f>IFERROR(__xludf.DUMMYFUNCTION("REGEXREPLACE(substitute(substitute(B297,"" "",""""),""..."",""""),""\(.*\)"","""")"),"16.8188")</f>
        <v>16.8188</v>
      </c>
      <c r="H297" s="43">
        <f t="shared" si="2"/>
        <v>16.8188</v>
      </c>
      <c r="I297" s="21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43">
        <f t="shared" si="3"/>
        <v>0.000027</v>
      </c>
      <c r="K297" s="43" t="b">
        <f t="shared" si="4"/>
        <v>0</v>
      </c>
      <c r="L297" s="21" t="str">
        <f>IFERROR(__xludf.DUMMYFUNCTION("if(regexmatch(B297,""e(.*)$""),regexextract(B297,""e(.*)$""),"""")"),"")</f>
        <v/>
      </c>
    </row>
    <row r="298">
      <c r="A298" s="34" t="s">
        <v>2086</v>
      </c>
      <c r="B298" s="34" t="s">
        <v>4957</v>
      </c>
      <c r="C298" s="34"/>
      <c r="D298" s="13" t="str">
        <f t="shared" si="1"/>
        <v/>
      </c>
      <c r="E298" s="42">
        <f>countif(Constants!F:F,F298)</f>
        <v>1</v>
      </c>
      <c r="F298" s="21" t="str">
        <f>ifna(VLOOKUP($A298,'v2002'!$A:$F,6,false),"")</f>
        <v>TauNeutronMassRatio</v>
      </c>
      <c r="G298" s="21" t="str">
        <f>IFERROR(__xludf.DUMMYFUNCTION("REGEXREPLACE(substitute(substitute(B298,"" "",""""),""..."",""""),""\(.*\)"","""")"),"1.89135")</f>
        <v>1.89135</v>
      </c>
      <c r="H298" s="43">
        <f t="shared" si="2"/>
        <v>1.89135</v>
      </c>
      <c r="I298" s="21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43">
        <f t="shared" si="3"/>
        <v>0.0000031</v>
      </c>
      <c r="K298" s="43" t="b">
        <f t="shared" si="4"/>
        <v>0</v>
      </c>
      <c r="L298" s="21" t="str">
        <f>IFERROR(__xludf.DUMMYFUNCTION("if(regexmatch(B298,""e(.*)$""),regexextract(B298,""e(.*)$""),"""")"),"")</f>
        <v/>
      </c>
    </row>
    <row r="299">
      <c r="A299" s="34" t="s">
        <v>2091</v>
      </c>
      <c r="B299" s="34" t="s">
        <v>4958</v>
      </c>
      <c r="C299" s="34"/>
      <c r="D299" s="13" t="str">
        <f t="shared" si="1"/>
        <v/>
      </c>
      <c r="E299" s="42">
        <f>countif(Constants!F:F,F299)</f>
        <v>1</v>
      </c>
      <c r="F299" s="21" t="str">
        <f>ifna(VLOOKUP($A299,'v2002'!$A:$F,6,false),"")</f>
        <v>TauProtonMassRatio</v>
      </c>
      <c r="G299" s="21" t="str">
        <f>IFERROR(__xludf.DUMMYFUNCTION("REGEXREPLACE(substitute(substitute(B299,"" "",""""),""..."",""""),""\(.*\)"","""")"),"1.89396")</f>
        <v>1.89396</v>
      </c>
      <c r="H299" s="43">
        <f t="shared" si="2"/>
        <v>1.89396</v>
      </c>
      <c r="I299" s="21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43">
        <f t="shared" si="3"/>
        <v>0.0000031</v>
      </c>
      <c r="K299" s="43" t="b">
        <f t="shared" si="4"/>
        <v>0</v>
      </c>
      <c r="L299" s="21" t="str">
        <f>IFERROR(__xludf.DUMMYFUNCTION("if(regexmatch(B299,""e(.*)$""),regexextract(B299,""e(.*)$""),"""")"),"")</f>
        <v/>
      </c>
    </row>
    <row r="300">
      <c r="A300" s="34" t="s">
        <v>2096</v>
      </c>
      <c r="B300" s="34" t="s">
        <v>4959</v>
      </c>
      <c r="C300" s="34" t="s">
        <v>2097</v>
      </c>
      <c r="D300" s="13" t="str">
        <f t="shared" si="1"/>
        <v>m^2</v>
      </c>
      <c r="E300" s="42">
        <f>countif(Constants!F:F,F300)</f>
        <v>1</v>
      </c>
      <c r="F300" s="21" t="str">
        <f>ifna(VLOOKUP($A300,'v2002'!$A:$F,6,false),"")</f>
        <v>ThomsonCrossSection</v>
      </c>
      <c r="G300" s="21" t="str">
        <f>IFERROR(__xludf.DUMMYFUNCTION("REGEXREPLACE(substitute(substitute(B300,"" "",""""),""..."",""""),""\(.*\)"","""")"),"0.665245854e-28")</f>
        <v>0.665245854e-28</v>
      </c>
      <c r="H300" s="43">
        <f t="shared" si="2"/>
        <v>0</v>
      </c>
      <c r="I300" s="21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43">
        <f t="shared" si="3"/>
        <v>0</v>
      </c>
      <c r="K300" s="43" t="b">
        <f t="shared" si="4"/>
        <v>0</v>
      </c>
      <c r="L300" s="21" t="str">
        <f>IFERROR(__xludf.DUMMYFUNCTION("if(regexmatch(B300,""e(.*)$""),regexextract(B300,""e(.*)$""),"""")"),"-28")</f>
        <v>-28</v>
      </c>
    </row>
    <row r="301">
      <c r="A301" s="34" t="s">
        <v>2168</v>
      </c>
      <c r="B301" s="34" t="s">
        <v>4735</v>
      </c>
      <c r="C301" s="34" t="s">
        <v>538</v>
      </c>
      <c r="D301" s="13" t="str">
        <f t="shared" si="1"/>
        <v>kg</v>
      </c>
      <c r="E301" s="42">
        <f>countif(Constants!F:F,F301)</f>
        <v>1</v>
      </c>
      <c r="F301" s="21" t="str">
        <f>ifna(VLOOKUP($A301,'v2002'!$A:$F,6,false),"")</f>
        <v>UnifiedAtomicMassUnit</v>
      </c>
      <c r="G301" s="21" t="str">
        <f>IFERROR(__xludf.DUMMYFUNCTION("REGEXREPLACE(substitute(substitute(B301,"" "",""""),""..."",""""),""\(.*\)"","""")"),"1.66053873e-27")</f>
        <v>1.66053873e-27</v>
      </c>
      <c r="H301" s="43">
        <f t="shared" si="2"/>
        <v>0</v>
      </c>
      <c r="I301" s="21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43">
        <f t="shared" si="3"/>
        <v>0</v>
      </c>
      <c r="K301" s="43" t="b">
        <f t="shared" si="4"/>
        <v>0</v>
      </c>
      <c r="L301" s="21" t="str">
        <f>IFERROR(__xludf.DUMMYFUNCTION("if(regexmatch(B301,""e(.*)$""),regexextract(B301,""e(.*)$""),"""")"),"-27")</f>
        <v>-27</v>
      </c>
    </row>
    <row r="302">
      <c r="A302" s="34" t="s">
        <v>2192</v>
      </c>
      <c r="B302" s="34" t="s">
        <v>4960</v>
      </c>
      <c r="C302" s="34" t="s">
        <v>816</v>
      </c>
      <c r="D302" s="13" t="str">
        <f t="shared" si="1"/>
        <v>Ohm</v>
      </c>
      <c r="E302" s="42">
        <f>countif(Constants!F:F,F302)</f>
        <v>1</v>
      </c>
      <c r="F302" s="21" t="str">
        <f>ifna(VLOOKUP($A302,'v2002'!$A:$F,6,false),"")</f>
        <v>VonKlitzingConstant</v>
      </c>
      <c r="G302" s="21" t="str">
        <f>IFERROR(__xludf.DUMMYFUNCTION("REGEXREPLACE(substitute(substitute(B302,"" "",""""),""..."",""""),""\(.*\)"","""")"),"25812.807572")</f>
        <v>25812.807572</v>
      </c>
      <c r="H302" s="43">
        <f t="shared" si="2"/>
        <v>25812.80757</v>
      </c>
      <c r="I302" s="21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43">
        <f t="shared" si="3"/>
        <v>0.00000095</v>
      </c>
      <c r="K302" s="43" t="b">
        <f t="shared" si="4"/>
        <v>0</v>
      </c>
      <c r="L302" s="21" t="str">
        <f>IFERROR(__xludf.DUMMYFUNCTION("if(regexmatch(B302,""e(.*)$""),regexextract(B302,""e(.*)$""),"""")"),"")</f>
        <v/>
      </c>
    </row>
    <row r="303">
      <c r="A303" s="34" t="s">
        <v>2197</v>
      </c>
      <c r="B303" s="34" t="s">
        <v>4961</v>
      </c>
      <c r="C303" s="34"/>
      <c r="D303" s="13" t="str">
        <f t="shared" si="1"/>
        <v/>
      </c>
      <c r="E303" s="42">
        <f>countif(Constants!F:F,F303)</f>
        <v>1</v>
      </c>
      <c r="F303" s="21" t="str">
        <f>ifna(VLOOKUP($A303,'v2002'!$A:$F,6,false),"")</f>
        <v>WeakMixingAngle</v>
      </c>
      <c r="G303" s="21" t="str">
        <f>IFERROR(__xludf.DUMMYFUNCTION("REGEXREPLACE(substitute(substitute(B303,"" "",""""),""..."",""""),""\(.*\)"","""")"),"0.2224")</f>
        <v>0.2224</v>
      </c>
      <c r="H303" s="43">
        <f t="shared" si="2"/>
        <v>0.2224</v>
      </c>
      <c r="I303" s="21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43">
        <f t="shared" si="3"/>
        <v>0.000019</v>
      </c>
      <c r="K303" s="43" t="b">
        <f t="shared" si="4"/>
        <v>0</v>
      </c>
      <c r="L303" s="21" t="str">
        <f>IFERROR(__xludf.DUMMYFUNCTION("if(regexmatch(B303,""e(.*)$""),regexextract(B303,""e(.*)$""),"""")"),"")</f>
        <v/>
      </c>
    </row>
    <row r="304">
      <c r="A304" s="34" t="s">
        <v>4725</v>
      </c>
      <c r="B304" s="34" t="s">
        <v>4726</v>
      </c>
      <c r="C304" s="34" t="s">
        <v>1955</v>
      </c>
      <c r="D304" s="13" t="str">
        <f t="shared" si="1"/>
        <v>m K</v>
      </c>
      <c r="E304" s="42">
        <f>countif(Constants!F:F,F304)</f>
        <v>1</v>
      </c>
      <c r="F304" s="21" t="str">
        <f>ifna(VLOOKUP($A304,'v2002'!$A:$F,6,false),"")</f>
        <v>WienWavelengthDisplacementLawConstant</v>
      </c>
      <c r="G304" s="21" t="str">
        <f>IFERROR(__xludf.DUMMYFUNCTION("REGEXREPLACE(substitute(substitute(B304,"" "",""""),""..."",""""),""\(.*\)"","""")"),"2.8977686e-3")</f>
        <v>2.8977686e-3</v>
      </c>
      <c r="H304" s="43">
        <f t="shared" si="2"/>
        <v>0.0028977686</v>
      </c>
      <c r="I304" s="21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43">
        <f t="shared" si="3"/>
        <v>0</v>
      </c>
      <c r="K304" s="43" t="b">
        <f t="shared" si="4"/>
        <v>0</v>
      </c>
      <c r="L304" s="21" t="str">
        <f>IFERROR(__xludf.DUMMYFUNCTION("if(regexmatch(B304,""e(.*)$""),regexextract(B304,""e(.*)$""),"""")"),"-3")</f>
        <v>-3</v>
      </c>
    </row>
  </sheetData>
  <conditionalFormatting sqref="E2:E304">
    <cfRule type="cellIs" dxfId="0" priority="1" operator="notEqual">
      <formula>1</formula>
    </cfRule>
  </conditionalFormatting>
  <conditionalFormatting sqref="E296">
    <cfRule type="cellIs" dxfId="0" priority="2" operator="notEqual">
      <formula>1</formula>
    </cfRule>
  </conditionalFormatting>
  <conditionalFormatting sqref="E279:E290">
    <cfRule type="cellIs" dxfId="0" priority="3" operator="notEqual">
      <formula>1</formula>
    </cfRule>
  </conditionalFormatting>
  <conditionalFormatting sqref="E276:E277">
    <cfRule type="cellIs" dxfId="0" priority="4" operator="notEqual">
      <formula>1</formula>
    </cfRule>
  </conditionalFormatting>
  <conditionalFormatting sqref="E267">
    <cfRule type="cellIs" dxfId="0" priority="5" operator="notEqual">
      <formula>1</formula>
    </cfRule>
  </conditionalFormatting>
  <conditionalFormatting sqref="E253:E258">
    <cfRule type="cellIs" dxfId="0" priority="6" operator="notEqual">
      <formula>1</formula>
    </cfRule>
  </conditionalFormatting>
  <conditionalFormatting sqref="E250">
    <cfRule type="cellIs" dxfId="0" priority="7" operator="notEqual">
      <formula>1</formula>
    </cfRule>
  </conditionalFormatting>
  <conditionalFormatting sqref="E240:E243">
    <cfRule type="cellIs" dxfId="0" priority="8" operator="notEqual">
      <formula>1</formula>
    </cfRule>
  </conditionalFormatting>
  <conditionalFormatting sqref="E238">
    <cfRule type="cellIs" dxfId="0" priority="9" operator="notEqual">
      <formula>1</formula>
    </cfRule>
  </conditionalFormatting>
  <conditionalFormatting sqref="E229">
    <cfRule type="cellIs" dxfId="0" priority="10" operator="notEqual">
      <formula>1</formula>
    </cfRule>
  </conditionalFormatting>
  <conditionalFormatting sqref="E225:E226">
    <cfRule type="cellIs" dxfId="0" priority="11" operator="notEqual">
      <formula>1</formula>
    </cfRule>
  </conditionalFormatting>
  <conditionalFormatting sqref="E215:E219">
    <cfRule type="cellIs" dxfId="0" priority="12" operator="notEqual">
      <formula>1</formula>
    </cfRule>
  </conditionalFormatting>
  <conditionalFormatting sqref="E213">
    <cfRule type="cellIs" dxfId="0" priority="13" operator="notEqual">
      <formula>1</formula>
    </cfRule>
  </conditionalFormatting>
  <conditionalFormatting sqref="E199">
    <cfRule type="cellIs" dxfId="0" priority="14" operator="notEqual">
      <formula>1</formula>
    </cfRule>
  </conditionalFormatting>
  <conditionalFormatting sqref="E188:E191">
    <cfRule type="cellIs" dxfId="0" priority="15" operator="notEqual">
      <formula>1</formula>
    </cfRule>
  </conditionalFormatting>
  <conditionalFormatting sqref="E186">
    <cfRule type="cellIs" dxfId="0" priority="16" operator="notEqual">
      <formula>1</formula>
    </cfRule>
  </conditionalFormatting>
  <conditionalFormatting sqref="E178">
    <cfRule type="cellIs" dxfId="0" priority="17" operator="notEqual">
      <formula>1</formula>
    </cfRule>
  </conditionalFormatting>
  <conditionalFormatting sqref="E174:E176">
    <cfRule type="cellIs" dxfId="0" priority="18" operator="notEqual">
      <formula>1</formula>
    </cfRule>
  </conditionalFormatting>
  <conditionalFormatting sqref="E172">
    <cfRule type="cellIs" dxfId="0" priority="19" operator="notEqual">
      <formula>1</formula>
    </cfRule>
  </conditionalFormatting>
  <conditionalFormatting sqref="E118">
    <cfRule type="cellIs" dxfId="0" priority="20" operator="notEqual">
      <formula>1</formula>
    </cfRule>
  </conditionalFormatting>
  <conditionalFormatting sqref="E110">
    <cfRule type="cellIs" dxfId="0" priority="21" operator="notEqual">
      <formula>1</formula>
    </cfRule>
  </conditionalFormatting>
  <conditionalFormatting sqref="E107">
    <cfRule type="cellIs" dxfId="0" priority="22" operator="notEqual">
      <formula>1</formula>
    </cfRule>
  </conditionalFormatting>
  <conditionalFormatting sqref="E105">
    <cfRule type="cellIs" dxfId="0" priority="23" operator="notEqual">
      <formula>1</formula>
    </cfRule>
  </conditionalFormatting>
  <conditionalFormatting sqref="E103">
    <cfRule type="cellIs" dxfId="0" priority="24" operator="notEqual">
      <formula>1</formula>
    </cfRule>
  </conditionalFormatting>
  <conditionalFormatting sqref="E101">
    <cfRule type="cellIs" dxfId="0" priority="25" operator="notEqual">
      <formula>1</formula>
    </cfRule>
  </conditionalFormatting>
  <conditionalFormatting sqref="E91:E92">
    <cfRule type="cellIs" dxfId="0" priority="26" operator="notEqual">
      <formula>1</formula>
    </cfRule>
  </conditionalFormatting>
  <conditionalFormatting sqref="E79:E84">
    <cfRule type="cellIs" dxfId="0" priority="27" operator="notEqual">
      <formula>1</formula>
    </cfRule>
  </conditionalFormatting>
  <conditionalFormatting sqref="E76">
    <cfRule type="cellIs" dxfId="0" priority="28" operator="notEqual">
      <formula>1</formula>
    </cfRule>
  </conditionalFormatting>
  <conditionalFormatting sqref="E73:E74">
    <cfRule type="cellIs" dxfId="0" priority="29" operator="notEqual">
      <formula>1</formula>
    </cfRule>
  </conditionalFormatting>
  <conditionalFormatting sqref="E71">
    <cfRule type="cellIs" dxfId="0" priority="30" operator="notEqual">
      <formula>1</formula>
    </cfRule>
  </conditionalFormatting>
  <conditionalFormatting sqref="E62:E64">
    <cfRule type="cellIs" dxfId="0" priority="31" operator="notEqual">
      <formula>1</formula>
    </cfRule>
  </conditionalFormatting>
  <conditionalFormatting sqref="E60">
    <cfRule type="cellIs" dxfId="0" priority="32" operator="notEqual">
      <formula>1</formula>
    </cfRule>
  </conditionalFormatting>
  <conditionalFormatting sqref="E56">
    <cfRule type="cellIs" dxfId="0" priority="33" operator="notEqual">
      <formula>1</formula>
    </cfRule>
  </conditionalFormatting>
  <conditionalFormatting sqref="E52">
    <cfRule type="cellIs" dxfId="0" priority="34" operator="notEqual">
      <formula>1</formula>
    </cfRule>
  </conditionalFormatting>
  <conditionalFormatting sqref="E47">
    <cfRule type="cellIs" dxfId="0" priority="35" operator="notEqual">
      <formula>1</formula>
    </cfRule>
  </conditionalFormatting>
  <conditionalFormatting sqref="E34:E35">
    <cfRule type="cellIs" dxfId="0" priority="36" operator="notEqual">
      <formula>1</formula>
    </cfRule>
  </conditionalFormatting>
  <conditionalFormatting sqref="E30">
    <cfRule type="cellIs" dxfId="0" priority="37" operator="notEqual">
      <formula>1</formula>
    </cfRule>
  </conditionalFormatting>
  <conditionalFormatting sqref="E25">
    <cfRule type="cellIs" dxfId="0" priority="38" operator="not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4.0"/>
    <col customWidth="1" min="2" max="2" width="8.0"/>
    <col customWidth="1" min="3" max="3" width="34.63"/>
    <col customWidth="1" min="4" max="4" width="27.63"/>
    <col customWidth="1" min="6" max="6" width="10.63"/>
    <col customWidth="1" min="7" max="7" width="8.63"/>
    <col customWidth="1" min="8" max="8" width="61.75"/>
    <col customWidth="1" min="9" max="9" width="44.0"/>
    <col customWidth="1" min="10" max="10" width="14.63"/>
  </cols>
  <sheetData>
    <row r="1">
      <c r="A1" s="9" t="s">
        <v>0</v>
      </c>
      <c r="B1" s="10" t="s">
        <v>248</v>
      </c>
      <c r="C1" s="10" t="s">
        <v>249</v>
      </c>
      <c r="D1" s="10" t="s">
        <v>250</v>
      </c>
      <c r="E1" s="10" t="s">
        <v>251</v>
      </c>
      <c r="F1" s="10" t="s">
        <v>252</v>
      </c>
      <c r="G1" s="10" t="s">
        <v>253</v>
      </c>
      <c r="H1" s="10" t="s">
        <v>254</v>
      </c>
      <c r="I1" s="10" t="s">
        <v>255</v>
      </c>
      <c r="J1" s="10" t="s">
        <v>256</v>
      </c>
      <c r="K1" s="10" t="s">
        <v>257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 t="s">
        <v>15</v>
      </c>
      <c r="F2" s="13">
        <f>countif(Constants!L:L,$A2)</f>
        <v>1</v>
      </c>
      <c r="G2" s="13">
        <f>countif(Constants!F:F,$A2)</f>
        <v>1</v>
      </c>
      <c r="H2" s="14" t="str">
        <f t="shared" ref="H2:H301" si="1">CONCATENATE("http://sidigitalframework/constant/",A2)</f>
        <v>http://sidigitalframework/constant/AlphaParticleElectronMassRatio</v>
      </c>
      <c r="I2" s="15" t="str">
        <f t="shared" ref="I2:I300" si="2">A2</f>
        <v>AlphaParticleElectronMassRatio</v>
      </c>
      <c r="J2" s="13">
        <f>countif(Concepts!A:A,I2)</f>
        <v>1</v>
      </c>
    </row>
    <row r="3">
      <c r="A3" s="16" t="s">
        <v>19</v>
      </c>
      <c r="F3" s="13">
        <f>countif(Constants!L:L,$A3)</f>
        <v>4</v>
      </c>
      <c r="G3" s="13">
        <f>countif(Constants!F:F,$A3)</f>
        <v>1</v>
      </c>
      <c r="H3" s="14" t="str">
        <f t="shared" si="1"/>
        <v>http://sidigitalframework/constant/AlphaParticleMass</v>
      </c>
      <c r="I3" s="15" t="str">
        <f t="shared" si="2"/>
        <v>AlphaParticleMass</v>
      </c>
      <c r="J3" s="13">
        <f>countif(Concepts!A:A,I3)</f>
        <v>1</v>
      </c>
    </row>
    <row r="4">
      <c r="A4" s="16" t="s">
        <v>23</v>
      </c>
      <c r="F4" s="13">
        <f>countif(Constants!L:L,$A4)</f>
        <v>1</v>
      </c>
      <c r="G4" s="13">
        <f>countif(Constants!F:F,$A4)</f>
        <v>1</v>
      </c>
      <c r="H4" s="14" t="str">
        <f t="shared" si="1"/>
        <v>http://sidigitalframework/constant/AlphaParticleMolarMass</v>
      </c>
      <c r="I4" s="15" t="str">
        <f t="shared" si="2"/>
        <v>AlphaParticleMolarMass</v>
      </c>
      <c r="J4" s="13">
        <f>countif(Concepts!A:A,I4)</f>
        <v>1</v>
      </c>
    </row>
    <row r="5">
      <c r="A5" s="16" t="s">
        <v>27</v>
      </c>
      <c r="F5" s="13">
        <f>countif(Constants!L:L,$A5)</f>
        <v>1</v>
      </c>
      <c r="G5" s="13">
        <f>countif(Constants!F:F,$A5)</f>
        <v>1</v>
      </c>
      <c r="H5" s="14" t="str">
        <f t="shared" si="1"/>
        <v>http://sidigitalframework/constant/AlphaParticleProtonMassRatio</v>
      </c>
      <c r="I5" s="15" t="str">
        <f t="shared" si="2"/>
        <v>AlphaParticleProtonMassRatio</v>
      </c>
      <c r="J5" s="13">
        <f>countif(Concepts!A:A,I5)</f>
        <v>1</v>
      </c>
    </row>
    <row r="6">
      <c r="A6" s="16" t="s">
        <v>30</v>
      </c>
      <c r="F6" s="13">
        <f>countif(Constants!L:L,$A6)</f>
        <v>1</v>
      </c>
      <c r="G6" s="13">
        <f>countif(Constants!F:F,$A6)</f>
        <v>1</v>
      </c>
      <c r="H6" s="14" t="str">
        <f t="shared" si="1"/>
        <v>http://sidigitalframework/constant/AlphaParticleRelativeAtomicMass</v>
      </c>
      <c r="I6" s="15" t="str">
        <f t="shared" si="2"/>
        <v>AlphaParticleRelativeAtomicMass</v>
      </c>
      <c r="J6" s="13">
        <f>countif(Concepts!A:A,I6)</f>
        <v>1</v>
      </c>
    </row>
    <row r="7">
      <c r="A7" s="12" t="s">
        <v>33</v>
      </c>
      <c r="B7" s="6"/>
      <c r="F7" s="13">
        <f>countif(Constants!L:L,$A7)</f>
        <v>1</v>
      </c>
      <c r="G7" s="13">
        <f>countif(Constants!F:F,$A7)</f>
        <v>1</v>
      </c>
      <c r="H7" s="14" t="str">
        <f t="shared" si="1"/>
        <v>http://sidigitalframework/constant/AlphaParticleRmsChargeRadius</v>
      </c>
      <c r="I7" s="15" t="str">
        <f t="shared" si="2"/>
        <v>AlphaParticleRmsChargeRadius</v>
      </c>
      <c r="J7" s="13">
        <f>countif(Concepts!A:A,I7)</f>
        <v>1</v>
      </c>
    </row>
    <row r="8">
      <c r="A8" s="16" t="s">
        <v>36</v>
      </c>
      <c r="B8" s="6" t="s">
        <v>38</v>
      </c>
      <c r="F8" s="13">
        <f>countif(Constants!L:L,$A8)</f>
        <v>1</v>
      </c>
      <c r="G8" s="13">
        <f>countif(Constants!F:F,$A8)</f>
        <v>1</v>
      </c>
      <c r="H8" s="14" t="str">
        <f t="shared" si="1"/>
        <v>http://sidigitalframework/constant/AngstromStar</v>
      </c>
      <c r="I8" s="15" t="str">
        <f t="shared" si="2"/>
        <v>AngstromStar</v>
      </c>
      <c r="J8" s="13">
        <f>countif(Concepts!A:A,I8)</f>
        <v>1</v>
      </c>
    </row>
    <row r="9">
      <c r="A9" s="16" t="s">
        <v>42</v>
      </c>
      <c r="F9" s="13">
        <f>countif(Constants!L:L,$A9)</f>
        <v>3</v>
      </c>
      <c r="G9" s="13">
        <f>countif(Constants!F:F,$A9)</f>
        <v>1</v>
      </c>
      <c r="H9" s="14" t="str">
        <f t="shared" si="1"/>
        <v>http://sidigitalframework/constant/AtomicMassConstant</v>
      </c>
      <c r="I9" s="15" t="str">
        <f t="shared" si="2"/>
        <v>AtomicMassConstant</v>
      </c>
      <c r="J9" s="13">
        <f>countif(Concepts!A:A,I9)</f>
        <v>1</v>
      </c>
    </row>
    <row r="10">
      <c r="A10" s="16" t="s">
        <v>46</v>
      </c>
      <c r="F10" s="13">
        <f>countif(Constants!L:L,$A10)</f>
        <v>1</v>
      </c>
      <c r="G10" s="13">
        <f>countif(Constants!F:F,$A10)</f>
        <v>1</v>
      </c>
      <c r="H10" s="14" t="str">
        <f t="shared" si="1"/>
        <v>http://sidigitalframework/constant/AtomicMassUnitElectronVoltRelationship</v>
      </c>
      <c r="I10" s="15" t="str">
        <f t="shared" si="2"/>
        <v>AtomicMassUnitElectronVoltRelationship</v>
      </c>
      <c r="J10" s="13">
        <f>countif(Concepts!A:A,I10)</f>
        <v>1</v>
      </c>
    </row>
    <row r="11">
      <c r="A11" s="16" t="s">
        <v>49</v>
      </c>
      <c r="F11" s="13">
        <f>countif(Constants!L:L,$A11)</f>
        <v>1</v>
      </c>
      <c r="G11" s="13">
        <f>countif(Constants!F:F,$A11)</f>
        <v>1</v>
      </c>
      <c r="H11" s="14" t="str">
        <f t="shared" si="1"/>
        <v>http://sidigitalframework/constant/AtomicMassUnitHartreeRelationship</v>
      </c>
      <c r="I11" s="15" t="str">
        <f t="shared" si="2"/>
        <v>AtomicMassUnitHartreeRelationship</v>
      </c>
      <c r="J11" s="13">
        <f>countif(Concepts!A:A,I11)</f>
        <v>1</v>
      </c>
    </row>
    <row r="12">
      <c r="A12" s="16" t="s">
        <v>53</v>
      </c>
      <c r="F12" s="13">
        <f>countif(Constants!L:L,$A12)</f>
        <v>1</v>
      </c>
      <c r="G12" s="13">
        <f>countif(Constants!F:F,$A12)</f>
        <v>1</v>
      </c>
      <c r="H12" s="14" t="str">
        <f t="shared" si="1"/>
        <v>http://sidigitalframework/constant/AtomicMassUnitHertzRelationship</v>
      </c>
      <c r="I12" s="15" t="str">
        <f t="shared" si="2"/>
        <v>AtomicMassUnitHertzRelationship</v>
      </c>
      <c r="J12" s="13">
        <f>countif(Concepts!A:A,I12)</f>
        <v>1</v>
      </c>
    </row>
    <row r="13">
      <c r="A13" s="16" t="s">
        <v>56</v>
      </c>
      <c r="F13" s="13">
        <f>countif(Constants!L:L,$A13)</f>
        <v>1</v>
      </c>
      <c r="G13" s="13">
        <f>countif(Constants!F:F,$A13)</f>
        <v>1</v>
      </c>
      <c r="H13" s="14" t="str">
        <f t="shared" si="1"/>
        <v>http://sidigitalframework/constant/AtomicMassUnitInverseMeterRelationship</v>
      </c>
      <c r="I13" s="15" t="str">
        <f t="shared" si="2"/>
        <v>AtomicMassUnitInverseMeterRelationship</v>
      </c>
      <c r="J13" s="13">
        <f>countif(Concepts!A:A,I13)</f>
        <v>1</v>
      </c>
    </row>
    <row r="14">
      <c r="A14" s="16" t="s">
        <v>59</v>
      </c>
      <c r="F14" s="13">
        <f>countif(Constants!L:L,$A14)</f>
        <v>1</v>
      </c>
      <c r="G14" s="13">
        <f>countif(Constants!F:F,$A14)</f>
        <v>1</v>
      </c>
      <c r="H14" s="14" t="str">
        <f t="shared" si="1"/>
        <v>http://sidigitalframework/constant/AtomicMassUnitJouleRelationship</v>
      </c>
      <c r="I14" s="15" t="str">
        <f t="shared" si="2"/>
        <v>AtomicMassUnitJouleRelationship</v>
      </c>
      <c r="J14" s="13">
        <f>countif(Concepts!A:A,I14)</f>
        <v>1</v>
      </c>
    </row>
    <row r="15">
      <c r="A15" s="16" t="s">
        <v>62</v>
      </c>
      <c r="F15" s="13">
        <f>countif(Constants!L:L,$A15)</f>
        <v>1</v>
      </c>
      <c r="G15" s="13">
        <f>countif(Constants!F:F,$A15)</f>
        <v>1</v>
      </c>
      <c r="H15" s="14" t="str">
        <f t="shared" si="1"/>
        <v>http://sidigitalframework/constant/AtomicMassUnitKelvinRelationship</v>
      </c>
      <c r="I15" s="15" t="str">
        <f t="shared" si="2"/>
        <v>AtomicMassUnitKelvinRelationship</v>
      </c>
      <c r="J15" s="13">
        <f>countif(Concepts!A:A,I15)</f>
        <v>1</v>
      </c>
    </row>
    <row r="16">
      <c r="A16" s="16" t="s">
        <v>65</v>
      </c>
      <c r="F16" s="13">
        <f>countif(Constants!L:L,$A16)</f>
        <v>1</v>
      </c>
      <c r="G16" s="13">
        <f>countif(Constants!F:F,$A16)</f>
        <v>1</v>
      </c>
      <c r="H16" s="14" t="str">
        <f t="shared" si="1"/>
        <v>http://sidigitalframework/constant/AtomicMassUnitKilogramRelationship</v>
      </c>
      <c r="I16" s="15" t="str">
        <f t="shared" si="2"/>
        <v>AtomicMassUnitKilogramRelationship</v>
      </c>
      <c r="J16" s="13">
        <f>countif(Concepts!A:A,I16)</f>
        <v>1</v>
      </c>
    </row>
    <row r="17">
      <c r="A17" s="16" t="s">
        <v>71</v>
      </c>
      <c r="F17" s="13">
        <f>countif(Constants!L:L,$A17)</f>
        <v>1</v>
      </c>
      <c r="G17" s="13">
        <f>countif(Constants!F:F,$A17)</f>
        <v>1</v>
      </c>
      <c r="H17" s="14" t="str">
        <f t="shared" si="1"/>
        <v>http://sidigitalframework/constant/AtomicUnitOf1stHyperpolarizablity</v>
      </c>
      <c r="I17" s="15" t="str">
        <f t="shared" si="2"/>
        <v>AtomicUnitOf1stHyperpolarizablity</v>
      </c>
      <c r="J17" s="13">
        <f>countif(Concepts!A:A,I17)</f>
        <v>1</v>
      </c>
    </row>
    <row r="18">
      <c r="A18" s="16" t="s">
        <v>75</v>
      </c>
      <c r="F18" s="13">
        <f>countif(Constants!L:L,$A18)</f>
        <v>1</v>
      </c>
      <c r="G18" s="13">
        <f>countif(Constants!F:F,$A18)</f>
        <v>1</v>
      </c>
      <c r="H18" s="14" t="str">
        <f t="shared" si="1"/>
        <v>http://sidigitalframework/constant/AtomicUnitOf2ndHyperpolarizablity</v>
      </c>
      <c r="I18" s="15" t="str">
        <f t="shared" si="2"/>
        <v>AtomicUnitOf2ndHyperpolarizablity</v>
      </c>
      <c r="J18" s="13">
        <f>countif(Concepts!A:A,I18)</f>
        <v>1</v>
      </c>
    </row>
    <row r="19">
      <c r="A19" s="16" t="s">
        <v>78</v>
      </c>
      <c r="F19" s="13">
        <f>countif(Constants!L:L,$A19)</f>
        <v>1</v>
      </c>
      <c r="G19" s="13">
        <f>countif(Constants!F:F,$A19)</f>
        <v>1</v>
      </c>
      <c r="H19" s="14" t="str">
        <f t="shared" si="1"/>
        <v>http://sidigitalframework/constant/AtomicUnitOfAction</v>
      </c>
      <c r="I19" s="15" t="str">
        <f t="shared" si="2"/>
        <v>AtomicUnitOfAction</v>
      </c>
      <c r="J19" s="13">
        <f>countif(Concepts!A:A,I19)</f>
        <v>1</v>
      </c>
    </row>
    <row r="20">
      <c r="A20" s="16" t="s">
        <v>81</v>
      </c>
      <c r="F20" s="13">
        <f>countif(Constants!L:L,$A20)</f>
        <v>1</v>
      </c>
      <c r="G20" s="13">
        <f>countif(Constants!F:F,$A20)</f>
        <v>1</v>
      </c>
      <c r="H20" s="14" t="str">
        <f t="shared" si="1"/>
        <v>http://sidigitalframework/constant/AtomicUnitOfCharge</v>
      </c>
      <c r="I20" s="15" t="str">
        <f t="shared" si="2"/>
        <v>AtomicUnitOfCharge</v>
      </c>
      <c r="J20" s="13">
        <f>countif(Concepts!A:A,I20)</f>
        <v>1</v>
      </c>
    </row>
    <row r="21">
      <c r="A21" s="16" t="s">
        <v>85</v>
      </c>
      <c r="F21" s="13">
        <f>countif(Constants!L:L,$A21)</f>
        <v>1</v>
      </c>
      <c r="G21" s="13">
        <f>countif(Constants!F:F,$A21)</f>
        <v>1</v>
      </c>
      <c r="H21" s="14" t="str">
        <f t="shared" si="1"/>
        <v>http://sidigitalframework/constant/AtomicUnitOfChargeDensity</v>
      </c>
      <c r="I21" s="15" t="str">
        <f t="shared" si="2"/>
        <v>AtomicUnitOfChargeDensity</v>
      </c>
      <c r="J21" s="13">
        <f>countif(Concepts!A:A,I21)</f>
        <v>1</v>
      </c>
    </row>
    <row r="22">
      <c r="A22" s="16" t="s">
        <v>89</v>
      </c>
      <c r="F22" s="13">
        <f>countif(Constants!L:L,$A22)</f>
        <v>1</v>
      </c>
      <c r="G22" s="13">
        <f>countif(Constants!F:F,$A22)</f>
        <v>1</v>
      </c>
      <c r="H22" s="14" t="str">
        <f t="shared" si="1"/>
        <v>http://sidigitalframework/constant/AtomicUnitOfCurrent</v>
      </c>
      <c r="I22" s="15" t="str">
        <f t="shared" si="2"/>
        <v>AtomicUnitOfCurrent</v>
      </c>
      <c r="J22" s="13">
        <f>countif(Concepts!A:A,I22)</f>
        <v>1</v>
      </c>
    </row>
    <row r="23">
      <c r="A23" s="16" t="s">
        <v>93</v>
      </c>
      <c r="F23" s="13">
        <f>countif(Constants!L:L,$A23)</f>
        <v>1</v>
      </c>
      <c r="G23" s="13">
        <f>countif(Constants!F:F,$A23)</f>
        <v>1</v>
      </c>
      <c r="H23" s="14" t="str">
        <f t="shared" si="1"/>
        <v>http://sidigitalframework/constant/AtomicUnitOfElectricDipoleMoment</v>
      </c>
      <c r="I23" s="15" t="str">
        <f t="shared" si="2"/>
        <v>AtomicUnitOfElectricDipoleMoment</v>
      </c>
      <c r="J23" s="13">
        <f>countif(Concepts!A:A,I23)</f>
        <v>1</v>
      </c>
    </row>
    <row r="24">
      <c r="A24" s="16" t="s">
        <v>96</v>
      </c>
      <c r="F24" s="13">
        <f>countif(Constants!L:L,$A24)</f>
        <v>1</v>
      </c>
      <c r="G24" s="13">
        <f>countif(Constants!F:F,$A24)</f>
        <v>1</v>
      </c>
      <c r="H24" s="14" t="str">
        <f t="shared" si="1"/>
        <v>http://sidigitalframework/constant/AtomicUnitOfElectricField</v>
      </c>
      <c r="I24" s="15" t="str">
        <f t="shared" si="2"/>
        <v>AtomicUnitOfElectricField</v>
      </c>
      <c r="J24" s="13">
        <f>countif(Concepts!A:A,I24)</f>
        <v>1</v>
      </c>
    </row>
    <row r="25">
      <c r="A25" s="16" t="s">
        <v>99</v>
      </c>
      <c r="F25" s="13">
        <f>countif(Constants!L:L,$A25)</f>
        <v>1</v>
      </c>
      <c r="G25" s="13">
        <f>countif(Constants!F:F,$A25)</f>
        <v>1</v>
      </c>
      <c r="H25" s="14" t="str">
        <f t="shared" si="1"/>
        <v>http://sidigitalframework/constant/AtomicUnitOfElectricFieldGradient</v>
      </c>
      <c r="I25" s="15" t="str">
        <f t="shared" si="2"/>
        <v>AtomicUnitOfElectricFieldGradient</v>
      </c>
      <c r="J25" s="13">
        <f>countif(Concepts!A:A,I25)</f>
        <v>1</v>
      </c>
    </row>
    <row r="26">
      <c r="A26" s="16" t="s">
        <v>102</v>
      </c>
      <c r="F26" s="13">
        <f>countif(Constants!L:L,$A26)</f>
        <v>1</v>
      </c>
      <c r="G26" s="13">
        <f>countif(Constants!F:F,$A26)</f>
        <v>1</v>
      </c>
      <c r="H26" s="14" t="str">
        <f t="shared" si="1"/>
        <v>http://sidigitalframework/constant/AtomicUnitOfElectricPolarizablity</v>
      </c>
      <c r="I26" s="15" t="str">
        <f t="shared" si="2"/>
        <v>AtomicUnitOfElectricPolarizablity</v>
      </c>
      <c r="J26" s="13">
        <f>countif(Concepts!A:A,I26)</f>
        <v>1</v>
      </c>
    </row>
    <row r="27">
      <c r="A27" s="16" t="s">
        <v>105</v>
      </c>
      <c r="F27" s="13">
        <f>countif(Constants!L:L,$A27)</f>
        <v>1</v>
      </c>
      <c r="G27" s="13">
        <f>countif(Constants!F:F,$A27)</f>
        <v>1</v>
      </c>
      <c r="H27" s="14" t="str">
        <f t="shared" si="1"/>
        <v>http://sidigitalframework/constant/AtomicUnitOfElectricPotential</v>
      </c>
      <c r="I27" s="15" t="str">
        <f t="shared" si="2"/>
        <v>AtomicUnitOfElectricPotential</v>
      </c>
      <c r="J27" s="13">
        <f>countif(Concepts!A:A,I27)</f>
        <v>1</v>
      </c>
    </row>
    <row r="28">
      <c r="A28" s="16" t="s">
        <v>108</v>
      </c>
      <c r="F28" s="13">
        <f>countif(Constants!L:L,$A28)</f>
        <v>1</v>
      </c>
      <c r="G28" s="13">
        <f>countif(Constants!F:F,$A28)</f>
        <v>1</v>
      </c>
      <c r="H28" s="14" t="str">
        <f t="shared" si="1"/>
        <v>http://sidigitalframework/constant/AtomicUnitOfElectricQuadrupoleMoment</v>
      </c>
      <c r="I28" s="15" t="str">
        <f t="shared" si="2"/>
        <v>AtomicUnitOfElectricQuadrupoleMoment</v>
      </c>
      <c r="J28" s="13">
        <f>countif(Concepts!A:A,I28)</f>
        <v>1</v>
      </c>
    </row>
    <row r="29">
      <c r="A29" s="16" t="s">
        <v>111</v>
      </c>
      <c r="F29" s="13">
        <f>countif(Constants!L:L,$A29)</f>
        <v>1</v>
      </c>
      <c r="G29" s="13">
        <f>countif(Constants!F:F,$A29)</f>
        <v>1</v>
      </c>
      <c r="H29" s="14" t="str">
        <f t="shared" si="1"/>
        <v>http://sidigitalframework/constant/AtomicUnitOfEnergy</v>
      </c>
      <c r="I29" s="15" t="str">
        <f t="shared" si="2"/>
        <v>AtomicUnitOfEnergy</v>
      </c>
      <c r="J29" s="13">
        <f>countif(Concepts!A:A,I29)</f>
        <v>1</v>
      </c>
    </row>
    <row r="30">
      <c r="A30" s="16" t="s">
        <v>114</v>
      </c>
      <c r="F30" s="13">
        <f>countif(Constants!L:L,$A30)</f>
        <v>1</v>
      </c>
      <c r="G30" s="13">
        <f>countif(Constants!F:F,$A30)</f>
        <v>1</v>
      </c>
      <c r="H30" s="14" t="str">
        <f t="shared" si="1"/>
        <v>http://sidigitalframework/constant/AtomicUnitOfForce</v>
      </c>
      <c r="I30" s="15" t="str">
        <f t="shared" si="2"/>
        <v>AtomicUnitOfForce</v>
      </c>
      <c r="J30" s="13">
        <f>countif(Concepts!A:A,I30)</f>
        <v>1</v>
      </c>
    </row>
    <row r="31">
      <c r="A31" s="16" t="s">
        <v>117</v>
      </c>
      <c r="F31" s="13">
        <f>countif(Constants!L:L,$A31)</f>
        <v>1</v>
      </c>
      <c r="G31" s="13">
        <f>countif(Constants!F:F,$A31)</f>
        <v>1</v>
      </c>
      <c r="H31" s="14" t="str">
        <f t="shared" si="1"/>
        <v>http://sidigitalframework/constant/AtomicUnitOfLength</v>
      </c>
      <c r="I31" s="15" t="str">
        <f t="shared" si="2"/>
        <v>AtomicUnitOfLength</v>
      </c>
      <c r="J31" s="13">
        <f>countif(Concepts!A:A,I31)</f>
        <v>1</v>
      </c>
    </row>
    <row r="32">
      <c r="A32" s="16" t="s">
        <v>119</v>
      </c>
      <c r="F32" s="13">
        <f>countif(Constants!L:L,$A32)</f>
        <v>1</v>
      </c>
      <c r="G32" s="13">
        <f>countif(Constants!F:F,$A32)</f>
        <v>1</v>
      </c>
      <c r="H32" s="14" t="str">
        <f t="shared" si="1"/>
        <v>http://sidigitalframework/constant/AtomicUnitOfMagneticDipoleMoment</v>
      </c>
      <c r="I32" s="15" t="str">
        <f t="shared" si="2"/>
        <v>AtomicUnitOfMagneticDipoleMoment</v>
      </c>
      <c r="J32" s="13">
        <f>countif(Concepts!A:A,I32)</f>
        <v>1</v>
      </c>
    </row>
    <row r="33">
      <c r="A33" s="16" t="s">
        <v>122</v>
      </c>
      <c r="F33" s="13">
        <f>countif(Constants!L:L,$A33)</f>
        <v>1</v>
      </c>
      <c r="G33" s="13">
        <f>countif(Constants!F:F,$A33)</f>
        <v>1</v>
      </c>
      <c r="H33" s="14" t="str">
        <f t="shared" si="1"/>
        <v>http://sidigitalframework/constant/AtomicUnitOfMagneticFluxDensity</v>
      </c>
      <c r="I33" s="15" t="str">
        <f t="shared" si="2"/>
        <v>AtomicUnitOfMagneticFluxDensity</v>
      </c>
      <c r="J33" s="13">
        <f>countif(Concepts!A:A,I33)</f>
        <v>1</v>
      </c>
    </row>
    <row r="34">
      <c r="A34" s="16" t="s">
        <v>125</v>
      </c>
      <c r="F34" s="13">
        <f>countif(Constants!L:L,$A34)</f>
        <v>1</v>
      </c>
      <c r="G34" s="13">
        <f>countif(Constants!F:F,$A34)</f>
        <v>1</v>
      </c>
      <c r="H34" s="14" t="str">
        <f t="shared" si="1"/>
        <v>http://sidigitalframework/constant/AtomicUnitOfMagnetizability</v>
      </c>
      <c r="I34" s="15" t="str">
        <f t="shared" si="2"/>
        <v>AtomicUnitOfMagnetizability</v>
      </c>
      <c r="J34" s="13">
        <f>countif(Concepts!A:A,I34)</f>
        <v>1</v>
      </c>
    </row>
    <row r="35">
      <c r="A35" s="16" t="s">
        <v>128</v>
      </c>
      <c r="F35" s="13">
        <f>countif(Constants!L:L,$A35)</f>
        <v>1</v>
      </c>
      <c r="G35" s="13">
        <f>countif(Constants!F:F,$A35)</f>
        <v>1</v>
      </c>
      <c r="H35" s="14" t="str">
        <f t="shared" si="1"/>
        <v>http://sidigitalframework/constant/AtomicUnitOfMass</v>
      </c>
      <c r="I35" s="15" t="str">
        <f t="shared" si="2"/>
        <v>AtomicUnitOfMass</v>
      </c>
      <c r="J35" s="13">
        <f>countif(Concepts!A:A,I35)</f>
        <v>1</v>
      </c>
    </row>
    <row r="36">
      <c r="A36" s="16" t="s">
        <v>130</v>
      </c>
      <c r="F36" s="13">
        <f>countif(Constants!L:L,$A36)</f>
        <v>1</v>
      </c>
      <c r="G36" s="13">
        <f>countif(Constants!F:F,$A36)</f>
        <v>1</v>
      </c>
      <c r="H36" s="14" t="str">
        <f t="shared" si="1"/>
        <v>http://sidigitalframework/constant/AtomicUnitOfMomentum</v>
      </c>
      <c r="I36" s="15" t="str">
        <f t="shared" si="2"/>
        <v>AtomicUnitOfMomentum</v>
      </c>
      <c r="J36" s="13">
        <f>countif(Concepts!A:A,I36)</f>
        <v>1</v>
      </c>
    </row>
    <row r="37">
      <c r="A37" s="16" t="s">
        <v>133</v>
      </c>
      <c r="F37" s="13">
        <f>countif(Constants!L:L,$A37)</f>
        <v>1</v>
      </c>
      <c r="G37" s="13">
        <f>countif(Constants!F:F,$A37)</f>
        <v>1</v>
      </c>
      <c r="H37" s="14" t="str">
        <f t="shared" si="1"/>
        <v>http://sidigitalframework/constant/AtomicUnitOfPermittivity</v>
      </c>
      <c r="I37" s="15" t="str">
        <f t="shared" si="2"/>
        <v>AtomicUnitOfPermittivity</v>
      </c>
      <c r="J37" s="13">
        <f>countif(Concepts!A:A,I37)</f>
        <v>1</v>
      </c>
    </row>
    <row r="38">
      <c r="A38" s="16" t="s">
        <v>136</v>
      </c>
      <c r="F38" s="13">
        <f>countif(Constants!L:L,$A38)</f>
        <v>1</v>
      </c>
      <c r="G38" s="13">
        <f>countif(Constants!F:F,$A38)</f>
        <v>1</v>
      </c>
      <c r="H38" s="14" t="str">
        <f t="shared" si="1"/>
        <v>http://sidigitalframework/constant/AtomicUnitOfTime</v>
      </c>
      <c r="I38" s="15" t="str">
        <f t="shared" si="2"/>
        <v>AtomicUnitOfTime</v>
      </c>
      <c r="J38" s="13">
        <f>countif(Concepts!A:A,I38)</f>
        <v>1</v>
      </c>
    </row>
    <row r="39">
      <c r="A39" s="16" t="s">
        <v>139</v>
      </c>
      <c r="F39" s="13">
        <f>countif(Constants!L:L,$A39)</f>
        <v>1</v>
      </c>
      <c r="G39" s="13">
        <f>countif(Constants!F:F,$A39)</f>
        <v>1</v>
      </c>
      <c r="H39" s="14" t="str">
        <f t="shared" si="1"/>
        <v>http://sidigitalframework/constant/AtomicUnitOfVelocity</v>
      </c>
      <c r="I39" s="15" t="str">
        <f t="shared" si="2"/>
        <v>AtomicUnitOfVelocity</v>
      </c>
      <c r="J39" s="13">
        <f>countif(Concepts!A:A,I39)</f>
        <v>1</v>
      </c>
    </row>
    <row r="40">
      <c r="A40" s="16" t="s">
        <v>142</v>
      </c>
      <c r="F40" s="13">
        <f>countif(Constants!L:L,$A40)</f>
        <v>1</v>
      </c>
      <c r="G40" s="13">
        <f>countif(Constants!F:F,$A40)</f>
        <v>1</v>
      </c>
      <c r="H40" s="14" t="str">
        <f t="shared" si="1"/>
        <v>http://sidigitalframework/constant/AvogadroConstant</v>
      </c>
      <c r="I40" s="15" t="str">
        <f t="shared" si="2"/>
        <v>AvogadroConstant</v>
      </c>
      <c r="J40" s="13">
        <f>countif(Concepts!A:A,I40)</f>
        <v>1</v>
      </c>
    </row>
    <row r="41">
      <c r="A41" s="16" t="s">
        <v>239</v>
      </c>
      <c r="F41" s="13">
        <f>countif(Constants!L:L,$A41)</f>
        <v>5</v>
      </c>
      <c r="G41" s="13">
        <f>countif(Constants!F:F,$A41)</f>
        <v>1</v>
      </c>
      <c r="H41" s="14" t="str">
        <f t="shared" si="1"/>
        <v>http://sidigitalframework/constant/BohrMagneton</v>
      </c>
      <c r="I41" s="15" t="str">
        <f t="shared" si="2"/>
        <v>BohrMagneton</v>
      </c>
      <c r="J41" s="13">
        <f>countif(Concepts!A:A,I41)</f>
        <v>1</v>
      </c>
    </row>
    <row r="42">
      <c r="A42" s="16" t="s">
        <v>244</v>
      </c>
      <c r="F42" s="13">
        <f>countif(Constants!L:L,$A42)</f>
        <v>1</v>
      </c>
      <c r="G42" s="13">
        <f>countif(Constants!F:F,$A42)</f>
        <v>1</v>
      </c>
      <c r="H42" s="14" t="str">
        <f t="shared" si="1"/>
        <v>http://sidigitalframework/constant/BohrRadius</v>
      </c>
      <c r="I42" s="15" t="str">
        <f t="shared" si="2"/>
        <v>BohrRadius</v>
      </c>
      <c r="J42" s="13">
        <f>countif(Concepts!A:A,I42)</f>
        <v>1</v>
      </c>
    </row>
    <row r="43">
      <c r="A43" s="16" t="s">
        <v>149</v>
      </c>
      <c r="F43" s="13">
        <f>countif(Constants!L:L,$A43)</f>
        <v>4</v>
      </c>
      <c r="G43" s="13">
        <f>countif(Constants!F:F,$A43)</f>
        <v>1</v>
      </c>
      <c r="H43" s="14" t="str">
        <f t="shared" si="1"/>
        <v>http://sidigitalframework/constant/BoltzmannConstant</v>
      </c>
      <c r="I43" s="15" t="str">
        <f t="shared" si="2"/>
        <v>BoltzmannConstant</v>
      </c>
      <c r="J43" s="13">
        <f>countif(Concepts!A:A,I43)</f>
        <v>1</v>
      </c>
    </row>
    <row r="44">
      <c r="A44" s="16" t="s">
        <v>258</v>
      </c>
      <c r="F44" s="13">
        <f>countif(Constants!L:L,$A44)</f>
        <v>1</v>
      </c>
      <c r="G44" s="13">
        <f>countif(Constants!F:F,$A44)</f>
        <v>1</v>
      </c>
      <c r="H44" s="14" t="str">
        <f t="shared" si="1"/>
        <v>http://sidigitalframework/constant/CharacteristicImpedanceOfVacuum</v>
      </c>
      <c r="I44" s="15" t="str">
        <f t="shared" si="2"/>
        <v>CharacteristicImpedanceOfVacuum</v>
      </c>
      <c r="J44" s="13">
        <f>countif(Concepts!A:A,I44)</f>
        <v>0</v>
      </c>
    </row>
    <row r="45">
      <c r="A45" s="16" t="s">
        <v>259</v>
      </c>
      <c r="F45" s="13">
        <f>countif(Constants!L:L,$A45)</f>
        <v>1</v>
      </c>
      <c r="G45" s="13">
        <f>countif(Constants!F:F,$A45)</f>
        <v>1</v>
      </c>
      <c r="H45" s="14" t="str">
        <f t="shared" si="1"/>
        <v>http://sidigitalframework/constant/ClassicalElectronRadius</v>
      </c>
      <c r="I45" s="15" t="str">
        <f t="shared" si="2"/>
        <v>ClassicalElectronRadius</v>
      </c>
      <c r="J45" s="13">
        <f>countif(Concepts!A:A,I45)</f>
        <v>0</v>
      </c>
    </row>
    <row r="46">
      <c r="A46" s="16" t="s">
        <v>260</v>
      </c>
      <c r="F46" s="13">
        <f>countif(Constants!L:L,$A46)</f>
        <v>1</v>
      </c>
      <c r="G46" s="13">
        <f>countif(Constants!F:F,$A46)</f>
        <v>1</v>
      </c>
      <c r="H46" s="14" t="str">
        <f t="shared" si="1"/>
        <v>http://sidigitalframework/constant/ComptonWavelength</v>
      </c>
      <c r="I46" s="15" t="str">
        <f t="shared" si="2"/>
        <v>ComptonWavelength</v>
      </c>
      <c r="J46" s="13">
        <f>countif(Concepts!A:A,I46)</f>
        <v>0</v>
      </c>
    </row>
    <row r="47">
      <c r="A47" s="16" t="s">
        <v>261</v>
      </c>
      <c r="F47" s="13">
        <f>countif(Constants!L:L,$A47)</f>
        <v>1</v>
      </c>
      <c r="G47" s="13">
        <f>countif(Constants!F:F,$A47)</f>
        <v>2</v>
      </c>
      <c r="H47" s="14" t="str">
        <f t="shared" si="1"/>
        <v>http://sidigitalframework/constant/ComptonWavelengthOver2Pi</v>
      </c>
      <c r="I47" s="15" t="str">
        <f t="shared" si="2"/>
        <v>ComptonWavelengthOver2Pi</v>
      </c>
      <c r="J47" s="13">
        <f>countif(Concepts!A:A,I47)</f>
        <v>0</v>
      </c>
    </row>
    <row r="48">
      <c r="A48" s="16" t="s">
        <v>262</v>
      </c>
      <c r="F48" s="13">
        <f>countif(Constants!L:L,$A48)</f>
        <v>1</v>
      </c>
      <c r="G48" s="13">
        <f>countif(Constants!F:F,$A48)</f>
        <v>1</v>
      </c>
      <c r="H48" s="14" t="str">
        <f t="shared" si="1"/>
        <v>http://sidigitalframework/constant/ConductanceQuantum</v>
      </c>
      <c r="I48" s="15" t="str">
        <f t="shared" si="2"/>
        <v>ConductanceQuantum</v>
      </c>
      <c r="J48" s="13">
        <f>countif(Concepts!A:A,I48)</f>
        <v>0</v>
      </c>
    </row>
    <row r="49">
      <c r="A49" s="16" t="s">
        <v>263</v>
      </c>
      <c r="F49" s="13">
        <f>countif(Constants!L:L,$A49)</f>
        <v>1</v>
      </c>
      <c r="G49" s="13">
        <f>countif(Constants!F:F,$A49)</f>
        <v>1</v>
      </c>
      <c r="H49" s="14" t="str">
        <f t="shared" si="1"/>
        <v>http://sidigitalframework/constant/ConventionalValueOfAmpere-90</v>
      </c>
      <c r="I49" s="15" t="str">
        <f t="shared" si="2"/>
        <v>ConventionalValueOfAmpere-90</v>
      </c>
      <c r="J49" s="13">
        <f>countif(Concepts!A:A,I49)</f>
        <v>0</v>
      </c>
    </row>
    <row r="50">
      <c r="A50" s="16" t="s">
        <v>264</v>
      </c>
      <c r="F50" s="13">
        <f>countif(Constants!L:L,$A50)</f>
        <v>1</v>
      </c>
      <c r="G50" s="13">
        <f>countif(Constants!F:F,$A50)</f>
        <v>1</v>
      </c>
      <c r="H50" s="14" t="str">
        <f t="shared" si="1"/>
        <v>http://sidigitalframework/constant/ConventionalValueOfCoulomb-90</v>
      </c>
      <c r="I50" s="15" t="str">
        <f t="shared" si="2"/>
        <v>ConventionalValueOfCoulomb-90</v>
      </c>
      <c r="J50" s="13">
        <f>countif(Concepts!A:A,I50)</f>
        <v>0</v>
      </c>
    </row>
    <row r="51">
      <c r="A51" s="16" t="s">
        <v>265</v>
      </c>
      <c r="F51" s="13">
        <f>countif(Constants!L:L,$A51)</f>
        <v>1</v>
      </c>
      <c r="G51" s="13">
        <f>countif(Constants!F:F,$A51)</f>
        <v>1</v>
      </c>
      <c r="H51" s="14" t="str">
        <f t="shared" si="1"/>
        <v>http://sidigitalframework/constant/ConventionalValueOfFarad-90</v>
      </c>
      <c r="I51" s="15" t="str">
        <f t="shared" si="2"/>
        <v>ConventionalValueOfFarad-90</v>
      </c>
      <c r="J51" s="13">
        <f>countif(Concepts!A:A,I51)</f>
        <v>0</v>
      </c>
    </row>
    <row r="52">
      <c r="A52" s="16" t="s">
        <v>266</v>
      </c>
      <c r="F52" s="13">
        <f>countif(Constants!L:L,$A52)</f>
        <v>1</v>
      </c>
      <c r="G52" s="13">
        <f>countif(Constants!F:F,$A52)</f>
        <v>1</v>
      </c>
      <c r="H52" s="14" t="str">
        <f t="shared" si="1"/>
        <v>http://sidigitalframework/constant/ConventionalValueOfHenry-90</v>
      </c>
      <c r="I52" s="15" t="str">
        <f t="shared" si="2"/>
        <v>ConventionalValueOfHenry-90</v>
      </c>
      <c r="J52" s="13">
        <f>countif(Concepts!A:A,I52)</f>
        <v>0</v>
      </c>
    </row>
    <row r="53">
      <c r="A53" s="16" t="s">
        <v>267</v>
      </c>
      <c r="F53" s="13">
        <f>countif(Constants!L:L,$A53)</f>
        <v>1</v>
      </c>
      <c r="G53" s="13">
        <f>countif(Constants!F:F,$A53)</f>
        <v>1</v>
      </c>
      <c r="H53" s="14" t="str">
        <f t="shared" si="1"/>
        <v>http://sidigitalframework/constant/ConventionalValueOfJosephsonConstant</v>
      </c>
      <c r="I53" s="15" t="str">
        <f t="shared" si="2"/>
        <v>ConventionalValueOfJosephsonConstant</v>
      </c>
      <c r="J53" s="13">
        <f>countif(Concepts!A:A,I53)</f>
        <v>0</v>
      </c>
    </row>
    <row r="54">
      <c r="A54" s="16" t="s">
        <v>268</v>
      </c>
      <c r="F54" s="13">
        <f>countif(Constants!L:L,$A54)</f>
        <v>1</v>
      </c>
      <c r="G54" s="13">
        <f>countif(Constants!F:F,$A54)</f>
        <v>1</v>
      </c>
      <c r="H54" s="14" t="str">
        <f t="shared" si="1"/>
        <v>http://sidigitalframework/constant/ConventionalValueOfOhm-90</v>
      </c>
      <c r="I54" s="15" t="str">
        <f t="shared" si="2"/>
        <v>ConventionalValueOfOhm-90</v>
      </c>
      <c r="J54" s="13">
        <f>countif(Concepts!A:A,I54)</f>
        <v>0</v>
      </c>
    </row>
    <row r="55">
      <c r="A55" s="16" t="s">
        <v>269</v>
      </c>
      <c r="F55" s="13">
        <f>countif(Constants!L:L,$A55)</f>
        <v>1</v>
      </c>
      <c r="G55" s="13">
        <f>countif(Constants!F:F,$A55)</f>
        <v>1</v>
      </c>
      <c r="H55" s="14" t="str">
        <f t="shared" si="1"/>
        <v>http://sidigitalframework/constant/ConventionalValueOfVolt-90</v>
      </c>
      <c r="I55" s="15" t="str">
        <f t="shared" si="2"/>
        <v>ConventionalValueOfVolt-90</v>
      </c>
      <c r="J55" s="13">
        <f>countif(Concepts!A:A,I55)</f>
        <v>0</v>
      </c>
    </row>
    <row r="56">
      <c r="A56" s="16" t="s">
        <v>270</v>
      </c>
      <c r="F56" s="13">
        <f>countif(Constants!L:L,$A56)</f>
        <v>1</v>
      </c>
      <c r="G56" s="13">
        <f>countif(Constants!F:F,$A56)</f>
        <v>1</v>
      </c>
      <c r="H56" s="14" t="str">
        <f t="shared" si="1"/>
        <v>http://sidigitalframework/constant/ConventionalValueOfVonKlitzingConstant</v>
      </c>
      <c r="I56" s="15" t="str">
        <f t="shared" si="2"/>
        <v>ConventionalValueOfVonKlitzingConstant</v>
      </c>
      <c r="J56" s="13">
        <f>countif(Concepts!A:A,I56)</f>
        <v>0</v>
      </c>
    </row>
    <row r="57">
      <c r="A57" s="16" t="s">
        <v>271</v>
      </c>
      <c r="F57" s="13">
        <f>countif(Constants!L:L,$A57)</f>
        <v>1</v>
      </c>
      <c r="G57" s="13">
        <f>countif(Constants!F:F,$A57)</f>
        <v>1</v>
      </c>
      <c r="H57" s="14" t="str">
        <f t="shared" si="1"/>
        <v>http://sidigitalframework/constant/ConventionalValueOfWatt-90</v>
      </c>
      <c r="I57" s="15" t="str">
        <f t="shared" si="2"/>
        <v>ConventionalValueOfWatt-90</v>
      </c>
      <c r="J57" s="13">
        <f>countif(Concepts!A:A,I57)</f>
        <v>0</v>
      </c>
    </row>
    <row r="58">
      <c r="A58" s="16" t="s">
        <v>272</v>
      </c>
      <c r="F58" s="13">
        <f>countif(Constants!L:L,$A58)</f>
        <v>1</v>
      </c>
      <c r="G58" s="13">
        <f>countif(Constants!F:F,$A58)</f>
        <v>1</v>
      </c>
      <c r="H58" s="14" t="str">
        <f t="shared" si="1"/>
        <v>http://sidigitalframework/constant/CuXUnit</v>
      </c>
      <c r="I58" s="15" t="str">
        <f t="shared" si="2"/>
        <v>CuXUnit</v>
      </c>
      <c r="J58" s="13">
        <f>countif(Concepts!A:A,I58)</f>
        <v>0</v>
      </c>
    </row>
    <row r="59">
      <c r="A59" s="16" t="s">
        <v>273</v>
      </c>
      <c r="F59" s="13">
        <f>countif(Constants!L:L,$A59)</f>
        <v>1</v>
      </c>
      <c r="G59" s="13">
        <f>countif(Constants!F:F,$A59)</f>
        <v>1</v>
      </c>
      <c r="H59" s="14" t="str">
        <f t="shared" si="1"/>
        <v>http://sidigitalframework/constant/DeuteronElectronMagneticMomentRatio</v>
      </c>
      <c r="I59" s="15" t="str">
        <f t="shared" si="2"/>
        <v>DeuteronElectronMagneticMomentRatio</v>
      </c>
      <c r="J59" s="13">
        <f>countif(Concepts!A:A,I59)</f>
        <v>0</v>
      </c>
    </row>
    <row r="60">
      <c r="A60" s="16" t="s">
        <v>274</v>
      </c>
      <c r="F60" s="13">
        <f>countif(Constants!L:L,$A60)</f>
        <v>1</v>
      </c>
      <c r="G60" s="13">
        <f>countif(Constants!F:F,$A60)</f>
        <v>1</v>
      </c>
      <c r="H60" s="14" t="str">
        <f t="shared" si="1"/>
        <v>http://sidigitalframework/constant/DeuteronElectronMassRatio</v>
      </c>
      <c r="I60" s="15" t="str">
        <f t="shared" si="2"/>
        <v>DeuteronElectronMassRatio</v>
      </c>
      <c r="J60" s="13">
        <f>countif(Concepts!A:A,I60)</f>
        <v>0</v>
      </c>
    </row>
    <row r="61">
      <c r="A61" s="16" t="s">
        <v>275</v>
      </c>
      <c r="F61" s="13">
        <f>countif(Constants!L:L,$A61)</f>
        <v>1</v>
      </c>
      <c r="G61" s="13">
        <f>countif(Constants!F:F,$A61)</f>
        <v>1</v>
      </c>
      <c r="H61" s="14" t="str">
        <f t="shared" si="1"/>
        <v>http://sidigitalframework/constant/DeuteronGFactor</v>
      </c>
      <c r="I61" s="15" t="str">
        <f t="shared" si="2"/>
        <v>DeuteronGFactor</v>
      </c>
      <c r="J61" s="13">
        <f>countif(Concepts!A:A,I61)</f>
        <v>0</v>
      </c>
    </row>
    <row r="62">
      <c r="A62" s="16" t="s">
        <v>276</v>
      </c>
      <c r="F62" s="13">
        <f>countif(Constants!L:L,$A62)</f>
        <v>1</v>
      </c>
      <c r="G62" s="13">
        <f>countif(Constants!F:F,$A62)</f>
        <v>1</v>
      </c>
      <c r="H62" s="14" t="str">
        <f t="shared" si="1"/>
        <v>http://sidigitalframework/constant/DeuteronMagneticMoment</v>
      </c>
      <c r="I62" s="15" t="str">
        <f t="shared" si="2"/>
        <v>DeuteronMagneticMoment</v>
      </c>
      <c r="J62" s="13">
        <f>countif(Concepts!A:A,I62)</f>
        <v>0</v>
      </c>
    </row>
    <row r="63">
      <c r="A63" s="16" t="s">
        <v>277</v>
      </c>
      <c r="F63" s="13">
        <f>countif(Constants!L:L,$A63)</f>
        <v>1</v>
      </c>
      <c r="G63" s="13">
        <f>countif(Constants!F:F,$A63)</f>
        <v>1</v>
      </c>
      <c r="H63" s="14" t="str">
        <f t="shared" si="1"/>
        <v>http://sidigitalframework/constant/DeuteronMagneticMomentToBohrMagnetonRatio</v>
      </c>
      <c r="I63" s="15" t="str">
        <f t="shared" si="2"/>
        <v>DeuteronMagneticMomentToBohrMagnetonRatio</v>
      </c>
      <c r="J63" s="13">
        <f>countif(Concepts!A:A,I63)</f>
        <v>0</v>
      </c>
    </row>
    <row r="64">
      <c r="A64" s="16" t="s">
        <v>278</v>
      </c>
      <c r="F64" s="13">
        <f>countif(Constants!L:L,$A64)</f>
        <v>1</v>
      </c>
      <c r="G64" s="13">
        <f>countif(Constants!F:F,$A64)</f>
        <v>1</v>
      </c>
      <c r="H64" s="14" t="str">
        <f t="shared" si="1"/>
        <v>http://sidigitalframework/constant/DeuteronMagneticMomentToNuclearMagnetonRatio</v>
      </c>
      <c r="I64" s="15" t="str">
        <f t="shared" si="2"/>
        <v>DeuteronMagneticMomentToNuclearMagnetonRatio</v>
      </c>
      <c r="J64" s="13">
        <f>countif(Concepts!A:A,I64)</f>
        <v>0</v>
      </c>
    </row>
    <row r="65">
      <c r="A65" s="16" t="s">
        <v>279</v>
      </c>
      <c r="F65" s="13">
        <f>countif(Constants!L:L,$A65)</f>
        <v>4</v>
      </c>
      <c r="G65" s="13">
        <f>countif(Constants!F:F,$A65)</f>
        <v>1</v>
      </c>
      <c r="H65" s="14" t="str">
        <f t="shared" si="1"/>
        <v>http://sidigitalframework/constant/DeuteronMass</v>
      </c>
      <c r="I65" s="15" t="str">
        <f t="shared" si="2"/>
        <v>DeuteronMass</v>
      </c>
      <c r="J65" s="13">
        <f>countif(Concepts!A:A,I65)</f>
        <v>0</v>
      </c>
    </row>
    <row r="66">
      <c r="A66" s="16" t="s">
        <v>280</v>
      </c>
      <c r="F66" s="13">
        <f>countif(Constants!L:L,$A66)</f>
        <v>1</v>
      </c>
      <c r="G66" s="13">
        <f>countif(Constants!F:F,$A66)</f>
        <v>1</v>
      </c>
      <c r="H66" s="14" t="str">
        <f t="shared" si="1"/>
        <v>http://sidigitalframework/constant/DeuteronMolarMass</v>
      </c>
      <c r="I66" s="15" t="str">
        <f t="shared" si="2"/>
        <v>DeuteronMolarMass</v>
      </c>
      <c r="J66" s="13">
        <f>countif(Concepts!A:A,I66)</f>
        <v>0</v>
      </c>
    </row>
    <row r="67">
      <c r="A67" s="16" t="s">
        <v>281</v>
      </c>
      <c r="F67" s="13">
        <f>countif(Constants!L:L,$A67)</f>
        <v>1</v>
      </c>
      <c r="G67" s="13">
        <f>countif(Constants!F:F,$A67)</f>
        <v>1</v>
      </c>
      <c r="H67" s="14" t="str">
        <f t="shared" si="1"/>
        <v>http://sidigitalframework/constant/DeuteronNeutronMagneticMomentRatio</v>
      </c>
      <c r="I67" s="15" t="str">
        <f t="shared" si="2"/>
        <v>DeuteronNeutronMagneticMomentRatio</v>
      </c>
      <c r="J67" s="13">
        <f>countif(Concepts!A:A,I67)</f>
        <v>0</v>
      </c>
    </row>
    <row r="68">
      <c r="A68" s="16" t="s">
        <v>282</v>
      </c>
      <c r="F68" s="13">
        <f>countif(Constants!L:L,$A68)</f>
        <v>1</v>
      </c>
      <c r="G68" s="13">
        <f>countif(Constants!F:F,$A68)</f>
        <v>1</v>
      </c>
      <c r="H68" s="14" t="str">
        <f t="shared" si="1"/>
        <v>http://sidigitalframework/constant/DeuteronProtonMagneticMomentRatio</v>
      </c>
      <c r="I68" s="15" t="str">
        <f t="shared" si="2"/>
        <v>DeuteronProtonMagneticMomentRatio</v>
      </c>
      <c r="J68" s="13">
        <f>countif(Concepts!A:A,I68)</f>
        <v>0</v>
      </c>
    </row>
    <row r="69">
      <c r="A69" s="16" t="s">
        <v>283</v>
      </c>
      <c r="F69" s="13">
        <f>countif(Constants!L:L,$A69)</f>
        <v>1</v>
      </c>
      <c r="G69" s="13">
        <f>countif(Constants!F:F,$A69)</f>
        <v>1</v>
      </c>
      <c r="H69" s="14" t="str">
        <f t="shared" si="1"/>
        <v>http://sidigitalframework/constant/DeuteronProtonMassRatio</v>
      </c>
      <c r="I69" s="15" t="str">
        <f t="shared" si="2"/>
        <v>DeuteronProtonMassRatio</v>
      </c>
      <c r="J69" s="13">
        <f>countif(Concepts!A:A,I69)</f>
        <v>0</v>
      </c>
    </row>
    <row r="70">
      <c r="A70" s="16" t="s">
        <v>284</v>
      </c>
      <c r="F70" s="13">
        <f>countif(Constants!L:L,$A70)</f>
        <v>1</v>
      </c>
      <c r="G70" s="13">
        <f>countif(Constants!F:F,$A70)</f>
        <v>1</v>
      </c>
      <c r="H70" s="14" t="str">
        <f t="shared" si="1"/>
        <v>http://sidigitalframework/constant/DeuteronRelativeAtomicMass</v>
      </c>
      <c r="I70" s="15" t="str">
        <f t="shared" si="2"/>
        <v>DeuteronRelativeAtomicMass</v>
      </c>
      <c r="J70" s="13">
        <f>countif(Concepts!A:A,I70)</f>
        <v>0</v>
      </c>
    </row>
    <row r="71">
      <c r="A71" s="16" t="s">
        <v>285</v>
      </c>
      <c r="F71" s="13">
        <f>countif(Constants!L:L,$A71)</f>
        <v>1</v>
      </c>
      <c r="G71" s="13">
        <f>countif(Constants!F:F,$A71)</f>
        <v>1</v>
      </c>
      <c r="H71" s="14" t="str">
        <f t="shared" si="1"/>
        <v>http://sidigitalframework/constant/DeuteronRmsChargeRadius</v>
      </c>
      <c r="I71" s="15" t="str">
        <f t="shared" si="2"/>
        <v>DeuteronRmsChargeRadius</v>
      </c>
      <c r="J71" s="13">
        <f>countif(Concepts!A:A,I71)</f>
        <v>0</v>
      </c>
    </row>
    <row r="72">
      <c r="A72" s="16" t="s">
        <v>286</v>
      </c>
      <c r="F72" s="13">
        <f>countif(Constants!L:L,$A72)</f>
        <v>1</v>
      </c>
      <c r="G72" s="13">
        <f>countif(Constants!F:F,$A72)</f>
        <v>1</v>
      </c>
      <c r="H72" s="14" t="str">
        <f t="shared" si="1"/>
        <v>http://sidigitalframework/constant/ElectricConstant</v>
      </c>
      <c r="I72" s="15" t="str">
        <f t="shared" si="2"/>
        <v>ElectricConstant</v>
      </c>
      <c r="J72" s="13">
        <f>countif(Concepts!A:A,I72)</f>
        <v>0</v>
      </c>
    </row>
    <row r="73">
      <c r="A73" s="16" t="s">
        <v>287</v>
      </c>
      <c r="F73" s="13">
        <f>countif(Constants!L:L,$A73)</f>
        <v>1</v>
      </c>
      <c r="G73" s="13">
        <f>countif(Constants!F:F,$A73)</f>
        <v>1</v>
      </c>
      <c r="H73" s="14" t="str">
        <f t="shared" si="1"/>
        <v>http://sidigitalframework/constant/ElectronChargeToMassQuotient</v>
      </c>
      <c r="I73" s="15" t="str">
        <f t="shared" si="2"/>
        <v>ElectronChargeToMassQuotient</v>
      </c>
      <c r="J73" s="13">
        <f>countif(Concepts!A:A,I73)</f>
        <v>0</v>
      </c>
    </row>
    <row r="74">
      <c r="A74" s="16" t="s">
        <v>288</v>
      </c>
      <c r="F74" s="13">
        <f>countif(Constants!L:L,$A74)</f>
        <v>1</v>
      </c>
      <c r="G74" s="13">
        <f>countif(Constants!F:F,$A74)</f>
        <v>1</v>
      </c>
      <c r="H74" s="14" t="str">
        <f t="shared" si="1"/>
        <v>http://sidigitalframework/constant/ElectronDeuteronMagneticMomentRatio</v>
      </c>
      <c r="I74" s="15" t="str">
        <f t="shared" si="2"/>
        <v>ElectronDeuteronMagneticMomentRatio</v>
      </c>
      <c r="J74" s="13">
        <f>countif(Concepts!A:A,I74)</f>
        <v>0</v>
      </c>
    </row>
    <row r="75">
      <c r="A75" s="16" t="s">
        <v>289</v>
      </c>
      <c r="F75" s="13">
        <f>countif(Constants!L:L,$A75)</f>
        <v>1</v>
      </c>
      <c r="G75" s="13">
        <f>countif(Constants!F:F,$A75)</f>
        <v>1</v>
      </c>
      <c r="H75" s="14" t="str">
        <f t="shared" si="1"/>
        <v>http://sidigitalframework/constant/ElectronDeuteronMassRatio</v>
      </c>
      <c r="I75" s="15" t="str">
        <f t="shared" si="2"/>
        <v>ElectronDeuteronMassRatio</v>
      </c>
      <c r="J75" s="13">
        <f>countif(Concepts!A:A,I75)</f>
        <v>0</v>
      </c>
    </row>
    <row r="76">
      <c r="A76" s="16" t="s">
        <v>290</v>
      </c>
      <c r="F76" s="13">
        <f>countif(Constants!L:L,$A76)</f>
        <v>1</v>
      </c>
      <c r="G76" s="13">
        <f>countif(Constants!F:F,$A76)</f>
        <v>1</v>
      </c>
      <c r="H76" s="14" t="str">
        <f t="shared" si="1"/>
        <v>http://sidigitalframework/constant/ElectronGFactor</v>
      </c>
      <c r="I76" s="15" t="str">
        <f t="shared" si="2"/>
        <v>ElectronGFactor</v>
      </c>
      <c r="J76" s="13">
        <f>countif(Concepts!A:A,I76)</f>
        <v>0</v>
      </c>
    </row>
    <row r="77">
      <c r="A77" s="16" t="s">
        <v>291</v>
      </c>
      <c r="F77" s="13">
        <f>countif(Constants!L:L,$A77)</f>
        <v>2</v>
      </c>
      <c r="G77" s="13">
        <f>countif(Constants!F:F,$A77)</f>
        <v>1</v>
      </c>
      <c r="H77" s="14" t="str">
        <f t="shared" si="1"/>
        <v>http://sidigitalframework/constant/ElectronGyromagneticRatio</v>
      </c>
      <c r="I77" s="15" t="str">
        <f t="shared" si="2"/>
        <v>ElectronGyromagneticRatio</v>
      </c>
      <c r="J77" s="13">
        <f>countif(Concepts!A:A,I77)</f>
        <v>0</v>
      </c>
    </row>
    <row r="78">
      <c r="A78" s="12" t="s">
        <v>292</v>
      </c>
      <c r="F78" s="13">
        <f>countif(Constants!L:L,$A78)</f>
        <v>1</v>
      </c>
      <c r="G78" s="13">
        <f>countif(Constants!F:F,$A78)</f>
        <v>0</v>
      </c>
      <c r="H78" s="14" t="str">
        <f t="shared" si="1"/>
        <v>http://sidigitalframework/constant/ElectronHelionMassRatio</v>
      </c>
      <c r="I78" s="15" t="str">
        <f t="shared" si="2"/>
        <v>ElectronHelionMassRatio</v>
      </c>
      <c r="J78" s="13">
        <f>countif(Concepts!A:A,I78)</f>
        <v>0</v>
      </c>
    </row>
    <row r="79">
      <c r="A79" s="16" t="s">
        <v>293</v>
      </c>
      <c r="F79" s="13">
        <f>countif(Constants!L:L,$A79)</f>
        <v>1</v>
      </c>
      <c r="G79" s="13">
        <f>countif(Constants!F:F,$A79)</f>
        <v>1</v>
      </c>
      <c r="H79" s="14" t="str">
        <f t="shared" si="1"/>
        <v>http://sidigitalframework/constant/ElectronMagneticMoment</v>
      </c>
      <c r="I79" s="15" t="str">
        <f t="shared" si="2"/>
        <v>ElectronMagneticMoment</v>
      </c>
      <c r="J79" s="13">
        <f>countif(Concepts!A:A,I79)</f>
        <v>0</v>
      </c>
    </row>
    <row r="80">
      <c r="A80" s="16" t="s">
        <v>294</v>
      </c>
      <c r="F80" s="13">
        <f>countif(Constants!L:L,$A80)</f>
        <v>1</v>
      </c>
      <c r="G80" s="13">
        <f>countif(Constants!F:F,$A80)</f>
        <v>1</v>
      </c>
      <c r="H80" s="14" t="str">
        <f t="shared" si="1"/>
        <v>http://sidigitalframework/constant/ElectronMagneticMomentAnomaly</v>
      </c>
      <c r="I80" s="15" t="str">
        <f t="shared" si="2"/>
        <v>ElectronMagneticMomentAnomaly</v>
      </c>
      <c r="J80" s="13">
        <f>countif(Concepts!A:A,I80)</f>
        <v>0</v>
      </c>
    </row>
    <row r="81">
      <c r="A81" s="16" t="s">
        <v>295</v>
      </c>
      <c r="F81" s="13">
        <f>countif(Constants!L:L,$A81)</f>
        <v>1</v>
      </c>
      <c r="G81" s="13">
        <f>countif(Constants!F:F,$A81)</f>
        <v>1</v>
      </c>
      <c r="H81" s="14" t="str">
        <f t="shared" si="1"/>
        <v>http://sidigitalframework/constant/ElectronMagneticMomentToBohrMagnetonRatio</v>
      </c>
      <c r="I81" s="15" t="str">
        <f t="shared" si="2"/>
        <v>ElectronMagneticMomentToBohrMagnetonRatio</v>
      </c>
      <c r="J81" s="13">
        <f>countif(Concepts!A:A,I81)</f>
        <v>0</v>
      </c>
    </row>
    <row r="82">
      <c r="A82" s="16" t="s">
        <v>296</v>
      </c>
      <c r="F82" s="13">
        <f>countif(Constants!L:L,$A82)</f>
        <v>1</v>
      </c>
      <c r="G82" s="13">
        <f>countif(Constants!F:F,$A82)</f>
        <v>1</v>
      </c>
      <c r="H82" s="14" t="str">
        <f t="shared" si="1"/>
        <v>http://sidigitalframework/constant/ElectronMagneticMomentToNuclearMagnetonRatio</v>
      </c>
      <c r="I82" s="15" t="str">
        <f t="shared" si="2"/>
        <v>ElectronMagneticMomentToNuclearMagnetonRatio</v>
      </c>
      <c r="J82" s="13">
        <f>countif(Concepts!A:A,I82)</f>
        <v>0</v>
      </c>
    </row>
    <row r="83">
      <c r="A83" s="16" t="s">
        <v>167</v>
      </c>
      <c r="F83" s="13">
        <f>countif(Constants!L:L,$A83)</f>
        <v>4</v>
      </c>
      <c r="G83" s="13">
        <f>countif(Constants!F:F,$A83)</f>
        <v>1</v>
      </c>
      <c r="H83" s="14" t="str">
        <f t="shared" si="1"/>
        <v>http://sidigitalframework/constant/ElectronMass</v>
      </c>
      <c r="I83" s="15" t="str">
        <f t="shared" si="2"/>
        <v>ElectronMass</v>
      </c>
      <c r="J83" s="13">
        <f>countif(Concepts!A:A,I83)</f>
        <v>1</v>
      </c>
    </row>
    <row r="84">
      <c r="A84" s="16" t="s">
        <v>297</v>
      </c>
      <c r="F84" s="13">
        <f>countif(Constants!L:L,$A84)</f>
        <v>1</v>
      </c>
      <c r="G84" s="13">
        <f>countif(Constants!F:F,$A84)</f>
        <v>1</v>
      </c>
      <c r="H84" s="14" t="str">
        <f t="shared" si="1"/>
        <v>http://sidigitalframework/constant/ElectronMolarMass</v>
      </c>
      <c r="I84" s="15" t="str">
        <f t="shared" si="2"/>
        <v>ElectronMolarMass</v>
      </c>
      <c r="J84" s="13">
        <f>countif(Concepts!A:A,I84)</f>
        <v>0</v>
      </c>
    </row>
    <row r="85">
      <c r="A85" s="16" t="s">
        <v>298</v>
      </c>
      <c r="F85" s="13">
        <f>countif(Constants!L:L,$A85)</f>
        <v>1</v>
      </c>
      <c r="G85" s="13">
        <f>countif(Constants!F:F,$A85)</f>
        <v>1</v>
      </c>
      <c r="H85" s="14" t="str">
        <f t="shared" si="1"/>
        <v>http://sidigitalframework/constant/ElectronMuonMagneticMomentRatio</v>
      </c>
      <c r="I85" s="15" t="str">
        <f t="shared" si="2"/>
        <v>ElectronMuonMagneticMomentRatio</v>
      </c>
      <c r="J85" s="13">
        <f>countif(Concepts!A:A,I85)</f>
        <v>0</v>
      </c>
    </row>
    <row r="86">
      <c r="A86" s="16" t="s">
        <v>299</v>
      </c>
      <c r="F86" s="13">
        <f>countif(Constants!L:L,$A86)</f>
        <v>1</v>
      </c>
      <c r="G86" s="13">
        <f>countif(Constants!F:F,$A86)</f>
        <v>1</v>
      </c>
      <c r="H86" s="14" t="str">
        <f t="shared" si="1"/>
        <v>http://sidigitalframework/constant/ElectronMuonMassRatio</v>
      </c>
      <c r="I86" s="15" t="str">
        <f t="shared" si="2"/>
        <v>ElectronMuonMassRatio</v>
      </c>
      <c r="J86" s="13">
        <f>countif(Concepts!A:A,I86)</f>
        <v>0</v>
      </c>
    </row>
    <row r="87">
      <c r="A87" s="16" t="s">
        <v>300</v>
      </c>
      <c r="F87" s="13">
        <f>countif(Constants!L:L,$A87)</f>
        <v>1</v>
      </c>
      <c r="G87" s="13">
        <f>countif(Constants!F:F,$A87)</f>
        <v>1</v>
      </c>
      <c r="H87" s="14" t="str">
        <f t="shared" si="1"/>
        <v>http://sidigitalframework/constant/ElectronNeutronMagneticMomentRatio</v>
      </c>
      <c r="I87" s="15" t="str">
        <f t="shared" si="2"/>
        <v>ElectronNeutronMagneticMomentRatio</v>
      </c>
      <c r="J87" s="13">
        <f>countif(Concepts!A:A,I87)</f>
        <v>0</v>
      </c>
    </row>
    <row r="88">
      <c r="A88" s="16" t="s">
        <v>301</v>
      </c>
      <c r="F88" s="13">
        <f>countif(Constants!L:L,$A88)</f>
        <v>1</v>
      </c>
      <c r="G88" s="13">
        <f>countif(Constants!F:F,$A88)</f>
        <v>1</v>
      </c>
      <c r="H88" s="14" t="str">
        <f t="shared" si="1"/>
        <v>http://sidigitalframework/constant/ElectronNeutronMassRatio</v>
      </c>
      <c r="I88" s="15" t="str">
        <f t="shared" si="2"/>
        <v>ElectronNeutronMassRatio</v>
      </c>
      <c r="J88" s="13">
        <f>countif(Concepts!A:A,I88)</f>
        <v>0</v>
      </c>
    </row>
    <row r="89">
      <c r="A89" s="16" t="s">
        <v>302</v>
      </c>
      <c r="F89" s="13">
        <f>countif(Constants!L:L,$A89)</f>
        <v>1</v>
      </c>
      <c r="G89" s="13">
        <f>countif(Constants!F:F,$A89)</f>
        <v>1</v>
      </c>
      <c r="H89" s="14" t="str">
        <f t="shared" si="1"/>
        <v>http://sidigitalframework/constant/ElectronProtonMagneticMomentRatio</v>
      </c>
      <c r="I89" s="15" t="str">
        <f t="shared" si="2"/>
        <v>ElectronProtonMagneticMomentRatio</v>
      </c>
      <c r="J89" s="13">
        <f>countif(Concepts!A:A,I89)</f>
        <v>0</v>
      </c>
    </row>
    <row r="90">
      <c r="A90" s="16" t="s">
        <v>303</v>
      </c>
      <c r="F90" s="13">
        <f>countif(Constants!L:L,$A90)</f>
        <v>1</v>
      </c>
      <c r="G90" s="13">
        <f>countif(Constants!F:F,$A90)</f>
        <v>1</v>
      </c>
      <c r="H90" s="14" t="str">
        <f t="shared" si="1"/>
        <v>http://sidigitalframework/constant/ElectronProtonMassRatio</v>
      </c>
      <c r="I90" s="15" t="str">
        <f t="shared" si="2"/>
        <v>ElectronProtonMassRatio</v>
      </c>
      <c r="J90" s="13">
        <f>countif(Concepts!A:A,I90)</f>
        <v>0</v>
      </c>
    </row>
    <row r="91">
      <c r="A91" s="16" t="s">
        <v>304</v>
      </c>
      <c r="F91" s="13">
        <f>countif(Constants!L:L,$A91)</f>
        <v>1</v>
      </c>
      <c r="G91" s="13">
        <f>countif(Constants!F:F,$A91)</f>
        <v>1</v>
      </c>
      <c r="H91" s="14" t="str">
        <f t="shared" si="1"/>
        <v>http://sidigitalframework/constant/ElectronRelativeAtomicMass</v>
      </c>
      <c r="I91" s="15" t="str">
        <f t="shared" si="2"/>
        <v>ElectronRelativeAtomicMass</v>
      </c>
      <c r="J91" s="13">
        <f>countif(Concepts!A:A,I91)</f>
        <v>0</v>
      </c>
    </row>
    <row r="92">
      <c r="A92" s="16" t="s">
        <v>305</v>
      </c>
      <c r="F92" s="13">
        <f>countif(Constants!L:L,$A92)</f>
        <v>1</v>
      </c>
      <c r="G92" s="13">
        <f>countif(Constants!F:F,$A92)</f>
        <v>1</v>
      </c>
      <c r="H92" s="14" t="str">
        <f t="shared" si="1"/>
        <v>http://sidigitalframework/constant/ElectronTauMassRatio</v>
      </c>
      <c r="I92" s="15" t="str">
        <f t="shared" si="2"/>
        <v>ElectronTauMassRatio</v>
      </c>
      <c r="J92" s="13">
        <f>countif(Concepts!A:A,I92)</f>
        <v>0</v>
      </c>
    </row>
    <row r="93">
      <c r="A93" s="16" t="s">
        <v>306</v>
      </c>
      <c r="F93" s="13">
        <f>countif(Constants!L:L,$A93)</f>
        <v>1</v>
      </c>
      <c r="G93" s="13">
        <f>countif(Constants!F:F,$A93)</f>
        <v>1</v>
      </c>
      <c r="H93" s="14" t="str">
        <f t="shared" si="1"/>
        <v>http://sidigitalframework/constant/ElectronToAlphaParticleMassRatio</v>
      </c>
      <c r="I93" s="15" t="str">
        <f t="shared" si="2"/>
        <v>ElectronToAlphaParticleMassRatio</v>
      </c>
      <c r="J93" s="13">
        <f>countif(Concepts!A:A,I93)</f>
        <v>0</v>
      </c>
    </row>
    <row r="94">
      <c r="A94" s="16" t="s">
        <v>307</v>
      </c>
      <c r="F94" s="13">
        <f>countif(Constants!L:L,$A94)</f>
        <v>1</v>
      </c>
      <c r="G94" s="13">
        <f>countif(Constants!F:F,$A94)</f>
        <v>1</v>
      </c>
      <c r="H94" s="14" t="str">
        <f t="shared" si="1"/>
        <v>http://sidigitalframework/constant/ElectronToShieldedHelionMagneticMomentRatio</v>
      </c>
      <c r="I94" s="15" t="str">
        <f t="shared" si="2"/>
        <v>ElectronToShieldedHelionMagneticMomentRatio</v>
      </c>
      <c r="J94" s="13">
        <f>countif(Concepts!A:A,I94)</f>
        <v>0</v>
      </c>
    </row>
    <row r="95">
      <c r="A95" s="16" t="s">
        <v>308</v>
      </c>
      <c r="F95" s="13">
        <f>countif(Constants!L:L,$A95)</f>
        <v>1</v>
      </c>
      <c r="G95" s="13">
        <f>countif(Constants!F:F,$A95)</f>
        <v>1</v>
      </c>
      <c r="H95" s="14" t="str">
        <f t="shared" si="1"/>
        <v>http://sidigitalframework/constant/ElectronToShieldedProtonMagneticMomentRatio</v>
      </c>
      <c r="I95" s="15" t="str">
        <f t="shared" si="2"/>
        <v>ElectronToShieldedProtonMagneticMomentRatio</v>
      </c>
      <c r="J95" s="13">
        <f>countif(Concepts!A:A,I95)</f>
        <v>0</v>
      </c>
    </row>
    <row r="96">
      <c r="A96" s="16" t="s">
        <v>309</v>
      </c>
      <c r="F96" s="13">
        <f>countif(Constants!L:L,$A96)</f>
        <v>1</v>
      </c>
      <c r="G96" s="13">
        <f>countif(Constants!F:F,$A96)</f>
        <v>1</v>
      </c>
      <c r="H96" s="14" t="str">
        <f t="shared" si="1"/>
        <v>http://sidigitalframework/constant/Electron-TritonMassRatio</v>
      </c>
      <c r="I96" s="15" t="str">
        <f t="shared" si="2"/>
        <v>Electron-TritonMassRatio</v>
      </c>
      <c r="J96" s="13">
        <f>countif(Concepts!A:A,I96)</f>
        <v>0</v>
      </c>
    </row>
    <row r="97">
      <c r="A97" s="16" t="s">
        <v>47</v>
      </c>
      <c r="F97" s="13">
        <f>countif(Constants!L:L,$A97)</f>
        <v>1</v>
      </c>
      <c r="G97" s="13">
        <f>countif(Constants!F:F,$A97)</f>
        <v>1</v>
      </c>
      <c r="H97" s="14" t="str">
        <f t="shared" si="1"/>
        <v>http://sidigitalframework/constant/ElectronVolt</v>
      </c>
      <c r="I97" s="15" t="str">
        <f t="shared" si="2"/>
        <v>ElectronVolt</v>
      </c>
      <c r="J97" s="13">
        <f>countif(Concepts!A:A,I97)</f>
        <v>0</v>
      </c>
    </row>
    <row r="98">
      <c r="A98" s="16" t="s">
        <v>310</v>
      </c>
      <c r="F98" s="13">
        <f>countif(Constants!L:L,$A98)</f>
        <v>1</v>
      </c>
      <c r="G98" s="13">
        <f>countif(Constants!F:F,$A98)</f>
        <v>1</v>
      </c>
      <c r="H98" s="14" t="str">
        <f t="shared" si="1"/>
        <v>http://sidigitalframework/constant/ElectronVoltAtomicMassUnitRelationship</v>
      </c>
      <c r="I98" s="15" t="str">
        <f t="shared" si="2"/>
        <v>ElectronVoltAtomicMassUnitRelationship</v>
      </c>
      <c r="J98" s="13">
        <f>countif(Concepts!A:A,I98)</f>
        <v>0</v>
      </c>
    </row>
    <row r="99">
      <c r="A99" s="16" t="s">
        <v>311</v>
      </c>
      <c r="F99" s="13">
        <f>countif(Constants!L:L,$A99)</f>
        <v>1</v>
      </c>
      <c r="G99" s="13">
        <f>countif(Constants!F:F,$A99)</f>
        <v>1</v>
      </c>
      <c r="H99" s="14" t="str">
        <f t="shared" si="1"/>
        <v>http://sidigitalframework/constant/ElectronVoltHartreeRelationship</v>
      </c>
      <c r="I99" s="15" t="str">
        <f t="shared" si="2"/>
        <v>ElectronVoltHartreeRelationship</v>
      </c>
      <c r="J99" s="13">
        <f>countif(Concepts!A:A,I99)</f>
        <v>0</v>
      </c>
    </row>
    <row r="100">
      <c r="A100" s="16" t="s">
        <v>312</v>
      </c>
      <c r="F100" s="13">
        <f>countif(Constants!L:L,$A100)</f>
        <v>1</v>
      </c>
      <c r="G100" s="13">
        <f>countif(Constants!F:F,$A100)</f>
        <v>1</v>
      </c>
      <c r="H100" s="14" t="str">
        <f t="shared" si="1"/>
        <v>http://sidigitalframework/constant/ElectronVoltHertzRelationship</v>
      </c>
      <c r="I100" s="15" t="str">
        <f t="shared" si="2"/>
        <v>ElectronVoltHertzRelationship</v>
      </c>
      <c r="J100" s="13">
        <f>countif(Concepts!A:A,I100)</f>
        <v>0</v>
      </c>
    </row>
    <row r="101">
      <c r="A101" s="16" t="s">
        <v>313</v>
      </c>
      <c r="F101" s="13">
        <f>countif(Constants!L:L,$A101)</f>
        <v>1</v>
      </c>
      <c r="G101" s="13">
        <f>countif(Constants!F:F,$A101)</f>
        <v>1</v>
      </c>
      <c r="H101" s="14" t="str">
        <f t="shared" si="1"/>
        <v>http://sidigitalframework/constant/ElectronVoltInverseMeterRelationship</v>
      </c>
      <c r="I101" s="15" t="str">
        <f t="shared" si="2"/>
        <v>ElectronVoltInverseMeterRelationship</v>
      </c>
      <c r="J101" s="13">
        <f>countif(Concepts!A:A,I101)</f>
        <v>0</v>
      </c>
    </row>
    <row r="102">
      <c r="A102" s="16" t="s">
        <v>314</v>
      </c>
      <c r="F102" s="13">
        <f>countif(Constants!L:L,$A102)</f>
        <v>1</v>
      </c>
      <c r="G102" s="13">
        <f>countif(Constants!F:F,$A102)</f>
        <v>1</v>
      </c>
      <c r="H102" s="14" t="str">
        <f t="shared" si="1"/>
        <v>http://sidigitalframework/constant/ElectronVoltJouleRelationship</v>
      </c>
      <c r="I102" s="15" t="str">
        <f t="shared" si="2"/>
        <v>ElectronVoltJouleRelationship</v>
      </c>
      <c r="J102" s="13">
        <f>countif(Concepts!A:A,I102)</f>
        <v>0</v>
      </c>
    </row>
    <row r="103">
      <c r="A103" s="16" t="s">
        <v>315</v>
      </c>
      <c r="F103" s="13">
        <f>countif(Constants!L:L,$A103)</f>
        <v>1</v>
      </c>
      <c r="G103" s="13">
        <f>countif(Constants!F:F,$A103)</f>
        <v>1</v>
      </c>
      <c r="H103" s="14" t="str">
        <f t="shared" si="1"/>
        <v>http://sidigitalframework/constant/ElectronVoltKelvinRelationship</v>
      </c>
      <c r="I103" s="15" t="str">
        <f t="shared" si="2"/>
        <v>ElectronVoltKelvinRelationship</v>
      </c>
      <c r="J103" s="13">
        <f>countif(Concepts!A:A,I103)</f>
        <v>0</v>
      </c>
    </row>
    <row r="104">
      <c r="A104" s="16" t="s">
        <v>316</v>
      </c>
      <c r="F104" s="13">
        <f>countif(Constants!L:L,$A104)</f>
        <v>1</v>
      </c>
      <c r="G104" s="13">
        <f>countif(Constants!F:F,$A104)</f>
        <v>1</v>
      </c>
      <c r="H104" s="14" t="str">
        <f t="shared" si="1"/>
        <v>http://sidigitalframework/constant/ElectronVoltKilogramRelationship</v>
      </c>
      <c r="I104" s="15" t="str">
        <f t="shared" si="2"/>
        <v>ElectronVoltKilogramRelationship</v>
      </c>
      <c r="J104" s="13">
        <f>countif(Concepts!A:A,I104)</f>
        <v>0</v>
      </c>
    </row>
    <row r="105">
      <c r="A105" s="16" t="s">
        <v>170</v>
      </c>
      <c r="F105" s="13">
        <f>countif(Constants!L:L,$A105)</f>
        <v>1</v>
      </c>
      <c r="G105" s="13">
        <f>countif(Constants!F:F,$A105)</f>
        <v>1</v>
      </c>
      <c r="H105" s="14" t="str">
        <f t="shared" si="1"/>
        <v>http://sidigitalframework/constant/ElementaryCharge</v>
      </c>
      <c r="I105" s="15" t="str">
        <f t="shared" si="2"/>
        <v>ElementaryCharge</v>
      </c>
      <c r="J105" s="13">
        <f>countif(Concepts!A:A,I105)</f>
        <v>1</v>
      </c>
    </row>
    <row r="106">
      <c r="A106" s="16" t="s">
        <v>317</v>
      </c>
      <c r="F106" s="13">
        <f>countif(Constants!L:L,$A106)</f>
        <v>1</v>
      </c>
      <c r="G106" s="13">
        <f>countif(Constants!F:F,$A106)</f>
        <v>1</v>
      </c>
      <c r="H106" s="14" t="str">
        <f t="shared" si="1"/>
        <v>http://sidigitalframework/constant/ElementaryChargeOverH</v>
      </c>
      <c r="I106" s="15" t="str">
        <f t="shared" si="2"/>
        <v>ElementaryChargeOverH</v>
      </c>
      <c r="J106" s="13">
        <f>countif(Concepts!A:A,I106)</f>
        <v>0</v>
      </c>
    </row>
    <row r="107">
      <c r="A107" s="16" t="s">
        <v>318</v>
      </c>
      <c r="F107" s="13">
        <f>countif(Constants!L:L,$A107)</f>
        <v>2</v>
      </c>
      <c r="G107" s="13">
        <f>countif(Constants!F:F,$A107)</f>
        <v>1</v>
      </c>
      <c r="H107" s="14" t="str">
        <f t="shared" si="1"/>
        <v>http://sidigitalframework/constant/FaradayConstant</v>
      </c>
      <c r="I107" s="15" t="str">
        <f t="shared" si="2"/>
        <v>FaradayConstant</v>
      </c>
      <c r="J107" s="13">
        <f>countif(Concepts!A:A,I107)</f>
        <v>0</v>
      </c>
    </row>
    <row r="108">
      <c r="A108" s="16" t="s">
        <v>319</v>
      </c>
      <c r="F108" s="13">
        <f>countif(Constants!L:L,$A108)</f>
        <v>1</v>
      </c>
      <c r="G108" s="13">
        <f>countif(Constants!F:F,$A108)</f>
        <v>1</v>
      </c>
      <c r="H108" s="14" t="str">
        <f t="shared" si="1"/>
        <v>http://sidigitalframework/constant/FermiCouplingConstant</v>
      </c>
      <c r="I108" s="15" t="str">
        <f t="shared" si="2"/>
        <v>FermiCouplingConstant</v>
      </c>
      <c r="J108" s="13">
        <f>countif(Concepts!A:A,I108)</f>
        <v>0</v>
      </c>
    </row>
    <row r="109">
      <c r="A109" s="16" t="s">
        <v>320</v>
      </c>
      <c r="F109" s="13">
        <f>countif(Constants!L:L,$A109)</f>
        <v>1</v>
      </c>
      <c r="G109" s="13">
        <f>countif(Constants!F:F,$A109)</f>
        <v>1</v>
      </c>
      <c r="H109" s="14" t="str">
        <f t="shared" si="1"/>
        <v>http://sidigitalframework/constant/FineStructureConstant</v>
      </c>
      <c r="I109" s="15" t="str">
        <f t="shared" si="2"/>
        <v>FineStructureConstant</v>
      </c>
      <c r="J109" s="13">
        <f>countif(Concepts!A:A,I109)</f>
        <v>0</v>
      </c>
    </row>
    <row r="110">
      <c r="A110" s="16" t="s">
        <v>321</v>
      </c>
      <c r="F110" s="13">
        <f>countif(Constants!L:L,$A110)</f>
        <v>1</v>
      </c>
      <c r="G110" s="13">
        <f>countif(Constants!F:F,$A110)</f>
        <v>1</v>
      </c>
      <c r="H110" s="14" t="str">
        <f t="shared" si="1"/>
        <v>http://sidigitalframework/constant/FirstRadiationConstant</v>
      </c>
      <c r="I110" s="15" t="str">
        <f t="shared" si="2"/>
        <v>FirstRadiationConstant</v>
      </c>
      <c r="J110" s="13">
        <f>countif(Concepts!A:A,I110)</f>
        <v>0</v>
      </c>
    </row>
    <row r="111">
      <c r="A111" s="16" t="s">
        <v>322</v>
      </c>
      <c r="F111" s="13">
        <f>countif(Constants!L:L,$A111)</f>
        <v>1</v>
      </c>
      <c r="G111" s="13">
        <f>countif(Constants!F:F,$A111)</f>
        <v>1</v>
      </c>
      <c r="H111" s="14" t="str">
        <f t="shared" si="1"/>
        <v>http://sidigitalframework/constant/FirstRadiationConstantForSpectralRadiance</v>
      </c>
      <c r="I111" s="15" t="str">
        <f t="shared" si="2"/>
        <v>FirstRadiationConstantForSpectralRadiance</v>
      </c>
      <c r="J111" s="13">
        <f>countif(Concepts!A:A,I111)</f>
        <v>0</v>
      </c>
    </row>
    <row r="112">
      <c r="A112" s="16" t="s">
        <v>323</v>
      </c>
      <c r="F112" s="13">
        <f>countif(Constants!L:L,$A112)</f>
        <v>1</v>
      </c>
      <c r="G112" s="13">
        <f>countif(Constants!F:F,$A112)</f>
        <v>1</v>
      </c>
      <c r="H112" s="14" t="str">
        <f t="shared" si="1"/>
        <v>http://sidigitalframework/constant/HartreeAtomicMassUnitRelationship</v>
      </c>
      <c r="I112" s="15" t="str">
        <f t="shared" si="2"/>
        <v>HartreeAtomicMassUnitRelationship</v>
      </c>
      <c r="J112" s="13">
        <f>countif(Concepts!A:A,I112)</f>
        <v>0</v>
      </c>
    </row>
    <row r="113">
      <c r="A113" s="16" t="s">
        <v>324</v>
      </c>
      <c r="F113" s="13">
        <f>countif(Constants!L:L,$A113)</f>
        <v>1</v>
      </c>
      <c r="G113" s="13">
        <f>countif(Constants!F:F,$A113)</f>
        <v>1</v>
      </c>
      <c r="H113" s="14" t="str">
        <f t="shared" si="1"/>
        <v>http://sidigitalframework/constant/HartreeElectronVoltRelationship</v>
      </c>
      <c r="I113" s="15" t="str">
        <f t="shared" si="2"/>
        <v>HartreeElectronVoltRelationship</v>
      </c>
      <c r="J113" s="13">
        <f>countif(Concepts!A:A,I113)</f>
        <v>0</v>
      </c>
    </row>
    <row r="114">
      <c r="A114" s="16" t="s">
        <v>325</v>
      </c>
      <c r="F114" s="13">
        <f>countif(Constants!L:L,$A114)</f>
        <v>2</v>
      </c>
      <c r="G114" s="13">
        <f>countif(Constants!F:F,$A114)</f>
        <v>1</v>
      </c>
      <c r="H114" s="14" t="str">
        <f t="shared" si="1"/>
        <v>http://sidigitalframework/constant/HartreeEnergy</v>
      </c>
      <c r="I114" s="15" t="str">
        <f t="shared" si="2"/>
        <v>HartreeEnergy</v>
      </c>
      <c r="J114" s="13">
        <f>countif(Concepts!A:A,I114)</f>
        <v>0</v>
      </c>
    </row>
    <row r="115">
      <c r="A115" s="16" t="s">
        <v>326</v>
      </c>
      <c r="F115" s="13">
        <f>countif(Constants!L:L,$A115)</f>
        <v>1</v>
      </c>
      <c r="G115" s="13">
        <f>countif(Constants!F:F,$A115)</f>
        <v>1</v>
      </c>
      <c r="H115" s="14" t="str">
        <f t="shared" si="1"/>
        <v>http://sidigitalframework/constant/HartreeHertzRelationship</v>
      </c>
      <c r="I115" s="15" t="str">
        <f t="shared" si="2"/>
        <v>HartreeHertzRelationship</v>
      </c>
      <c r="J115" s="13">
        <f>countif(Concepts!A:A,I115)</f>
        <v>0</v>
      </c>
    </row>
    <row r="116">
      <c r="A116" s="16" t="s">
        <v>327</v>
      </c>
      <c r="F116" s="13">
        <f>countif(Constants!L:L,$A116)</f>
        <v>1</v>
      </c>
      <c r="G116" s="13">
        <f>countif(Constants!F:F,$A116)</f>
        <v>1</v>
      </c>
      <c r="H116" s="14" t="str">
        <f t="shared" si="1"/>
        <v>http://sidigitalframework/constant/HartreeInverseMeterRelationship</v>
      </c>
      <c r="I116" s="15" t="str">
        <f t="shared" si="2"/>
        <v>HartreeInverseMeterRelationship</v>
      </c>
      <c r="J116" s="13">
        <f>countif(Concepts!A:A,I116)</f>
        <v>0</v>
      </c>
    </row>
    <row r="117">
      <c r="A117" s="16" t="s">
        <v>328</v>
      </c>
      <c r="F117" s="13">
        <f>countif(Constants!L:L,$A117)</f>
        <v>1</v>
      </c>
      <c r="G117" s="13">
        <f>countif(Constants!F:F,$A117)</f>
        <v>1</v>
      </c>
      <c r="H117" s="14" t="str">
        <f t="shared" si="1"/>
        <v>http://sidigitalframework/constant/HartreeJouleRelationship</v>
      </c>
      <c r="I117" s="15" t="str">
        <f t="shared" si="2"/>
        <v>HartreeJouleRelationship</v>
      </c>
      <c r="J117" s="13">
        <f>countif(Concepts!A:A,I117)</f>
        <v>0</v>
      </c>
    </row>
    <row r="118">
      <c r="A118" s="16" t="s">
        <v>329</v>
      </c>
      <c r="F118" s="13">
        <f>countif(Constants!L:L,$A118)</f>
        <v>1</v>
      </c>
      <c r="G118" s="13">
        <f>countif(Constants!F:F,$A118)</f>
        <v>1</v>
      </c>
      <c r="H118" s="14" t="str">
        <f t="shared" si="1"/>
        <v>http://sidigitalframework/constant/HartreeKelvinRelationship</v>
      </c>
      <c r="I118" s="15" t="str">
        <f t="shared" si="2"/>
        <v>HartreeKelvinRelationship</v>
      </c>
      <c r="J118" s="13">
        <f>countif(Concepts!A:A,I118)</f>
        <v>0</v>
      </c>
    </row>
    <row r="119">
      <c r="A119" s="16" t="s">
        <v>330</v>
      </c>
      <c r="F119" s="13">
        <f>countif(Constants!L:L,$A119)</f>
        <v>1</v>
      </c>
      <c r="G119" s="13">
        <f>countif(Constants!F:F,$A119)</f>
        <v>1</v>
      </c>
      <c r="H119" s="14" t="str">
        <f t="shared" si="1"/>
        <v>http://sidigitalframework/constant/HartreeKilogramRelationship</v>
      </c>
      <c r="I119" s="15" t="str">
        <f t="shared" si="2"/>
        <v>HartreeKilogramRelationship</v>
      </c>
      <c r="J119" s="13">
        <f>countif(Concepts!A:A,I119)</f>
        <v>0</v>
      </c>
    </row>
    <row r="120">
      <c r="A120" s="16" t="s">
        <v>331</v>
      </c>
      <c r="F120" s="13">
        <f>countif(Constants!L:L,$A120)</f>
        <v>1</v>
      </c>
      <c r="G120" s="13">
        <f>countif(Constants!F:F,$A120)</f>
        <v>1</v>
      </c>
      <c r="H120" s="14" t="str">
        <f t="shared" si="1"/>
        <v>http://sidigitalframework/constant/HelionElectronMassRatio</v>
      </c>
      <c r="I120" s="15" t="str">
        <f t="shared" si="2"/>
        <v>HelionElectronMassRatio</v>
      </c>
      <c r="J120" s="13">
        <f>countif(Concepts!A:A,I120)</f>
        <v>0</v>
      </c>
    </row>
    <row r="121">
      <c r="A121" s="16" t="s">
        <v>332</v>
      </c>
      <c r="F121" s="13">
        <f>countif(Constants!L:L,$A121)</f>
        <v>1</v>
      </c>
      <c r="G121" s="13">
        <f>countif(Constants!F:F,$A121)</f>
        <v>1</v>
      </c>
      <c r="H121" s="14" t="str">
        <f t="shared" si="1"/>
        <v>http://sidigitalframework/constant/HelionGFactor</v>
      </c>
      <c r="I121" s="15" t="str">
        <f t="shared" si="2"/>
        <v>HelionGFactor</v>
      </c>
      <c r="J121" s="13">
        <f>countif(Concepts!A:A,I121)</f>
        <v>0</v>
      </c>
    </row>
    <row r="122">
      <c r="A122" s="16" t="s">
        <v>333</v>
      </c>
      <c r="F122" s="13">
        <f>countif(Constants!L:L,$A122)</f>
        <v>1</v>
      </c>
      <c r="G122" s="13">
        <f>countif(Constants!F:F,$A122)</f>
        <v>1</v>
      </c>
      <c r="H122" s="14" t="str">
        <f t="shared" si="1"/>
        <v>http://sidigitalframework/constant/HelionMag.Mom.</v>
      </c>
      <c r="I122" s="15" t="str">
        <f t="shared" si="2"/>
        <v>HelionMag.Mom.</v>
      </c>
      <c r="J122" s="13">
        <f>countif(Concepts!A:A,I122)</f>
        <v>0</v>
      </c>
    </row>
    <row r="123">
      <c r="A123" s="16" t="s">
        <v>334</v>
      </c>
      <c r="F123" s="13">
        <f>countif(Constants!L:L,$A123)</f>
        <v>1</v>
      </c>
      <c r="G123" s="13">
        <f>countif(Constants!F:F,$A123)</f>
        <v>1</v>
      </c>
      <c r="H123" s="14" t="str">
        <f t="shared" si="1"/>
        <v>http://sidigitalframework/constant/HelionMag.Mom.ToBohrMagnetonRatio</v>
      </c>
      <c r="I123" s="15" t="str">
        <f t="shared" si="2"/>
        <v>HelionMag.Mom.ToBohrMagnetonRatio</v>
      </c>
      <c r="J123" s="13">
        <f>countif(Concepts!A:A,I123)</f>
        <v>0</v>
      </c>
    </row>
    <row r="124">
      <c r="A124" s="16" t="s">
        <v>335</v>
      </c>
      <c r="F124" s="13">
        <f>countif(Constants!L:L,$A124)</f>
        <v>1</v>
      </c>
      <c r="G124" s="13">
        <f>countif(Constants!F:F,$A124)</f>
        <v>1</v>
      </c>
      <c r="H124" s="14" t="str">
        <f t="shared" si="1"/>
        <v>http://sidigitalframework/constant/HelionMag.Mom.ToNuclearMagnetonRatio</v>
      </c>
      <c r="I124" s="15" t="str">
        <f t="shared" si="2"/>
        <v>HelionMag.Mom.ToNuclearMagnetonRatio</v>
      </c>
      <c r="J124" s="13">
        <f>countif(Concepts!A:A,I124)</f>
        <v>0</v>
      </c>
    </row>
    <row r="125">
      <c r="A125" s="16" t="s">
        <v>336</v>
      </c>
      <c r="F125" s="13">
        <f>countif(Constants!L:L,$A125)</f>
        <v>4</v>
      </c>
      <c r="G125" s="13">
        <f>countif(Constants!F:F,$A125)</f>
        <v>1</v>
      </c>
      <c r="H125" s="14" t="str">
        <f t="shared" si="1"/>
        <v>http://sidigitalframework/constant/HelionMass</v>
      </c>
      <c r="I125" s="15" t="str">
        <f t="shared" si="2"/>
        <v>HelionMass</v>
      </c>
      <c r="J125" s="13">
        <f>countif(Concepts!A:A,I125)</f>
        <v>0</v>
      </c>
    </row>
    <row r="126">
      <c r="A126" s="16" t="s">
        <v>337</v>
      </c>
      <c r="F126" s="13">
        <f>countif(Constants!L:L,$A126)</f>
        <v>1</v>
      </c>
      <c r="G126" s="13">
        <f>countif(Constants!F:F,$A126)</f>
        <v>1</v>
      </c>
      <c r="H126" s="14" t="str">
        <f t="shared" si="1"/>
        <v>http://sidigitalframework/constant/HelionMolarMass</v>
      </c>
      <c r="I126" s="15" t="str">
        <f t="shared" si="2"/>
        <v>HelionMolarMass</v>
      </c>
      <c r="J126" s="13">
        <f>countif(Concepts!A:A,I126)</f>
        <v>0</v>
      </c>
    </row>
    <row r="127">
      <c r="A127" s="16" t="s">
        <v>338</v>
      </c>
      <c r="F127" s="13">
        <f>countif(Constants!L:L,$A127)</f>
        <v>1</v>
      </c>
      <c r="G127" s="13">
        <f>countif(Constants!F:F,$A127)</f>
        <v>1</v>
      </c>
      <c r="H127" s="14" t="str">
        <f t="shared" si="1"/>
        <v>http://sidigitalframework/constant/HelionProtonMassRatio</v>
      </c>
      <c r="I127" s="15" t="str">
        <f t="shared" si="2"/>
        <v>HelionProtonMassRatio</v>
      </c>
      <c r="J127" s="13">
        <f>countif(Concepts!A:A,I127)</f>
        <v>0</v>
      </c>
    </row>
    <row r="128">
      <c r="A128" s="16" t="s">
        <v>339</v>
      </c>
      <c r="F128" s="13">
        <f>countif(Constants!L:L,$A128)</f>
        <v>1</v>
      </c>
      <c r="G128" s="13">
        <f>countif(Constants!F:F,$A128)</f>
        <v>1</v>
      </c>
      <c r="H128" s="14" t="str">
        <f t="shared" si="1"/>
        <v>http://sidigitalframework/constant/HelionRelativeAtomicMass</v>
      </c>
      <c r="I128" s="15" t="str">
        <f t="shared" si="2"/>
        <v>HelionRelativeAtomicMass</v>
      </c>
      <c r="J128" s="13">
        <f>countif(Concepts!A:A,I128)</f>
        <v>0</v>
      </c>
    </row>
    <row r="129">
      <c r="A129" s="16" t="s">
        <v>340</v>
      </c>
      <c r="F129" s="13">
        <f>countif(Constants!L:L,$A129)</f>
        <v>1</v>
      </c>
      <c r="G129" s="13">
        <f>countif(Constants!F:F,$A129)</f>
        <v>1</v>
      </c>
      <c r="H129" s="14" t="str">
        <f t="shared" si="1"/>
        <v>http://sidigitalframework/constant/HelionShieldingShift</v>
      </c>
      <c r="I129" s="15" t="str">
        <f t="shared" si="2"/>
        <v>HelionShieldingShift</v>
      </c>
      <c r="J129" s="13">
        <f>countif(Concepts!A:A,I129)</f>
        <v>0</v>
      </c>
    </row>
    <row r="130">
      <c r="A130" s="16" t="s">
        <v>341</v>
      </c>
      <c r="F130" s="13">
        <f>countif(Constants!L:L,$A130)</f>
        <v>1</v>
      </c>
      <c r="G130" s="13">
        <f>countif(Constants!F:F,$A130)</f>
        <v>1</v>
      </c>
      <c r="H130" s="14" t="str">
        <f t="shared" si="1"/>
        <v>http://sidigitalframework/constant/HertzAtomicMassUnitRelationship</v>
      </c>
      <c r="I130" s="15" t="str">
        <f t="shared" si="2"/>
        <v>HertzAtomicMassUnitRelationship</v>
      </c>
      <c r="J130" s="13">
        <f>countif(Concepts!A:A,I130)</f>
        <v>0</v>
      </c>
    </row>
    <row r="131">
      <c r="A131" s="16" t="s">
        <v>342</v>
      </c>
      <c r="F131" s="13">
        <f>countif(Constants!L:L,$A131)</f>
        <v>1</v>
      </c>
      <c r="G131" s="13">
        <f>countif(Constants!F:F,$A131)</f>
        <v>1</v>
      </c>
      <c r="H131" s="14" t="str">
        <f t="shared" si="1"/>
        <v>http://sidigitalframework/constant/HertzElectronVoltRelationship</v>
      </c>
      <c r="I131" s="15" t="str">
        <f t="shared" si="2"/>
        <v>HertzElectronVoltRelationship</v>
      </c>
      <c r="J131" s="13">
        <f>countif(Concepts!A:A,I131)</f>
        <v>0</v>
      </c>
    </row>
    <row r="132">
      <c r="A132" s="16" t="s">
        <v>343</v>
      </c>
      <c r="F132" s="13">
        <f>countif(Constants!L:L,$A132)</f>
        <v>1</v>
      </c>
      <c r="G132" s="13">
        <f>countif(Constants!F:F,$A132)</f>
        <v>1</v>
      </c>
      <c r="H132" s="14" t="str">
        <f t="shared" si="1"/>
        <v>http://sidigitalframework/constant/HertzHartreeRelationship</v>
      </c>
      <c r="I132" s="15" t="str">
        <f t="shared" si="2"/>
        <v>HertzHartreeRelationship</v>
      </c>
      <c r="J132" s="13">
        <f>countif(Concepts!A:A,I132)</f>
        <v>0</v>
      </c>
    </row>
    <row r="133">
      <c r="A133" s="16" t="s">
        <v>344</v>
      </c>
      <c r="F133" s="13">
        <f>countif(Constants!L:L,$A133)</f>
        <v>1</v>
      </c>
      <c r="G133" s="13">
        <f>countif(Constants!F:F,$A133)</f>
        <v>1</v>
      </c>
      <c r="H133" s="14" t="str">
        <f t="shared" si="1"/>
        <v>http://sidigitalframework/constant/HertzInverseMeterRelationship</v>
      </c>
      <c r="I133" s="15" t="str">
        <f t="shared" si="2"/>
        <v>HertzInverseMeterRelationship</v>
      </c>
      <c r="J133" s="13">
        <f>countif(Concepts!A:A,I133)</f>
        <v>0</v>
      </c>
    </row>
    <row r="134">
      <c r="A134" s="16" t="s">
        <v>345</v>
      </c>
      <c r="F134" s="13">
        <f>countif(Constants!L:L,$A134)</f>
        <v>1</v>
      </c>
      <c r="G134" s="13">
        <f>countif(Constants!F:F,$A134)</f>
        <v>1</v>
      </c>
      <c r="H134" s="14" t="str">
        <f t="shared" si="1"/>
        <v>http://sidigitalframework/constant/HertzJouleRelationship</v>
      </c>
      <c r="I134" s="15" t="str">
        <f t="shared" si="2"/>
        <v>HertzJouleRelationship</v>
      </c>
      <c r="J134" s="13">
        <f>countif(Concepts!A:A,I134)</f>
        <v>0</v>
      </c>
    </row>
    <row r="135">
      <c r="A135" s="16" t="s">
        <v>346</v>
      </c>
      <c r="F135" s="13">
        <f>countif(Constants!L:L,$A135)</f>
        <v>1</v>
      </c>
      <c r="G135" s="13">
        <f>countif(Constants!F:F,$A135)</f>
        <v>1</v>
      </c>
      <c r="H135" s="14" t="str">
        <f t="shared" si="1"/>
        <v>http://sidigitalframework/constant/HertzKelvinRelationship</v>
      </c>
      <c r="I135" s="15" t="str">
        <f t="shared" si="2"/>
        <v>HertzKelvinRelationship</v>
      </c>
      <c r="J135" s="13">
        <f>countif(Concepts!A:A,I135)</f>
        <v>0</v>
      </c>
    </row>
    <row r="136">
      <c r="A136" s="16" t="s">
        <v>347</v>
      </c>
      <c r="F136" s="13">
        <f>countif(Constants!L:L,$A136)</f>
        <v>1</v>
      </c>
      <c r="G136" s="13">
        <f>countif(Constants!F:F,$A136)</f>
        <v>1</v>
      </c>
      <c r="H136" s="14" t="str">
        <f t="shared" si="1"/>
        <v>http://sidigitalframework/constant/HertzKilogramRelationship</v>
      </c>
      <c r="I136" s="15" t="str">
        <f t="shared" si="2"/>
        <v>HertzKilogramRelationship</v>
      </c>
      <c r="J136" s="13">
        <f>countif(Concepts!A:A,I136)</f>
        <v>0</v>
      </c>
    </row>
    <row r="137">
      <c r="A137" s="16" t="s">
        <v>186</v>
      </c>
      <c r="F137" s="13">
        <f>countif(Constants!L:L,$A137)</f>
        <v>1</v>
      </c>
      <c r="G137" s="13">
        <f>countif(Constants!F:F,$A137)</f>
        <v>1</v>
      </c>
      <c r="H137" s="14" t="str">
        <f t="shared" si="1"/>
        <v>http://sidigitalframework/constant/HyperfineTransitionFrequencyOfCs-133</v>
      </c>
      <c r="I137" s="15" t="str">
        <f t="shared" si="2"/>
        <v>HyperfineTransitionFrequencyOfCs-133</v>
      </c>
      <c r="J137" s="13">
        <f>countif(Concepts!A:A,I137)</f>
        <v>1</v>
      </c>
    </row>
    <row r="138">
      <c r="A138" s="16" t="s">
        <v>348</v>
      </c>
      <c r="F138" s="13">
        <f>countif(Constants!L:L,$A138)</f>
        <v>1</v>
      </c>
      <c r="G138" s="13">
        <f>countif(Constants!F:F,$A138)</f>
        <v>1</v>
      </c>
      <c r="H138" s="14" t="str">
        <f t="shared" si="1"/>
        <v>http://sidigitalframework/constant/InverseFineStructureConstant</v>
      </c>
      <c r="I138" s="15" t="str">
        <f t="shared" si="2"/>
        <v>InverseFineStructureConstant</v>
      </c>
      <c r="J138" s="13">
        <f>countif(Concepts!A:A,I138)</f>
        <v>0</v>
      </c>
    </row>
    <row r="139">
      <c r="A139" s="16" t="s">
        <v>349</v>
      </c>
      <c r="F139" s="13">
        <f>countif(Constants!L:L,$A139)</f>
        <v>1</v>
      </c>
      <c r="G139" s="13">
        <f>countif(Constants!F:F,$A139)</f>
        <v>1</v>
      </c>
      <c r="H139" s="14" t="str">
        <f t="shared" si="1"/>
        <v>http://sidigitalframework/constant/InverseMeterAtomicMassUnitRelationship</v>
      </c>
      <c r="I139" s="15" t="str">
        <f t="shared" si="2"/>
        <v>InverseMeterAtomicMassUnitRelationship</v>
      </c>
      <c r="J139" s="13">
        <f>countif(Concepts!A:A,I139)</f>
        <v>0</v>
      </c>
    </row>
    <row r="140">
      <c r="A140" s="16" t="s">
        <v>350</v>
      </c>
      <c r="F140" s="13">
        <f>countif(Constants!L:L,$A140)</f>
        <v>1</v>
      </c>
      <c r="G140" s="13">
        <f>countif(Constants!F:F,$A140)</f>
        <v>1</v>
      </c>
      <c r="H140" s="14" t="str">
        <f t="shared" si="1"/>
        <v>http://sidigitalframework/constant/InverseMeterElectronVoltRelationship</v>
      </c>
      <c r="I140" s="15" t="str">
        <f t="shared" si="2"/>
        <v>InverseMeterElectronVoltRelationship</v>
      </c>
      <c r="J140" s="13">
        <f>countif(Concepts!A:A,I140)</f>
        <v>0</v>
      </c>
    </row>
    <row r="141">
      <c r="A141" s="16" t="s">
        <v>351</v>
      </c>
      <c r="F141" s="13">
        <f>countif(Constants!L:L,$A141)</f>
        <v>1</v>
      </c>
      <c r="G141" s="13">
        <f>countif(Constants!F:F,$A141)</f>
        <v>1</v>
      </c>
      <c r="H141" s="14" t="str">
        <f t="shared" si="1"/>
        <v>http://sidigitalframework/constant/InverseMeterHartreeRelationship</v>
      </c>
      <c r="I141" s="15" t="str">
        <f t="shared" si="2"/>
        <v>InverseMeterHartreeRelationship</v>
      </c>
      <c r="J141" s="13">
        <f>countif(Concepts!A:A,I141)</f>
        <v>0</v>
      </c>
    </row>
    <row r="142">
      <c r="A142" s="16" t="s">
        <v>352</v>
      </c>
      <c r="F142" s="13">
        <f>countif(Constants!L:L,$A142)</f>
        <v>1</v>
      </c>
      <c r="G142" s="13">
        <f>countif(Constants!F:F,$A142)</f>
        <v>1</v>
      </c>
      <c r="H142" s="14" t="str">
        <f t="shared" si="1"/>
        <v>http://sidigitalframework/constant/InverseMeterHertzRelationship</v>
      </c>
      <c r="I142" s="15" t="str">
        <f t="shared" si="2"/>
        <v>InverseMeterHertzRelationship</v>
      </c>
      <c r="J142" s="13">
        <f>countif(Concepts!A:A,I142)</f>
        <v>0</v>
      </c>
    </row>
    <row r="143">
      <c r="A143" s="16" t="s">
        <v>353</v>
      </c>
      <c r="F143" s="13">
        <f>countif(Constants!L:L,$A143)</f>
        <v>1</v>
      </c>
      <c r="G143" s="13">
        <f>countif(Constants!F:F,$A143)</f>
        <v>1</v>
      </c>
      <c r="H143" s="14" t="str">
        <f t="shared" si="1"/>
        <v>http://sidigitalframework/constant/InverseMeterJouleRelationship</v>
      </c>
      <c r="I143" s="15" t="str">
        <f t="shared" si="2"/>
        <v>InverseMeterJouleRelationship</v>
      </c>
      <c r="J143" s="13">
        <f>countif(Concepts!A:A,I143)</f>
        <v>0</v>
      </c>
    </row>
    <row r="144">
      <c r="A144" s="16" t="s">
        <v>354</v>
      </c>
      <c r="F144" s="13">
        <f>countif(Constants!L:L,$A144)</f>
        <v>1</v>
      </c>
      <c r="G144" s="13">
        <f>countif(Constants!F:F,$A144)</f>
        <v>1</v>
      </c>
      <c r="H144" s="14" t="str">
        <f t="shared" si="1"/>
        <v>http://sidigitalframework/constant/InverseMeterKelvinRelationship</v>
      </c>
      <c r="I144" s="15" t="str">
        <f t="shared" si="2"/>
        <v>InverseMeterKelvinRelationship</v>
      </c>
      <c r="J144" s="13">
        <f>countif(Concepts!A:A,I144)</f>
        <v>0</v>
      </c>
    </row>
    <row r="145">
      <c r="A145" s="16" t="s">
        <v>355</v>
      </c>
      <c r="F145" s="13">
        <f>countif(Constants!L:L,$A145)</f>
        <v>1</v>
      </c>
      <c r="G145" s="13">
        <f>countif(Constants!F:F,$A145)</f>
        <v>1</v>
      </c>
      <c r="H145" s="14" t="str">
        <f t="shared" si="1"/>
        <v>http://sidigitalframework/constant/InverseMeterKilogramRelationship</v>
      </c>
      <c r="I145" s="15" t="str">
        <f t="shared" si="2"/>
        <v>InverseMeterKilogramRelationship</v>
      </c>
      <c r="J145" s="13">
        <f>countif(Concepts!A:A,I145)</f>
        <v>0</v>
      </c>
    </row>
    <row r="146">
      <c r="A146" s="16" t="s">
        <v>356</v>
      </c>
      <c r="F146" s="13">
        <f>countif(Constants!L:L,$A146)</f>
        <v>1</v>
      </c>
      <c r="G146" s="13">
        <f>countif(Constants!F:F,$A146)</f>
        <v>1</v>
      </c>
      <c r="H146" s="14" t="str">
        <f t="shared" si="1"/>
        <v>http://sidigitalframework/constant/InverseOfConductanceQuantum</v>
      </c>
      <c r="I146" s="15" t="str">
        <f t="shared" si="2"/>
        <v>InverseOfConductanceQuantum</v>
      </c>
      <c r="J146" s="13">
        <f>countif(Concepts!A:A,I146)</f>
        <v>0</v>
      </c>
    </row>
    <row r="147">
      <c r="A147" s="16" t="s">
        <v>357</v>
      </c>
      <c r="F147" s="13">
        <f>countif(Constants!L:L,$A147)</f>
        <v>1</v>
      </c>
      <c r="G147" s="13">
        <f>countif(Constants!F:F,$A147)</f>
        <v>1</v>
      </c>
      <c r="H147" s="14" t="str">
        <f t="shared" si="1"/>
        <v>http://sidigitalframework/constant/JosephsonConstant</v>
      </c>
      <c r="I147" s="15" t="str">
        <f t="shared" si="2"/>
        <v>JosephsonConstant</v>
      </c>
      <c r="J147" s="13">
        <f>countif(Concepts!A:A,I147)</f>
        <v>0</v>
      </c>
    </row>
    <row r="148">
      <c r="A148" s="16" t="s">
        <v>358</v>
      </c>
      <c r="F148" s="13">
        <f>countif(Constants!L:L,$A148)</f>
        <v>1</v>
      </c>
      <c r="G148" s="13">
        <f>countif(Constants!F:F,$A148)</f>
        <v>1</v>
      </c>
      <c r="H148" s="14" t="str">
        <f t="shared" si="1"/>
        <v>http://sidigitalframework/constant/JouleAtomicMassUnitRelationship</v>
      </c>
      <c r="I148" s="15" t="str">
        <f t="shared" si="2"/>
        <v>JouleAtomicMassUnitRelationship</v>
      </c>
      <c r="J148" s="13">
        <f>countif(Concepts!A:A,I148)</f>
        <v>0</v>
      </c>
    </row>
    <row r="149">
      <c r="A149" s="16" t="s">
        <v>359</v>
      </c>
      <c r="F149" s="13">
        <f>countif(Constants!L:L,$A149)</f>
        <v>1</v>
      </c>
      <c r="G149" s="13">
        <f>countif(Constants!F:F,$A149)</f>
        <v>1</v>
      </c>
      <c r="H149" s="14" t="str">
        <f t="shared" si="1"/>
        <v>http://sidigitalframework/constant/JouleElectronVoltRelationship</v>
      </c>
      <c r="I149" s="15" t="str">
        <f t="shared" si="2"/>
        <v>JouleElectronVoltRelationship</v>
      </c>
      <c r="J149" s="13">
        <f>countif(Concepts!A:A,I149)</f>
        <v>0</v>
      </c>
    </row>
    <row r="150">
      <c r="A150" s="16" t="s">
        <v>360</v>
      </c>
      <c r="F150" s="13">
        <f>countif(Constants!L:L,$A150)</f>
        <v>1</v>
      </c>
      <c r="G150" s="13">
        <f>countif(Constants!F:F,$A150)</f>
        <v>1</v>
      </c>
      <c r="H150" s="14" t="str">
        <f t="shared" si="1"/>
        <v>http://sidigitalframework/constant/JouleHartreeRelationship</v>
      </c>
      <c r="I150" s="15" t="str">
        <f t="shared" si="2"/>
        <v>JouleHartreeRelationship</v>
      </c>
      <c r="J150" s="13">
        <f>countif(Concepts!A:A,I150)</f>
        <v>0</v>
      </c>
    </row>
    <row r="151">
      <c r="A151" s="16" t="s">
        <v>361</v>
      </c>
      <c r="F151" s="13">
        <f>countif(Constants!L:L,$A151)</f>
        <v>1</v>
      </c>
      <c r="G151" s="13">
        <f>countif(Constants!F:F,$A151)</f>
        <v>1</v>
      </c>
      <c r="H151" s="14" t="str">
        <f t="shared" si="1"/>
        <v>http://sidigitalframework/constant/JouleHertzRelationship</v>
      </c>
      <c r="I151" s="15" t="str">
        <f t="shared" si="2"/>
        <v>JouleHertzRelationship</v>
      </c>
      <c r="J151" s="13">
        <f>countif(Concepts!A:A,I151)</f>
        <v>0</v>
      </c>
    </row>
    <row r="152">
      <c r="A152" s="16" t="s">
        <v>362</v>
      </c>
      <c r="F152" s="13">
        <f>countif(Constants!L:L,$A152)</f>
        <v>1</v>
      </c>
      <c r="G152" s="13">
        <f>countif(Constants!F:F,$A152)</f>
        <v>1</v>
      </c>
      <c r="H152" s="14" t="str">
        <f t="shared" si="1"/>
        <v>http://sidigitalframework/constant/JouleInverseMeterRelationship</v>
      </c>
      <c r="I152" s="15" t="str">
        <f t="shared" si="2"/>
        <v>JouleInverseMeterRelationship</v>
      </c>
      <c r="J152" s="13">
        <f>countif(Concepts!A:A,I152)</f>
        <v>0</v>
      </c>
    </row>
    <row r="153">
      <c r="A153" s="16" t="s">
        <v>363</v>
      </c>
      <c r="F153" s="13">
        <f>countif(Constants!L:L,$A153)</f>
        <v>1</v>
      </c>
      <c r="G153" s="13">
        <f>countif(Constants!F:F,$A153)</f>
        <v>1</v>
      </c>
      <c r="H153" s="14" t="str">
        <f t="shared" si="1"/>
        <v>http://sidigitalframework/constant/JouleKelvinRelationship</v>
      </c>
      <c r="I153" s="15" t="str">
        <f t="shared" si="2"/>
        <v>JouleKelvinRelationship</v>
      </c>
      <c r="J153" s="13">
        <f>countif(Concepts!A:A,I153)</f>
        <v>0</v>
      </c>
    </row>
    <row r="154">
      <c r="A154" s="16" t="s">
        <v>364</v>
      </c>
      <c r="F154" s="13">
        <f>countif(Constants!L:L,$A154)</f>
        <v>1</v>
      </c>
      <c r="G154" s="13">
        <f>countif(Constants!F:F,$A154)</f>
        <v>1</v>
      </c>
      <c r="H154" s="14" t="str">
        <f t="shared" si="1"/>
        <v>http://sidigitalframework/constant/JouleKilogramRelationship</v>
      </c>
      <c r="I154" s="15" t="str">
        <f t="shared" si="2"/>
        <v>JouleKilogramRelationship</v>
      </c>
      <c r="J154" s="13">
        <f>countif(Concepts!A:A,I154)</f>
        <v>0</v>
      </c>
    </row>
    <row r="155">
      <c r="A155" s="16" t="s">
        <v>365</v>
      </c>
      <c r="F155" s="13">
        <f>countif(Constants!L:L,$A155)</f>
        <v>1</v>
      </c>
      <c r="G155" s="13">
        <f>countif(Constants!F:F,$A155)</f>
        <v>1</v>
      </c>
      <c r="H155" s="14" t="str">
        <f t="shared" si="1"/>
        <v>http://sidigitalframework/constant/KelvinAtomicMassUnitRelationship</v>
      </c>
      <c r="I155" s="15" t="str">
        <f t="shared" si="2"/>
        <v>KelvinAtomicMassUnitRelationship</v>
      </c>
      <c r="J155" s="13">
        <f>countif(Concepts!A:A,I155)</f>
        <v>0</v>
      </c>
    </row>
    <row r="156">
      <c r="A156" s="16" t="s">
        <v>366</v>
      </c>
      <c r="F156" s="13">
        <f>countif(Constants!L:L,$A156)</f>
        <v>1</v>
      </c>
      <c r="G156" s="13">
        <f>countif(Constants!F:F,$A156)</f>
        <v>1</v>
      </c>
      <c r="H156" s="14" t="str">
        <f t="shared" si="1"/>
        <v>http://sidigitalframework/constant/KelvinElectronVoltRelationship</v>
      </c>
      <c r="I156" s="15" t="str">
        <f t="shared" si="2"/>
        <v>KelvinElectronVoltRelationship</v>
      </c>
      <c r="J156" s="13">
        <f>countif(Concepts!A:A,I156)</f>
        <v>0</v>
      </c>
    </row>
    <row r="157">
      <c r="A157" s="16" t="s">
        <v>367</v>
      </c>
      <c r="F157" s="13">
        <f>countif(Constants!L:L,$A157)</f>
        <v>1</v>
      </c>
      <c r="G157" s="13">
        <f>countif(Constants!F:F,$A157)</f>
        <v>1</v>
      </c>
      <c r="H157" s="14" t="str">
        <f t="shared" si="1"/>
        <v>http://sidigitalframework/constant/KelvinHartreeRelationship</v>
      </c>
      <c r="I157" s="15" t="str">
        <f t="shared" si="2"/>
        <v>KelvinHartreeRelationship</v>
      </c>
      <c r="J157" s="13">
        <f>countif(Concepts!A:A,I157)</f>
        <v>0</v>
      </c>
    </row>
    <row r="158">
      <c r="A158" s="16" t="s">
        <v>368</v>
      </c>
      <c r="F158" s="13">
        <f>countif(Constants!L:L,$A158)</f>
        <v>1</v>
      </c>
      <c r="G158" s="13">
        <f>countif(Constants!F:F,$A158)</f>
        <v>1</v>
      </c>
      <c r="H158" s="14" t="str">
        <f t="shared" si="1"/>
        <v>http://sidigitalframework/constant/KelvinHertzRelationship</v>
      </c>
      <c r="I158" s="15" t="str">
        <f t="shared" si="2"/>
        <v>KelvinHertzRelationship</v>
      </c>
      <c r="J158" s="13">
        <f>countif(Concepts!A:A,I158)</f>
        <v>0</v>
      </c>
    </row>
    <row r="159">
      <c r="A159" s="16" t="s">
        <v>369</v>
      </c>
      <c r="F159" s="13">
        <f>countif(Constants!L:L,$A159)</f>
        <v>1</v>
      </c>
      <c r="G159" s="13">
        <f>countif(Constants!F:F,$A159)</f>
        <v>1</v>
      </c>
      <c r="H159" s="14" t="str">
        <f t="shared" si="1"/>
        <v>http://sidigitalframework/constant/KelvinInverseMeterRelationship</v>
      </c>
      <c r="I159" s="15" t="str">
        <f t="shared" si="2"/>
        <v>KelvinInverseMeterRelationship</v>
      </c>
      <c r="J159" s="13">
        <f>countif(Concepts!A:A,I159)</f>
        <v>0</v>
      </c>
    </row>
    <row r="160">
      <c r="A160" s="16" t="s">
        <v>370</v>
      </c>
      <c r="F160" s="13">
        <f>countif(Constants!L:L,$A160)</f>
        <v>1</v>
      </c>
      <c r="G160" s="13">
        <f>countif(Constants!F:F,$A160)</f>
        <v>1</v>
      </c>
      <c r="H160" s="14" t="str">
        <f t="shared" si="1"/>
        <v>http://sidigitalframework/constant/KelvinJouleRelationship</v>
      </c>
      <c r="I160" s="15" t="str">
        <f t="shared" si="2"/>
        <v>KelvinJouleRelationship</v>
      </c>
      <c r="J160" s="13">
        <f>countif(Concepts!A:A,I160)</f>
        <v>0</v>
      </c>
    </row>
    <row r="161">
      <c r="A161" s="16" t="s">
        <v>371</v>
      </c>
      <c r="F161" s="13">
        <f>countif(Constants!L:L,$A161)</f>
        <v>1</v>
      </c>
      <c r="G161" s="13">
        <f>countif(Constants!F:F,$A161)</f>
        <v>1</v>
      </c>
      <c r="H161" s="14" t="str">
        <f t="shared" si="1"/>
        <v>http://sidigitalframework/constant/KelvinKilogramRelationship</v>
      </c>
      <c r="I161" s="15" t="str">
        <f t="shared" si="2"/>
        <v>KelvinKilogramRelationship</v>
      </c>
      <c r="J161" s="13">
        <f>countif(Concepts!A:A,I161)</f>
        <v>0</v>
      </c>
    </row>
    <row r="162">
      <c r="A162" s="16" t="s">
        <v>372</v>
      </c>
      <c r="F162" s="13">
        <f>countif(Constants!L:L,$A162)</f>
        <v>1</v>
      </c>
      <c r="G162" s="13">
        <f>countif(Constants!F:F,$A162)</f>
        <v>1</v>
      </c>
      <c r="H162" s="14" t="str">
        <f t="shared" si="1"/>
        <v>http://sidigitalframework/constant/KilogramAtomicMassUnitRelationship</v>
      </c>
      <c r="I162" s="15" t="str">
        <f t="shared" si="2"/>
        <v>KilogramAtomicMassUnitRelationship</v>
      </c>
      <c r="J162" s="13">
        <f>countif(Concepts!A:A,I162)</f>
        <v>0</v>
      </c>
    </row>
    <row r="163">
      <c r="A163" s="16" t="s">
        <v>373</v>
      </c>
      <c r="F163" s="13">
        <f>countif(Constants!L:L,$A163)</f>
        <v>1</v>
      </c>
      <c r="G163" s="13">
        <f>countif(Constants!F:F,$A163)</f>
        <v>1</v>
      </c>
      <c r="H163" s="14" t="str">
        <f t="shared" si="1"/>
        <v>http://sidigitalframework/constant/KilogramElectronVoltRelationship</v>
      </c>
      <c r="I163" s="15" t="str">
        <f t="shared" si="2"/>
        <v>KilogramElectronVoltRelationship</v>
      </c>
      <c r="J163" s="13">
        <f>countif(Concepts!A:A,I163)</f>
        <v>0</v>
      </c>
    </row>
    <row r="164">
      <c r="A164" s="16" t="s">
        <v>374</v>
      </c>
      <c r="F164" s="13">
        <f>countif(Constants!L:L,$A164)</f>
        <v>1</v>
      </c>
      <c r="G164" s="13">
        <f>countif(Constants!F:F,$A164)</f>
        <v>1</v>
      </c>
      <c r="H164" s="14" t="str">
        <f t="shared" si="1"/>
        <v>http://sidigitalframework/constant/KilogramHartreeRelationship</v>
      </c>
      <c r="I164" s="15" t="str">
        <f t="shared" si="2"/>
        <v>KilogramHartreeRelationship</v>
      </c>
      <c r="J164" s="13">
        <f>countif(Concepts!A:A,I164)</f>
        <v>0</v>
      </c>
    </row>
    <row r="165">
      <c r="A165" s="16" t="s">
        <v>375</v>
      </c>
      <c r="F165" s="13">
        <f>countif(Constants!L:L,$A165)</f>
        <v>1</v>
      </c>
      <c r="G165" s="13">
        <f>countif(Constants!F:F,$A165)</f>
        <v>1</v>
      </c>
      <c r="H165" s="14" t="str">
        <f t="shared" si="1"/>
        <v>http://sidigitalframework/constant/KilogramHertzRelationship</v>
      </c>
      <c r="I165" s="15" t="str">
        <f t="shared" si="2"/>
        <v>KilogramHertzRelationship</v>
      </c>
      <c r="J165" s="13">
        <f>countif(Concepts!A:A,I165)</f>
        <v>0</v>
      </c>
    </row>
    <row r="166">
      <c r="A166" s="16" t="s">
        <v>376</v>
      </c>
      <c r="F166" s="13">
        <f>countif(Constants!L:L,$A166)</f>
        <v>1</v>
      </c>
      <c r="G166" s="13">
        <f>countif(Constants!F:F,$A166)</f>
        <v>1</v>
      </c>
      <c r="H166" s="14" t="str">
        <f t="shared" si="1"/>
        <v>http://sidigitalframework/constant/KilogramInverseMeterRelationship</v>
      </c>
      <c r="I166" s="15" t="str">
        <f t="shared" si="2"/>
        <v>KilogramInverseMeterRelationship</v>
      </c>
      <c r="J166" s="13">
        <f>countif(Concepts!A:A,I166)</f>
        <v>0</v>
      </c>
    </row>
    <row r="167">
      <c r="A167" s="16" t="s">
        <v>377</v>
      </c>
      <c r="F167" s="13">
        <f>countif(Constants!L:L,$A167)</f>
        <v>1</v>
      </c>
      <c r="G167" s="13">
        <f>countif(Constants!F:F,$A167)</f>
        <v>1</v>
      </c>
      <c r="H167" s="14" t="str">
        <f t="shared" si="1"/>
        <v>http://sidigitalframework/constant/KilogramJouleRelationship</v>
      </c>
      <c r="I167" s="15" t="str">
        <f t="shared" si="2"/>
        <v>KilogramJouleRelationship</v>
      </c>
      <c r="J167" s="13">
        <f>countif(Concepts!A:A,I167)</f>
        <v>0</v>
      </c>
    </row>
    <row r="168">
      <c r="A168" s="16" t="s">
        <v>378</v>
      </c>
      <c r="F168" s="13">
        <f>countif(Constants!L:L,$A168)</f>
        <v>1</v>
      </c>
      <c r="G168" s="13">
        <f>countif(Constants!F:F,$A168)</f>
        <v>1</v>
      </c>
      <c r="H168" s="14" t="str">
        <f t="shared" si="1"/>
        <v>http://sidigitalframework/constant/KilogramKelvinRelationship</v>
      </c>
      <c r="I168" s="15" t="str">
        <f t="shared" si="2"/>
        <v>KilogramKelvinRelationship</v>
      </c>
      <c r="J168" s="13">
        <f>countif(Concepts!A:A,I168)</f>
        <v>0</v>
      </c>
    </row>
    <row r="169">
      <c r="A169" s="16" t="s">
        <v>379</v>
      </c>
      <c r="F169" s="13">
        <f>countif(Constants!L:L,$A169)</f>
        <v>1</v>
      </c>
      <c r="G169" s="13">
        <f>countif(Constants!F:F,$A169)</f>
        <v>1</v>
      </c>
      <c r="H169" s="14" t="str">
        <f t="shared" si="1"/>
        <v>http://sidigitalframework/constant/LatticeParameterOfSilicon</v>
      </c>
      <c r="I169" s="15" t="str">
        <f t="shared" si="2"/>
        <v>LatticeParameterOfSilicon</v>
      </c>
      <c r="J169" s="13">
        <f>countif(Concepts!A:A,I169)</f>
        <v>0</v>
      </c>
    </row>
    <row r="170">
      <c r="A170" s="16" t="s">
        <v>380</v>
      </c>
      <c r="F170" s="13">
        <f>countif(Constants!L:L,$A170)</f>
        <v>1</v>
      </c>
      <c r="G170" s="13">
        <f>countif(Constants!F:F,$A170)</f>
        <v>1</v>
      </c>
      <c r="H170" s="14" t="str">
        <f t="shared" si="1"/>
        <v>http://sidigitalframework/constant/LatticeSpacingOfSilicon</v>
      </c>
      <c r="I170" s="15" t="str">
        <f t="shared" si="2"/>
        <v>LatticeSpacingOfSilicon</v>
      </c>
      <c r="J170" s="13">
        <f>countif(Concepts!A:A,I170)</f>
        <v>0</v>
      </c>
    </row>
    <row r="171">
      <c r="A171" s="16" t="s">
        <v>381</v>
      </c>
      <c r="F171" s="13">
        <f>countif(Constants!L:L,$A171)</f>
        <v>2</v>
      </c>
      <c r="G171" s="13">
        <f>countif(Constants!F:F,$A171)</f>
        <v>1</v>
      </c>
      <c r="H171" s="14" t="str">
        <f t="shared" si="1"/>
        <v>http://sidigitalframework/constant/LoschmidtConstant</v>
      </c>
      <c r="I171" s="15" t="str">
        <f t="shared" si="2"/>
        <v>LoschmidtConstant</v>
      </c>
      <c r="J171" s="13">
        <f>countif(Concepts!A:A,I171)</f>
        <v>0</v>
      </c>
    </row>
    <row r="172">
      <c r="A172" s="16" t="s">
        <v>193</v>
      </c>
      <c r="F172" s="13">
        <f>countif(Constants!L:L,$A172)</f>
        <v>1</v>
      </c>
      <c r="G172" s="13">
        <f>countif(Constants!F:F,$A172)</f>
        <v>1</v>
      </c>
      <c r="H172" s="14" t="str">
        <f t="shared" si="1"/>
        <v>http://sidigitalframework/constant/LuminousEfficacy</v>
      </c>
      <c r="I172" s="15" t="str">
        <f t="shared" si="2"/>
        <v>LuminousEfficacy</v>
      </c>
      <c r="J172" s="13">
        <f>countif(Concepts!A:A,I172)</f>
        <v>1</v>
      </c>
    </row>
    <row r="173">
      <c r="A173" s="16" t="s">
        <v>382</v>
      </c>
      <c r="F173" s="13">
        <f>countif(Constants!L:L,$A173)</f>
        <v>1</v>
      </c>
      <c r="G173" s="13">
        <f>countif(Constants!F:F,$A173)</f>
        <v>1</v>
      </c>
      <c r="H173" s="14" t="str">
        <f t="shared" si="1"/>
        <v>http://sidigitalframework/constant/MagneticConstant</v>
      </c>
      <c r="I173" s="15" t="str">
        <f t="shared" si="2"/>
        <v>MagneticConstant</v>
      </c>
      <c r="J173" s="13">
        <f>countif(Concepts!A:A,I173)</f>
        <v>0</v>
      </c>
    </row>
    <row r="174">
      <c r="A174" s="16" t="s">
        <v>383</v>
      </c>
      <c r="F174" s="13">
        <f>countif(Constants!L:L,$A174)</f>
        <v>1</v>
      </c>
      <c r="G174" s="13">
        <f>countif(Constants!F:F,$A174)</f>
        <v>1</v>
      </c>
      <c r="H174" s="14" t="str">
        <f t="shared" si="1"/>
        <v>http://sidigitalframework/constant/MagneticFluxQuantum</v>
      </c>
      <c r="I174" s="15" t="str">
        <f t="shared" si="2"/>
        <v>MagneticFluxQuantum</v>
      </c>
      <c r="J174" s="13">
        <f>countif(Concepts!A:A,I174)</f>
        <v>0</v>
      </c>
    </row>
    <row r="175">
      <c r="A175" s="16" t="s">
        <v>384</v>
      </c>
      <c r="F175" s="13">
        <f>countif(Constants!L:L,$A175)</f>
        <v>1</v>
      </c>
      <c r="G175" s="13">
        <f>countif(Constants!F:F,$A175)</f>
        <v>1</v>
      </c>
      <c r="H175" s="14" t="str">
        <f t="shared" si="1"/>
        <v>http://sidigitalframework/constant/MolarGasConstant</v>
      </c>
      <c r="I175" s="15" t="str">
        <f t="shared" si="2"/>
        <v>MolarGasConstant</v>
      </c>
      <c r="J175" s="13">
        <f>countif(Concepts!A:A,I175)</f>
        <v>0</v>
      </c>
    </row>
    <row r="176">
      <c r="A176" s="16" t="s">
        <v>385</v>
      </c>
      <c r="F176" s="13">
        <f>countif(Constants!L:L,$A176)</f>
        <v>1</v>
      </c>
      <c r="G176" s="13">
        <f>countif(Constants!F:F,$A176)</f>
        <v>1</v>
      </c>
      <c r="H176" s="14" t="str">
        <f t="shared" si="1"/>
        <v>http://sidigitalframework/constant/MolarMassConstant</v>
      </c>
      <c r="I176" s="15" t="str">
        <f t="shared" si="2"/>
        <v>MolarMassConstant</v>
      </c>
      <c r="J176" s="13">
        <f>countif(Concepts!A:A,I176)</f>
        <v>0</v>
      </c>
    </row>
    <row r="177">
      <c r="A177" s="16" t="s">
        <v>386</v>
      </c>
      <c r="F177" s="13">
        <f>countif(Constants!L:L,$A177)</f>
        <v>1</v>
      </c>
      <c r="G177" s="13">
        <f>countif(Constants!F:F,$A177)</f>
        <v>1</v>
      </c>
      <c r="H177" s="14" t="str">
        <f t="shared" si="1"/>
        <v>http://sidigitalframework/constant/MolarMassOfCarbon12</v>
      </c>
      <c r="I177" s="15" t="str">
        <f t="shared" si="2"/>
        <v>MolarMassOfCarbon12</v>
      </c>
      <c r="J177" s="13">
        <f>countif(Concepts!A:A,I177)</f>
        <v>0</v>
      </c>
    </row>
    <row r="178">
      <c r="A178" s="16" t="s">
        <v>387</v>
      </c>
      <c r="F178" s="13">
        <f>countif(Constants!L:L,$A178)</f>
        <v>1</v>
      </c>
      <c r="G178" s="13">
        <f>countif(Constants!F:F,$A178)</f>
        <v>1</v>
      </c>
      <c r="H178" s="14" t="str">
        <f t="shared" si="1"/>
        <v>http://sidigitalframework/constant/MolarPlanckConstant</v>
      </c>
      <c r="I178" s="15" t="str">
        <f t="shared" si="2"/>
        <v>MolarPlanckConstant</v>
      </c>
      <c r="J178" s="13">
        <f>countif(Concepts!A:A,I178)</f>
        <v>0</v>
      </c>
    </row>
    <row r="179">
      <c r="A179" s="16" t="s">
        <v>388</v>
      </c>
      <c r="F179" s="13">
        <f>countif(Constants!L:L,$A179)</f>
        <v>1</v>
      </c>
      <c r="G179" s="13">
        <f>countif(Constants!F:F,$A179)</f>
        <v>1</v>
      </c>
      <c r="H179" s="14" t="str">
        <f t="shared" si="1"/>
        <v>http://sidigitalframework/constant/MolarPlanckConstantTimesC</v>
      </c>
      <c r="I179" s="15" t="str">
        <f t="shared" si="2"/>
        <v>MolarPlanckConstantTimesC</v>
      </c>
      <c r="J179" s="13">
        <f>countif(Concepts!A:A,I179)</f>
        <v>0</v>
      </c>
    </row>
    <row r="180">
      <c r="A180" s="16" t="s">
        <v>389</v>
      </c>
      <c r="F180" s="13">
        <f>countif(Constants!L:L,$A180)</f>
        <v>2</v>
      </c>
      <c r="G180" s="13">
        <f>countif(Constants!F:F,$A180)</f>
        <v>1</v>
      </c>
      <c r="H180" s="14" t="str">
        <f t="shared" si="1"/>
        <v>http://sidigitalframework/constant/MolarVolumeOfIdealGas</v>
      </c>
      <c r="I180" s="15" t="str">
        <f t="shared" si="2"/>
        <v>MolarVolumeOfIdealGas</v>
      </c>
      <c r="J180" s="13">
        <f>countif(Concepts!A:A,I180)</f>
        <v>0</v>
      </c>
    </row>
    <row r="181">
      <c r="A181" s="16" t="s">
        <v>390</v>
      </c>
      <c r="F181" s="13">
        <f>countif(Constants!L:L,$A181)</f>
        <v>1</v>
      </c>
      <c r="G181" s="13">
        <f>countif(Constants!F:F,$A181)</f>
        <v>1</v>
      </c>
      <c r="H181" s="14" t="str">
        <f t="shared" si="1"/>
        <v>http://sidigitalframework/constant/MolarVolumeOfSilicon</v>
      </c>
      <c r="I181" s="15" t="str">
        <f t="shared" si="2"/>
        <v>MolarVolumeOfSilicon</v>
      </c>
      <c r="J181" s="13">
        <f>countif(Concepts!A:A,I181)</f>
        <v>0</v>
      </c>
    </row>
    <row r="182">
      <c r="A182" s="16" t="s">
        <v>391</v>
      </c>
      <c r="F182" s="13">
        <f>countif(Constants!L:L,$A182)</f>
        <v>1</v>
      </c>
      <c r="G182" s="13">
        <f>countif(Constants!F:F,$A182)</f>
        <v>1</v>
      </c>
      <c r="H182" s="14" t="str">
        <f t="shared" si="1"/>
        <v>http://sidigitalframework/constant/MoXUnit</v>
      </c>
      <c r="I182" s="15" t="str">
        <f t="shared" si="2"/>
        <v>MoXUnit</v>
      </c>
      <c r="J182" s="13">
        <f>countif(Concepts!A:A,I182)</f>
        <v>0</v>
      </c>
    </row>
    <row r="183">
      <c r="A183" s="16" t="s">
        <v>392</v>
      </c>
      <c r="F183" s="13">
        <f>countif(Constants!L:L,$A183)</f>
        <v>2</v>
      </c>
      <c r="G183" s="13">
        <f>countif(Constants!F:F,$A183)</f>
        <v>1</v>
      </c>
      <c r="H183" s="14" t="str">
        <f t="shared" si="1"/>
        <v>http://sidigitalframework/constant/MuonComptonWavelength</v>
      </c>
      <c r="I183" s="15" t="str">
        <f t="shared" si="2"/>
        <v>MuonComptonWavelength</v>
      </c>
      <c r="J183" s="13">
        <f>countif(Concepts!A:A,I183)</f>
        <v>0</v>
      </c>
    </row>
    <row r="184">
      <c r="A184" s="16" t="s">
        <v>393</v>
      </c>
      <c r="F184" s="13">
        <f>countif(Constants!L:L,$A184)</f>
        <v>1</v>
      </c>
      <c r="G184" s="13">
        <f>countif(Constants!F:F,$A184)</f>
        <v>1</v>
      </c>
      <c r="H184" s="14" t="str">
        <f t="shared" si="1"/>
        <v>http://sidigitalframework/constant/MuonElectronMassRatio</v>
      </c>
      <c r="I184" s="15" t="str">
        <f t="shared" si="2"/>
        <v>MuonElectronMassRatio</v>
      </c>
      <c r="J184" s="13">
        <f>countif(Concepts!A:A,I184)</f>
        <v>0</v>
      </c>
    </row>
    <row r="185">
      <c r="A185" s="16" t="s">
        <v>394</v>
      </c>
      <c r="F185" s="13">
        <f>countif(Constants!L:L,$A185)</f>
        <v>1</v>
      </c>
      <c r="G185" s="13">
        <f>countif(Constants!F:F,$A185)</f>
        <v>1</v>
      </c>
      <c r="H185" s="14" t="str">
        <f t="shared" si="1"/>
        <v>http://sidigitalframework/constant/MuonGFactor</v>
      </c>
      <c r="I185" s="15" t="str">
        <f t="shared" si="2"/>
        <v>MuonGFactor</v>
      </c>
      <c r="J185" s="13">
        <f>countif(Concepts!A:A,I185)</f>
        <v>0</v>
      </c>
    </row>
    <row r="186">
      <c r="A186" s="16" t="s">
        <v>395</v>
      </c>
      <c r="F186" s="13">
        <f>countif(Constants!L:L,$A186)</f>
        <v>1</v>
      </c>
      <c r="G186" s="13">
        <f>countif(Constants!F:F,$A186)</f>
        <v>1</v>
      </c>
      <c r="H186" s="14" t="str">
        <f t="shared" si="1"/>
        <v>http://sidigitalframework/constant/MuonMagneticMoment</v>
      </c>
      <c r="I186" s="15" t="str">
        <f t="shared" si="2"/>
        <v>MuonMagneticMoment</v>
      </c>
      <c r="J186" s="13">
        <f>countif(Concepts!A:A,I186)</f>
        <v>0</v>
      </c>
    </row>
    <row r="187">
      <c r="A187" s="17" t="s">
        <v>396</v>
      </c>
      <c r="F187" s="13">
        <f>countif(Constants!L:L,$A187)</f>
        <v>1</v>
      </c>
      <c r="G187" s="13">
        <f>countif(Constants!F:F,$A187)</f>
        <v>1</v>
      </c>
      <c r="H187" s="14" t="str">
        <f t="shared" si="1"/>
        <v>http://sidigitalframework/constant/MuonMagneticMomentAnomaly</v>
      </c>
      <c r="I187" s="15" t="str">
        <f t="shared" si="2"/>
        <v>MuonMagneticMomentAnomaly</v>
      </c>
      <c r="J187" s="13">
        <f>countif(Concepts!A:A,I187)</f>
        <v>0</v>
      </c>
    </row>
    <row r="188">
      <c r="A188" s="17" t="s">
        <v>397</v>
      </c>
      <c r="F188" s="13">
        <f>countif(Constants!L:L,$A188)</f>
        <v>1</v>
      </c>
      <c r="G188" s="13">
        <f>countif(Constants!F:F,$A188)</f>
        <v>1</v>
      </c>
      <c r="H188" s="14" t="str">
        <f t="shared" si="1"/>
        <v>http://sidigitalframework/constant/MuonMagneticMomentToBohrMagnetonRatio</v>
      </c>
      <c r="I188" s="15" t="str">
        <f t="shared" si="2"/>
        <v>MuonMagneticMomentToBohrMagnetonRatio</v>
      </c>
      <c r="J188" s="13">
        <f>countif(Concepts!A:A,I188)</f>
        <v>0</v>
      </c>
    </row>
    <row r="189">
      <c r="A189" s="16" t="s">
        <v>398</v>
      </c>
      <c r="F189" s="13">
        <f>countif(Constants!L:L,$A189)</f>
        <v>1</v>
      </c>
      <c r="G189" s="13">
        <f>countif(Constants!F:F,$A189)</f>
        <v>1</v>
      </c>
      <c r="H189" s="14" t="str">
        <f t="shared" si="1"/>
        <v>http://sidigitalframework/constant/MuonMagneticMomentToNuclearMagnetonRatio</v>
      </c>
      <c r="I189" s="15" t="str">
        <f t="shared" si="2"/>
        <v>MuonMagneticMomentToNuclearMagnetonRatio</v>
      </c>
      <c r="J189" s="13">
        <f>countif(Concepts!A:A,I189)</f>
        <v>0</v>
      </c>
    </row>
    <row r="190">
      <c r="A190" s="16" t="s">
        <v>399</v>
      </c>
      <c r="F190" s="13">
        <f>countif(Constants!L:L,$A190)</f>
        <v>4</v>
      </c>
      <c r="G190" s="13">
        <f>countif(Constants!F:F,$A190)</f>
        <v>1</v>
      </c>
      <c r="H190" s="14" t="str">
        <f t="shared" si="1"/>
        <v>http://sidigitalframework/constant/MuonMass</v>
      </c>
      <c r="I190" s="15" t="str">
        <f t="shared" si="2"/>
        <v>MuonMass</v>
      </c>
      <c r="J190" s="13">
        <f>countif(Concepts!A:A,I190)</f>
        <v>0</v>
      </c>
    </row>
    <row r="191">
      <c r="A191" s="16" t="s">
        <v>400</v>
      </c>
      <c r="F191" s="13">
        <f>countif(Constants!L:L,$A191)</f>
        <v>1</v>
      </c>
      <c r="G191" s="13">
        <f>countif(Constants!F:F,$A191)</f>
        <v>1</v>
      </c>
      <c r="H191" s="14" t="str">
        <f t="shared" si="1"/>
        <v>http://sidigitalframework/constant/MuonMolarMass</v>
      </c>
      <c r="I191" s="15" t="str">
        <f t="shared" si="2"/>
        <v>MuonMolarMass</v>
      </c>
      <c r="J191" s="13">
        <f>countif(Concepts!A:A,I191)</f>
        <v>0</v>
      </c>
    </row>
    <row r="192">
      <c r="A192" s="16" t="s">
        <v>401</v>
      </c>
      <c r="F192" s="13">
        <f>countif(Constants!L:L,$A192)</f>
        <v>1</v>
      </c>
      <c r="G192" s="13">
        <f>countif(Constants!F:F,$A192)</f>
        <v>1</v>
      </c>
      <c r="H192" s="14" t="str">
        <f t="shared" si="1"/>
        <v>http://sidigitalframework/constant/MuonNeutronMassRatio</v>
      </c>
      <c r="I192" s="15" t="str">
        <f t="shared" si="2"/>
        <v>MuonNeutronMassRatio</v>
      </c>
      <c r="J192" s="13">
        <f>countif(Concepts!A:A,I192)</f>
        <v>0</v>
      </c>
    </row>
    <row r="193">
      <c r="A193" s="16" t="s">
        <v>402</v>
      </c>
      <c r="F193" s="13">
        <f>countif(Constants!L:L,$A193)</f>
        <v>1</v>
      </c>
      <c r="G193" s="13">
        <f>countif(Constants!F:F,$A193)</f>
        <v>1</v>
      </c>
      <c r="H193" s="14" t="str">
        <f t="shared" si="1"/>
        <v>http://sidigitalframework/constant/MuonProtonMagneticMomentRatio</v>
      </c>
      <c r="I193" s="15" t="str">
        <f t="shared" si="2"/>
        <v>MuonProtonMagneticMomentRatio</v>
      </c>
      <c r="J193" s="13">
        <f>countif(Concepts!A:A,I193)</f>
        <v>0</v>
      </c>
    </row>
    <row r="194">
      <c r="A194" s="16" t="s">
        <v>403</v>
      </c>
      <c r="F194" s="13">
        <f>countif(Constants!L:L,$A194)</f>
        <v>1</v>
      </c>
      <c r="G194" s="13">
        <f>countif(Constants!F:F,$A194)</f>
        <v>1</v>
      </c>
      <c r="H194" s="14" t="str">
        <f t="shared" si="1"/>
        <v>http://sidigitalframework/constant/MuonProtonMassRatio</v>
      </c>
      <c r="I194" s="15" t="str">
        <f t="shared" si="2"/>
        <v>MuonProtonMassRatio</v>
      </c>
      <c r="J194" s="13">
        <f>countif(Concepts!A:A,I194)</f>
        <v>0</v>
      </c>
    </row>
    <row r="195">
      <c r="A195" s="16" t="s">
        <v>404</v>
      </c>
      <c r="F195" s="13">
        <f>countif(Constants!L:L,$A195)</f>
        <v>1</v>
      </c>
      <c r="G195" s="13">
        <f>countif(Constants!F:F,$A195)</f>
        <v>1</v>
      </c>
      <c r="H195" s="14" t="str">
        <f t="shared" si="1"/>
        <v>http://sidigitalframework/constant/MuonTauMassRatio</v>
      </c>
      <c r="I195" s="15" t="str">
        <f t="shared" si="2"/>
        <v>MuonTauMassRatio</v>
      </c>
      <c r="J195" s="13">
        <f>countif(Concepts!A:A,I195)</f>
        <v>0</v>
      </c>
    </row>
    <row r="196">
      <c r="A196" s="16" t="s">
        <v>405</v>
      </c>
      <c r="F196" s="13">
        <f>countif(Constants!L:L,$A196)</f>
        <v>2</v>
      </c>
      <c r="G196" s="13">
        <f>countif(Constants!F:F,$A196)</f>
        <v>1</v>
      </c>
      <c r="H196" s="14" t="str">
        <f t="shared" si="1"/>
        <v>http://sidigitalframework/constant/NaturalUnitOfAction</v>
      </c>
      <c r="I196" s="15" t="str">
        <f t="shared" si="2"/>
        <v>NaturalUnitOfAction</v>
      </c>
      <c r="J196" s="13">
        <f>countif(Concepts!A:A,I196)</f>
        <v>0</v>
      </c>
    </row>
    <row r="197">
      <c r="A197" s="17" t="s">
        <v>406</v>
      </c>
      <c r="F197" s="13">
        <f>countif(Constants!L:L,$A197)</f>
        <v>2</v>
      </c>
      <c r="G197" s="13">
        <f>countif(Constants!F:F,$A197)</f>
        <v>1</v>
      </c>
      <c r="H197" s="14" t="str">
        <f t="shared" si="1"/>
        <v>http://sidigitalframework/constant/NaturalUnitOfEnergy</v>
      </c>
      <c r="I197" s="15" t="str">
        <f t="shared" si="2"/>
        <v>NaturalUnitOfEnergy</v>
      </c>
      <c r="J197" s="13">
        <f>countif(Concepts!A:A,I197)</f>
        <v>0</v>
      </c>
    </row>
    <row r="198">
      <c r="A198" s="17" t="s">
        <v>407</v>
      </c>
      <c r="F198" s="13">
        <f>countif(Constants!L:L,$A198)</f>
        <v>1</v>
      </c>
      <c r="G198" s="13">
        <f>countif(Constants!F:F,$A198)</f>
        <v>1</v>
      </c>
      <c r="H198" s="14" t="str">
        <f t="shared" si="1"/>
        <v>http://sidigitalframework/constant/NaturalUnitOfLength</v>
      </c>
      <c r="I198" s="15" t="str">
        <f t="shared" si="2"/>
        <v>NaturalUnitOfLength</v>
      </c>
      <c r="J198" s="13">
        <f>countif(Concepts!A:A,I198)</f>
        <v>0</v>
      </c>
    </row>
    <row r="199">
      <c r="A199" s="16" t="s">
        <v>408</v>
      </c>
      <c r="F199" s="13">
        <f>countif(Constants!L:L,$A199)</f>
        <v>1</v>
      </c>
      <c r="G199" s="13">
        <f>countif(Constants!F:F,$A199)</f>
        <v>1</v>
      </c>
      <c r="H199" s="14" t="str">
        <f t="shared" si="1"/>
        <v>http://sidigitalframework/constant/NaturalUnitOfMass</v>
      </c>
      <c r="I199" s="15" t="str">
        <f t="shared" si="2"/>
        <v>NaturalUnitOfMass</v>
      </c>
      <c r="J199" s="13">
        <f>countif(Concepts!A:A,I199)</f>
        <v>0</v>
      </c>
    </row>
    <row r="200">
      <c r="A200" s="16" t="s">
        <v>409</v>
      </c>
      <c r="F200" s="13">
        <f>countif(Constants!L:L,$A200)</f>
        <v>2</v>
      </c>
      <c r="G200" s="13">
        <f>countif(Constants!F:F,$A200)</f>
        <v>1</v>
      </c>
      <c r="H200" s="14" t="str">
        <f t="shared" si="1"/>
        <v>http://sidigitalframework/constant/NaturalUnitOfMomentum</v>
      </c>
      <c r="I200" s="15" t="str">
        <f t="shared" si="2"/>
        <v>NaturalUnitOfMomentum</v>
      </c>
      <c r="J200" s="13">
        <f>countif(Concepts!A:A,I200)</f>
        <v>0</v>
      </c>
    </row>
    <row r="201">
      <c r="A201" s="16" t="s">
        <v>410</v>
      </c>
      <c r="F201" s="13">
        <f>countif(Constants!L:L,$A201)</f>
        <v>1</v>
      </c>
      <c r="G201" s="13">
        <f>countif(Constants!F:F,$A201)</f>
        <v>1</v>
      </c>
      <c r="H201" s="14" t="str">
        <f t="shared" si="1"/>
        <v>http://sidigitalframework/constant/NaturalUnitOfTime</v>
      </c>
      <c r="I201" s="15" t="str">
        <f t="shared" si="2"/>
        <v>NaturalUnitOfTime</v>
      </c>
      <c r="J201" s="13">
        <f>countif(Concepts!A:A,I201)</f>
        <v>0</v>
      </c>
    </row>
    <row r="202">
      <c r="A202" s="16" t="s">
        <v>411</v>
      </c>
      <c r="F202" s="13">
        <f>countif(Constants!L:L,$A202)</f>
        <v>1</v>
      </c>
      <c r="G202" s="13">
        <f>countif(Constants!F:F,$A202)</f>
        <v>1</v>
      </c>
      <c r="H202" s="14" t="str">
        <f t="shared" si="1"/>
        <v>http://sidigitalframework/constant/NaturalUnitOfVelocity</v>
      </c>
      <c r="I202" s="15" t="str">
        <f t="shared" si="2"/>
        <v>NaturalUnitOfVelocity</v>
      </c>
      <c r="J202" s="13">
        <f>countif(Concepts!A:A,I202)</f>
        <v>0</v>
      </c>
    </row>
    <row r="203">
      <c r="A203" s="16" t="s">
        <v>412</v>
      </c>
      <c r="F203" s="13">
        <f>countif(Constants!L:L,$A203)</f>
        <v>2</v>
      </c>
      <c r="G203" s="13">
        <f>countif(Constants!F:F,$A203)</f>
        <v>1</v>
      </c>
      <c r="H203" s="14" t="str">
        <f t="shared" si="1"/>
        <v>http://sidigitalframework/constant/NeutronComptonWavelength</v>
      </c>
      <c r="I203" s="15" t="str">
        <f t="shared" si="2"/>
        <v>NeutronComptonWavelength</v>
      </c>
      <c r="J203" s="13">
        <f>countif(Concepts!A:A,I203)</f>
        <v>0</v>
      </c>
    </row>
    <row r="204">
      <c r="A204" s="16" t="s">
        <v>413</v>
      </c>
      <c r="F204" s="13">
        <f>countif(Constants!L:L,$A204)</f>
        <v>1</v>
      </c>
      <c r="G204" s="13">
        <f>countif(Constants!F:F,$A204)</f>
        <v>1</v>
      </c>
      <c r="H204" s="14" t="str">
        <f t="shared" si="1"/>
        <v>http://sidigitalframework/constant/NeutronElectronMagneticMomentRatio</v>
      </c>
      <c r="I204" s="15" t="str">
        <f t="shared" si="2"/>
        <v>NeutronElectronMagneticMomentRatio</v>
      </c>
      <c r="J204" s="13">
        <f>countif(Concepts!A:A,I204)</f>
        <v>0</v>
      </c>
    </row>
    <row r="205">
      <c r="A205" s="16" t="s">
        <v>414</v>
      </c>
      <c r="F205" s="13">
        <f>countif(Constants!L:L,$A205)</f>
        <v>1</v>
      </c>
      <c r="G205" s="13">
        <f>countif(Constants!F:F,$A205)</f>
        <v>1</v>
      </c>
      <c r="H205" s="14" t="str">
        <f t="shared" si="1"/>
        <v>http://sidigitalframework/constant/NeutronElectronMassRatio</v>
      </c>
      <c r="I205" s="15" t="str">
        <f t="shared" si="2"/>
        <v>NeutronElectronMassRatio</v>
      </c>
      <c r="J205" s="13">
        <f>countif(Concepts!A:A,I205)</f>
        <v>0</v>
      </c>
    </row>
    <row r="206">
      <c r="A206" s="16" t="s">
        <v>415</v>
      </c>
      <c r="F206" s="13">
        <f>countif(Constants!L:L,$A206)</f>
        <v>1</v>
      </c>
      <c r="G206" s="13">
        <f>countif(Constants!F:F,$A206)</f>
        <v>1</v>
      </c>
      <c r="H206" s="14" t="str">
        <f t="shared" si="1"/>
        <v>http://sidigitalframework/constant/NeutronGFactor</v>
      </c>
      <c r="I206" s="15" t="str">
        <f t="shared" si="2"/>
        <v>NeutronGFactor</v>
      </c>
      <c r="J206" s="13">
        <f>countif(Concepts!A:A,I206)</f>
        <v>0</v>
      </c>
    </row>
    <row r="207">
      <c r="A207" s="16" t="s">
        <v>416</v>
      </c>
      <c r="F207" s="13">
        <f>countif(Constants!L:L,$A207)</f>
        <v>2</v>
      </c>
      <c r="G207" s="13">
        <f>countif(Constants!F:F,$A207)</f>
        <v>1</v>
      </c>
      <c r="H207" s="14" t="str">
        <f t="shared" si="1"/>
        <v>http://sidigitalframework/constant/NeutronGyromagneticRatio</v>
      </c>
      <c r="I207" s="15" t="str">
        <f t="shared" si="2"/>
        <v>NeutronGyromagneticRatio</v>
      </c>
      <c r="J207" s="13">
        <f>countif(Concepts!A:A,I207)</f>
        <v>0</v>
      </c>
    </row>
    <row r="208">
      <c r="A208" s="16" t="s">
        <v>417</v>
      </c>
      <c r="F208" s="13">
        <f>countif(Constants!L:L,$A208)</f>
        <v>1</v>
      </c>
      <c r="G208" s="13">
        <f>countif(Constants!F:F,$A208)</f>
        <v>1</v>
      </c>
      <c r="H208" s="14" t="str">
        <f t="shared" si="1"/>
        <v>http://sidigitalframework/constant/NeutronMagneticMoment</v>
      </c>
      <c r="I208" s="15" t="str">
        <f t="shared" si="2"/>
        <v>NeutronMagneticMoment</v>
      </c>
      <c r="J208" s="13">
        <f>countif(Concepts!A:A,I208)</f>
        <v>0</v>
      </c>
    </row>
    <row r="209">
      <c r="A209" s="16" t="s">
        <v>418</v>
      </c>
      <c r="F209" s="13">
        <f>countif(Constants!L:L,$A209)</f>
        <v>1</v>
      </c>
      <c r="G209" s="13">
        <f>countif(Constants!F:F,$A209)</f>
        <v>1</v>
      </c>
      <c r="H209" s="14" t="str">
        <f t="shared" si="1"/>
        <v>http://sidigitalframework/constant/NeutronMagneticMomentToBohrMagnetonRatio</v>
      </c>
      <c r="I209" s="15" t="str">
        <f t="shared" si="2"/>
        <v>NeutronMagneticMomentToBohrMagnetonRatio</v>
      </c>
      <c r="J209" s="13">
        <f>countif(Concepts!A:A,I209)</f>
        <v>0</v>
      </c>
    </row>
    <row r="210">
      <c r="A210" s="16" t="s">
        <v>419</v>
      </c>
      <c r="F210" s="13">
        <f>countif(Constants!L:L,$A210)</f>
        <v>1</v>
      </c>
      <c r="G210" s="13">
        <f>countif(Constants!F:F,$A210)</f>
        <v>1</v>
      </c>
      <c r="H210" s="14" t="str">
        <f t="shared" si="1"/>
        <v>http://sidigitalframework/constant/NeutronMagneticMomentToNuclearMagnetonRatio</v>
      </c>
      <c r="I210" s="15" t="str">
        <f t="shared" si="2"/>
        <v>NeutronMagneticMomentToNuclearMagnetonRatio</v>
      </c>
      <c r="J210" s="13">
        <f>countif(Concepts!A:A,I210)</f>
        <v>0</v>
      </c>
    </row>
    <row r="211">
      <c r="A211" s="16" t="s">
        <v>420</v>
      </c>
      <c r="F211" s="13">
        <f>countif(Constants!L:L,$A211)</f>
        <v>4</v>
      </c>
      <c r="G211" s="13">
        <f>countif(Constants!F:F,$A211)</f>
        <v>1</v>
      </c>
      <c r="H211" s="14" t="str">
        <f t="shared" si="1"/>
        <v>http://sidigitalframework/constant/NeutronMass</v>
      </c>
      <c r="I211" s="15" t="str">
        <f t="shared" si="2"/>
        <v>NeutronMass</v>
      </c>
      <c r="J211" s="13">
        <f>countif(Concepts!A:A,I211)</f>
        <v>0</v>
      </c>
    </row>
    <row r="212">
      <c r="A212" s="16" t="s">
        <v>421</v>
      </c>
      <c r="F212" s="13">
        <f>countif(Constants!L:L,$A212)</f>
        <v>1</v>
      </c>
      <c r="G212" s="13">
        <f>countif(Constants!F:F,$A212)</f>
        <v>1</v>
      </c>
      <c r="H212" s="14" t="str">
        <f t="shared" si="1"/>
        <v>http://sidigitalframework/constant/NeutronMolarMass</v>
      </c>
      <c r="I212" s="15" t="str">
        <f t="shared" si="2"/>
        <v>NeutronMolarMass</v>
      </c>
      <c r="J212" s="13">
        <f>countif(Concepts!A:A,I212)</f>
        <v>0</v>
      </c>
    </row>
    <row r="213">
      <c r="A213" s="16" t="s">
        <v>422</v>
      </c>
      <c r="F213" s="13">
        <f>countif(Constants!L:L,$A213)</f>
        <v>1</v>
      </c>
      <c r="G213" s="13">
        <f>countif(Constants!F:F,$A213)</f>
        <v>1</v>
      </c>
      <c r="H213" s="14" t="str">
        <f t="shared" si="1"/>
        <v>http://sidigitalframework/constant/NeutronMuonMassRatio</v>
      </c>
      <c r="I213" s="15" t="str">
        <f t="shared" si="2"/>
        <v>NeutronMuonMassRatio</v>
      </c>
      <c r="J213" s="13">
        <f>countif(Concepts!A:A,I213)</f>
        <v>0</v>
      </c>
    </row>
    <row r="214">
      <c r="A214" s="16" t="s">
        <v>423</v>
      </c>
      <c r="F214" s="13">
        <f>countif(Constants!L:L,$A214)</f>
        <v>1</v>
      </c>
      <c r="G214" s="13">
        <f>countif(Constants!F:F,$A214)</f>
        <v>1</v>
      </c>
      <c r="H214" s="14" t="str">
        <f t="shared" si="1"/>
        <v>http://sidigitalframework/constant/NeutronProtonMagneticMomentRatio</v>
      </c>
      <c r="I214" s="15" t="str">
        <f t="shared" si="2"/>
        <v>NeutronProtonMagneticMomentRatio</v>
      </c>
      <c r="J214" s="13">
        <f>countif(Concepts!A:A,I214)</f>
        <v>0</v>
      </c>
    </row>
    <row r="215">
      <c r="A215" s="16" t="s">
        <v>424</v>
      </c>
      <c r="F215" s="13">
        <f>countif(Constants!L:L,$A215)</f>
        <v>4</v>
      </c>
      <c r="G215" s="13">
        <f>countif(Constants!F:F,$A215)</f>
        <v>1</v>
      </c>
      <c r="H215" s="14" t="str">
        <f t="shared" si="1"/>
        <v>http://sidigitalframework/constant/Neutron-ProtonMassDifference</v>
      </c>
      <c r="I215" s="15" t="str">
        <f t="shared" si="2"/>
        <v>Neutron-ProtonMassDifference</v>
      </c>
      <c r="J215" s="13">
        <f>countif(Concepts!A:A,I215)</f>
        <v>0</v>
      </c>
    </row>
    <row r="216">
      <c r="A216" s="16" t="s">
        <v>425</v>
      </c>
      <c r="F216" s="13">
        <f>countif(Constants!L:L,$A216)</f>
        <v>1</v>
      </c>
      <c r="G216" s="13">
        <f>countif(Constants!F:F,$A216)</f>
        <v>1</v>
      </c>
      <c r="H216" s="14" t="str">
        <f t="shared" si="1"/>
        <v>http://sidigitalframework/constant/NeutronProtonMassRatio</v>
      </c>
      <c r="I216" s="15" t="str">
        <f t="shared" si="2"/>
        <v>NeutronProtonMassRatio</v>
      </c>
      <c r="J216" s="13">
        <f>countif(Concepts!A:A,I216)</f>
        <v>0</v>
      </c>
    </row>
    <row r="217">
      <c r="A217" s="16" t="s">
        <v>426</v>
      </c>
      <c r="F217" s="13">
        <f>countif(Constants!L:L,$A217)</f>
        <v>1</v>
      </c>
      <c r="G217" s="13">
        <f>countif(Constants!F:F,$A217)</f>
        <v>1</v>
      </c>
      <c r="H217" s="14" t="str">
        <f t="shared" si="1"/>
        <v>http://sidigitalframework/constant/NeutronRelativeAtomicMass</v>
      </c>
      <c r="I217" s="15" t="str">
        <f t="shared" si="2"/>
        <v>NeutronRelativeAtomicMass</v>
      </c>
      <c r="J217" s="13">
        <f>countif(Concepts!A:A,I217)</f>
        <v>0</v>
      </c>
    </row>
    <row r="218">
      <c r="A218" s="16" t="s">
        <v>427</v>
      </c>
      <c r="F218" s="13">
        <f>countif(Constants!L:L,$A218)</f>
        <v>1</v>
      </c>
      <c r="G218" s="13">
        <f>countif(Constants!F:F,$A218)</f>
        <v>1</v>
      </c>
      <c r="H218" s="14" t="str">
        <f t="shared" si="1"/>
        <v>http://sidigitalframework/constant/NeutronTauMassRatio</v>
      </c>
      <c r="I218" s="15" t="str">
        <f t="shared" si="2"/>
        <v>NeutronTauMassRatio</v>
      </c>
      <c r="J218" s="13">
        <f>countif(Concepts!A:A,I218)</f>
        <v>0</v>
      </c>
    </row>
    <row r="219">
      <c r="A219" s="16" t="s">
        <v>428</v>
      </c>
      <c r="F219" s="13">
        <f>countif(Constants!L:L,$A219)</f>
        <v>1</v>
      </c>
      <c r="G219" s="13">
        <f>countif(Constants!F:F,$A219)</f>
        <v>1</v>
      </c>
      <c r="H219" s="14" t="str">
        <f t="shared" si="1"/>
        <v>http://sidigitalframework/constant/NeutronToShieldedProtonMagneticMomentRatio</v>
      </c>
      <c r="I219" s="15" t="str">
        <f t="shared" si="2"/>
        <v>NeutronToShieldedProtonMagneticMomentRatio</v>
      </c>
      <c r="J219" s="13">
        <f>countif(Concepts!A:A,I219)</f>
        <v>0</v>
      </c>
    </row>
    <row r="220">
      <c r="A220" s="16" t="s">
        <v>429</v>
      </c>
      <c r="F220" s="13">
        <f>countif(Constants!L:L,$A220)</f>
        <v>2</v>
      </c>
      <c r="G220" s="13">
        <f>countif(Constants!F:F,$A220)</f>
        <v>1</v>
      </c>
      <c r="H220" s="14" t="str">
        <f t="shared" si="1"/>
        <v>http://sidigitalframework/constant/NewtonianConstantOfGravitation</v>
      </c>
      <c r="I220" s="15" t="str">
        <f t="shared" si="2"/>
        <v>NewtonianConstantOfGravitation</v>
      </c>
      <c r="J220" s="13">
        <f>countif(Concepts!A:A,I220)</f>
        <v>0</v>
      </c>
    </row>
    <row r="221">
      <c r="A221" s="16" t="s">
        <v>430</v>
      </c>
      <c r="F221" s="13">
        <f>countif(Constants!L:L,$A221)</f>
        <v>5</v>
      </c>
      <c r="G221" s="13">
        <f>countif(Constants!F:F,$A221)</f>
        <v>1</v>
      </c>
      <c r="H221" s="14" t="str">
        <f t="shared" si="1"/>
        <v>http://sidigitalframework/constant/NuclearMagneton</v>
      </c>
      <c r="I221" s="15" t="str">
        <f t="shared" si="2"/>
        <v>NuclearMagneton</v>
      </c>
      <c r="J221" s="13">
        <f>countif(Concepts!A:A,I221)</f>
        <v>0</v>
      </c>
    </row>
    <row r="222">
      <c r="A222" s="16" t="s">
        <v>208</v>
      </c>
      <c r="F222" s="13">
        <f>countif(Constants!L:L,$A222)</f>
        <v>5</v>
      </c>
      <c r="G222" s="13">
        <f>countif(Constants!F:F,$A222)</f>
        <v>1</v>
      </c>
      <c r="H222" s="14" t="str">
        <f t="shared" si="1"/>
        <v>http://sidigitalframework/constant/PlanckConstant</v>
      </c>
      <c r="I222" s="15" t="str">
        <f t="shared" si="2"/>
        <v>PlanckConstant</v>
      </c>
      <c r="J222" s="13">
        <f>countif(Concepts!A:A,I222)</f>
        <v>1</v>
      </c>
    </row>
    <row r="223">
      <c r="A223" s="16" t="s">
        <v>431</v>
      </c>
      <c r="F223" s="13">
        <f>countif(Constants!L:L,$A223)</f>
        <v>1</v>
      </c>
      <c r="G223" s="13">
        <f>countif(Constants!F:F,$A223)</f>
        <v>1</v>
      </c>
      <c r="H223" s="14" t="str">
        <f t="shared" si="1"/>
        <v>http://sidigitalframework/constant/PlanckLength</v>
      </c>
      <c r="I223" s="15" t="str">
        <f t="shared" si="2"/>
        <v>PlanckLength</v>
      </c>
      <c r="J223" s="13">
        <f>countif(Concepts!A:A,I223)</f>
        <v>0</v>
      </c>
    </row>
    <row r="224">
      <c r="A224" s="16" t="s">
        <v>432</v>
      </c>
      <c r="F224" s="13">
        <f>countif(Constants!L:L,$A224)</f>
        <v>2</v>
      </c>
      <c r="G224" s="13">
        <f>countif(Constants!F:F,$A224)</f>
        <v>1</v>
      </c>
      <c r="H224" s="14" t="str">
        <f t="shared" si="1"/>
        <v>http://sidigitalframework/constant/PlanckMass</v>
      </c>
      <c r="I224" s="15" t="str">
        <f t="shared" si="2"/>
        <v>PlanckMass</v>
      </c>
      <c r="J224" s="13">
        <f>countif(Concepts!A:A,I224)</f>
        <v>0</v>
      </c>
    </row>
    <row r="225">
      <c r="A225" s="16" t="s">
        <v>433</v>
      </c>
      <c r="F225" s="13">
        <f>countif(Constants!L:L,$A225)</f>
        <v>1</v>
      </c>
      <c r="G225" s="13">
        <f>countif(Constants!F:F,$A225)</f>
        <v>1</v>
      </c>
      <c r="H225" s="14" t="str">
        <f t="shared" si="1"/>
        <v>http://sidigitalframework/constant/PlanckTemperature</v>
      </c>
      <c r="I225" s="15" t="str">
        <f t="shared" si="2"/>
        <v>PlanckTemperature</v>
      </c>
      <c r="J225" s="13">
        <f>countif(Concepts!A:A,I225)</f>
        <v>0</v>
      </c>
    </row>
    <row r="226">
      <c r="A226" s="16" t="s">
        <v>434</v>
      </c>
      <c r="F226" s="13">
        <f>countif(Constants!L:L,$A226)</f>
        <v>1</v>
      </c>
      <c r="G226" s="13">
        <f>countif(Constants!F:F,$A226)</f>
        <v>1</v>
      </c>
      <c r="H226" s="14" t="str">
        <f t="shared" si="1"/>
        <v>http://sidigitalframework/constant/PlanckTime</v>
      </c>
      <c r="I226" s="15" t="str">
        <f t="shared" si="2"/>
        <v>PlanckTime</v>
      </c>
      <c r="J226" s="13">
        <f>countif(Concepts!A:A,I226)</f>
        <v>0</v>
      </c>
    </row>
    <row r="227">
      <c r="A227" s="16" t="s">
        <v>435</v>
      </c>
      <c r="F227" s="13">
        <f>countif(Constants!L:L,$A227)</f>
        <v>1</v>
      </c>
      <c r="G227" s="13">
        <f>countif(Constants!F:F,$A227)</f>
        <v>1</v>
      </c>
      <c r="H227" s="14" t="str">
        <f t="shared" si="1"/>
        <v>http://sidigitalframework/constant/ProtonChargeToMassQuotient</v>
      </c>
      <c r="I227" s="15" t="str">
        <f t="shared" si="2"/>
        <v>ProtonChargeToMassQuotient</v>
      </c>
      <c r="J227" s="13">
        <f>countif(Concepts!A:A,I227)</f>
        <v>0</v>
      </c>
    </row>
    <row r="228">
      <c r="A228" s="16" t="s">
        <v>436</v>
      </c>
      <c r="F228" s="13">
        <f>countif(Constants!L:L,$A228)</f>
        <v>2</v>
      </c>
      <c r="G228" s="13">
        <f>countif(Constants!F:F,$A228)</f>
        <v>1</v>
      </c>
      <c r="H228" s="14" t="str">
        <f t="shared" si="1"/>
        <v>http://sidigitalframework/constant/ProtonComptonWavelength</v>
      </c>
      <c r="I228" s="15" t="str">
        <f t="shared" si="2"/>
        <v>ProtonComptonWavelength</v>
      </c>
      <c r="J228" s="13">
        <f>countif(Concepts!A:A,I228)</f>
        <v>0</v>
      </c>
    </row>
    <row r="229">
      <c r="A229" s="16" t="s">
        <v>437</v>
      </c>
      <c r="F229" s="13">
        <f>countif(Constants!L:L,$A229)</f>
        <v>1</v>
      </c>
      <c r="G229" s="13">
        <f>countif(Constants!F:F,$A229)</f>
        <v>1</v>
      </c>
      <c r="H229" s="14" t="str">
        <f t="shared" si="1"/>
        <v>http://sidigitalframework/constant/ProtonElectronMassRatio</v>
      </c>
      <c r="I229" s="15" t="str">
        <f t="shared" si="2"/>
        <v>ProtonElectronMassRatio</v>
      </c>
      <c r="J229" s="13">
        <f>countif(Concepts!A:A,I229)</f>
        <v>0</v>
      </c>
    </row>
    <row r="230">
      <c r="A230" s="16" t="s">
        <v>438</v>
      </c>
      <c r="F230" s="13">
        <f>countif(Constants!L:L,$A230)</f>
        <v>1</v>
      </c>
      <c r="G230" s="13">
        <f>countif(Constants!F:F,$A230)</f>
        <v>1</v>
      </c>
      <c r="H230" s="14" t="str">
        <f t="shared" si="1"/>
        <v>http://sidigitalframework/constant/ProtonGFactor</v>
      </c>
      <c r="I230" s="15" t="str">
        <f t="shared" si="2"/>
        <v>ProtonGFactor</v>
      </c>
      <c r="J230" s="13">
        <f>countif(Concepts!A:A,I230)</f>
        <v>0</v>
      </c>
    </row>
    <row r="231">
      <c r="A231" s="16" t="s">
        <v>439</v>
      </c>
      <c r="F231" s="13">
        <f>countif(Constants!L:L,$A231)</f>
        <v>2</v>
      </c>
      <c r="G231" s="13">
        <f>countif(Constants!F:F,$A231)</f>
        <v>1</v>
      </c>
      <c r="H231" s="14" t="str">
        <f t="shared" si="1"/>
        <v>http://sidigitalframework/constant/ProtonGyromagneticRatio</v>
      </c>
      <c r="I231" s="15" t="str">
        <f t="shared" si="2"/>
        <v>ProtonGyromagneticRatio</v>
      </c>
      <c r="J231" s="13">
        <f>countif(Concepts!A:A,I231)</f>
        <v>0</v>
      </c>
    </row>
    <row r="232">
      <c r="A232" s="16" t="s">
        <v>440</v>
      </c>
      <c r="F232" s="13">
        <f>countif(Constants!L:L,$A232)</f>
        <v>1</v>
      </c>
      <c r="G232" s="13">
        <f>countif(Constants!F:F,$A232)</f>
        <v>1</v>
      </c>
      <c r="H232" s="14" t="str">
        <f t="shared" si="1"/>
        <v>http://sidigitalframework/constant/ProtonMagneticMoment</v>
      </c>
      <c r="I232" s="15" t="str">
        <f t="shared" si="2"/>
        <v>ProtonMagneticMoment</v>
      </c>
      <c r="J232" s="13">
        <f>countif(Concepts!A:A,I232)</f>
        <v>0</v>
      </c>
    </row>
    <row r="233">
      <c r="A233" s="16" t="s">
        <v>441</v>
      </c>
      <c r="F233" s="13">
        <f>countif(Constants!L:L,$A233)</f>
        <v>1</v>
      </c>
      <c r="G233" s="13">
        <f>countif(Constants!F:F,$A233)</f>
        <v>1</v>
      </c>
      <c r="H233" s="14" t="str">
        <f t="shared" si="1"/>
        <v>http://sidigitalframework/constant/ProtonMagneticMomentToBohrMagnetonRatio</v>
      </c>
      <c r="I233" s="15" t="str">
        <f t="shared" si="2"/>
        <v>ProtonMagneticMomentToBohrMagnetonRatio</v>
      </c>
      <c r="J233" s="13">
        <f>countif(Concepts!A:A,I233)</f>
        <v>0</v>
      </c>
    </row>
    <row r="234">
      <c r="A234" s="16" t="s">
        <v>442</v>
      </c>
      <c r="F234" s="13">
        <f>countif(Constants!L:L,$A234)</f>
        <v>1</v>
      </c>
      <c r="G234" s="13">
        <f>countif(Constants!F:F,$A234)</f>
        <v>1</v>
      </c>
      <c r="H234" s="14" t="str">
        <f t="shared" si="1"/>
        <v>http://sidigitalframework/constant/ProtonMagneticMomentToNuclearMagnetonRatio</v>
      </c>
      <c r="I234" s="15" t="str">
        <f t="shared" si="2"/>
        <v>ProtonMagneticMomentToNuclearMagnetonRatio</v>
      </c>
      <c r="J234" s="13">
        <f>countif(Concepts!A:A,I234)</f>
        <v>0</v>
      </c>
    </row>
    <row r="235">
      <c r="A235" s="16" t="s">
        <v>443</v>
      </c>
      <c r="F235" s="13">
        <f>countif(Constants!L:L,$A235)</f>
        <v>1</v>
      </c>
      <c r="G235" s="13">
        <f>countif(Constants!F:F,$A235)</f>
        <v>1</v>
      </c>
      <c r="H235" s="14" t="str">
        <f t="shared" si="1"/>
        <v>http://sidigitalframework/constant/ProtonMagneticShieldingCorrection</v>
      </c>
      <c r="I235" s="15" t="str">
        <f t="shared" si="2"/>
        <v>ProtonMagneticShieldingCorrection</v>
      </c>
      <c r="J235" s="13">
        <f>countif(Concepts!A:A,I235)</f>
        <v>0</v>
      </c>
    </row>
    <row r="236">
      <c r="A236" s="16" t="s">
        <v>444</v>
      </c>
      <c r="F236" s="13">
        <f>countif(Constants!L:L,$A236)</f>
        <v>4</v>
      </c>
      <c r="G236" s="13">
        <f>countif(Constants!F:F,$A236)</f>
        <v>1</v>
      </c>
      <c r="H236" s="14" t="str">
        <f t="shared" si="1"/>
        <v>http://sidigitalframework/constant/ProtonMass</v>
      </c>
      <c r="I236" s="15" t="str">
        <f t="shared" si="2"/>
        <v>ProtonMass</v>
      </c>
      <c r="J236" s="13">
        <f>countif(Concepts!A:A,I236)</f>
        <v>0</v>
      </c>
    </row>
    <row r="237">
      <c r="A237" s="16" t="s">
        <v>445</v>
      </c>
      <c r="F237" s="13">
        <f>countif(Constants!L:L,$A237)</f>
        <v>1</v>
      </c>
      <c r="G237" s="13">
        <f>countif(Constants!F:F,$A237)</f>
        <v>1</v>
      </c>
      <c r="H237" s="14" t="str">
        <f t="shared" si="1"/>
        <v>http://sidigitalframework/constant/ProtonMolarMass</v>
      </c>
      <c r="I237" s="15" t="str">
        <f t="shared" si="2"/>
        <v>ProtonMolarMass</v>
      </c>
      <c r="J237" s="13">
        <f>countif(Concepts!A:A,I237)</f>
        <v>0</v>
      </c>
    </row>
    <row r="238">
      <c r="A238" s="16" t="s">
        <v>446</v>
      </c>
      <c r="F238" s="13">
        <f>countif(Constants!L:L,$A238)</f>
        <v>1</v>
      </c>
      <c r="G238" s="13">
        <f>countif(Constants!F:F,$A238)</f>
        <v>1</v>
      </c>
      <c r="H238" s="14" t="str">
        <f t="shared" si="1"/>
        <v>http://sidigitalframework/constant/ProtonMuonMassRatio</v>
      </c>
      <c r="I238" s="15" t="str">
        <f t="shared" si="2"/>
        <v>ProtonMuonMassRatio</v>
      </c>
      <c r="J238" s="13">
        <f>countif(Concepts!A:A,I238)</f>
        <v>0</v>
      </c>
    </row>
    <row r="239">
      <c r="A239" s="16" t="s">
        <v>447</v>
      </c>
      <c r="F239" s="13">
        <f>countif(Constants!L:L,$A239)</f>
        <v>1</v>
      </c>
      <c r="G239" s="13">
        <f>countif(Constants!F:F,$A239)</f>
        <v>1</v>
      </c>
      <c r="H239" s="14" t="str">
        <f t="shared" si="1"/>
        <v>http://sidigitalframework/constant/ProtonNeutronMagneticMomentRatio</v>
      </c>
      <c r="I239" s="15" t="str">
        <f t="shared" si="2"/>
        <v>ProtonNeutronMagneticMomentRatio</v>
      </c>
      <c r="J239" s="13">
        <f>countif(Concepts!A:A,I239)</f>
        <v>0</v>
      </c>
    </row>
    <row r="240">
      <c r="A240" s="16" t="s">
        <v>448</v>
      </c>
      <c r="F240" s="13">
        <f>countif(Constants!L:L,$A240)</f>
        <v>1</v>
      </c>
      <c r="G240" s="13">
        <f>countif(Constants!F:F,$A240)</f>
        <v>1</v>
      </c>
      <c r="H240" s="14" t="str">
        <f t="shared" si="1"/>
        <v>http://sidigitalframework/constant/ProtonNeutronMassRatio</v>
      </c>
      <c r="I240" s="15" t="str">
        <f t="shared" si="2"/>
        <v>ProtonNeutronMassRatio</v>
      </c>
      <c r="J240" s="13">
        <f>countif(Concepts!A:A,I240)</f>
        <v>0</v>
      </c>
    </row>
    <row r="241">
      <c r="A241" s="16" t="s">
        <v>449</v>
      </c>
      <c r="F241" s="13">
        <f>countif(Constants!L:L,$A241)</f>
        <v>1</v>
      </c>
      <c r="G241" s="13">
        <f>countif(Constants!F:F,$A241)</f>
        <v>1</v>
      </c>
      <c r="H241" s="14" t="str">
        <f t="shared" si="1"/>
        <v>http://sidigitalframework/constant/ProtonRelativeAtomicMass</v>
      </c>
      <c r="I241" s="15" t="str">
        <f t="shared" si="2"/>
        <v>ProtonRelativeAtomicMass</v>
      </c>
      <c r="J241" s="13">
        <f>countif(Concepts!A:A,I241)</f>
        <v>0</v>
      </c>
    </row>
    <row r="242">
      <c r="A242" s="16" t="s">
        <v>450</v>
      </c>
      <c r="F242" s="13">
        <f>countif(Constants!L:L,$A242)</f>
        <v>1</v>
      </c>
      <c r="G242" s="13">
        <f>countif(Constants!F:F,$A242)</f>
        <v>1</v>
      </c>
      <c r="H242" s="14" t="str">
        <f t="shared" si="1"/>
        <v>http://sidigitalframework/constant/ProtonRmsChargeRadius</v>
      </c>
      <c r="I242" s="15" t="str">
        <f t="shared" si="2"/>
        <v>ProtonRmsChargeRadius</v>
      </c>
      <c r="J242" s="13">
        <f>countif(Concepts!A:A,I242)</f>
        <v>0</v>
      </c>
    </row>
    <row r="243">
      <c r="A243" s="16" t="s">
        <v>451</v>
      </c>
      <c r="F243" s="13">
        <f>countif(Constants!L:L,$A243)</f>
        <v>1</v>
      </c>
      <c r="G243" s="13">
        <f>countif(Constants!F:F,$A243)</f>
        <v>1</v>
      </c>
      <c r="H243" s="14" t="str">
        <f t="shared" si="1"/>
        <v>http://sidigitalframework/constant/ProtonTauMassRatio</v>
      </c>
      <c r="I243" s="15" t="str">
        <f t="shared" si="2"/>
        <v>ProtonTauMassRatio</v>
      </c>
      <c r="J243" s="13">
        <f>countif(Concepts!A:A,I243)</f>
        <v>0</v>
      </c>
    </row>
    <row r="244">
      <c r="A244" s="16" t="s">
        <v>452</v>
      </c>
      <c r="F244" s="13">
        <f>countif(Constants!L:L,$A244)</f>
        <v>1</v>
      </c>
      <c r="G244" s="13">
        <f>countif(Constants!F:F,$A244)</f>
        <v>1</v>
      </c>
      <c r="H244" s="14" t="str">
        <f t="shared" si="1"/>
        <v>http://sidigitalframework/constant/QuantumOfCirculation</v>
      </c>
      <c r="I244" s="15" t="str">
        <f t="shared" si="2"/>
        <v>QuantumOfCirculation</v>
      </c>
      <c r="J244" s="13">
        <f>countif(Concepts!A:A,I244)</f>
        <v>0</v>
      </c>
    </row>
    <row r="245">
      <c r="A245" s="16" t="s">
        <v>453</v>
      </c>
      <c r="F245" s="13">
        <f>countif(Constants!L:L,$A245)</f>
        <v>1</v>
      </c>
      <c r="G245" s="13">
        <f>countif(Constants!F:F,$A245)</f>
        <v>1</v>
      </c>
      <c r="H245" s="14" t="str">
        <f t="shared" si="1"/>
        <v>http://sidigitalframework/constant/QuantumOfCirculationTimes2</v>
      </c>
      <c r="I245" s="15" t="str">
        <f t="shared" si="2"/>
        <v>QuantumOfCirculationTimes2</v>
      </c>
      <c r="J245" s="13">
        <f>countif(Concepts!A:A,I245)</f>
        <v>0</v>
      </c>
    </row>
    <row r="246">
      <c r="A246" s="16" t="s">
        <v>454</v>
      </c>
      <c r="F246" s="13">
        <f>countif(Constants!L:L,$A246)</f>
        <v>1</v>
      </c>
      <c r="G246" s="13">
        <f>countif(Constants!F:F,$A246)</f>
        <v>0</v>
      </c>
      <c r="H246" s="14" t="str">
        <f t="shared" si="1"/>
        <v>http://sidigitalframework/constant/ReducedComptonWavelength</v>
      </c>
      <c r="I246" s="15" t="str">
        <f t="shared" si="2"/>
        <v>ReducedComptonWavelength</v>
      </c>
      <c r="J246" s="13">
        <f>countif(Concepts!A:A,I246)</f>
        <v>0</v>
      </c>
    </row>
    <row r="247">
      <c r="A247" s="16" t="s">
        <v>455</v>
      </c>
      <c r="F247" s="13">
        <f>countif(Constants!L:L,$A247)</f>
        <v>1</v>
      </c>
      <c r="G247" s="13">
        <f>countif(Constants!F:F,$A247)</f>
        <v>1</v>
      </c>
      <c r="H247" s="14" t="str">
        <f t="shared" si="1"/>
        <v>http://sidigitalframework/constant/ReducedMuonComptonWavelength</v>
      </c>
      <c r="I247" s="15" t="str">
        <f t="shared" si="2"/>
        <v>ReducedMuonComptonWavelength</v>
      </c>
      <c r="J247" s="13">
        <f>countif(Concepts!A:A,I247)</f>
        <v>0</v>
      </c>
    </row>
    <row r="248">
      <c r="A248" s="16" t="s">
        <v>456</v>
      </c>
      <c r="F248" s="13">
        <f>countif(Constants!L:L,$A248)</f>
        <v>1</v>
      </c>
      <c r="G248" s="13">
        <f>countif(Constants!F:F,$A248)</f>
        <v>1</v>
      </c>
      <c r="H248" s="14" t="str">
        <f t="shared" si="1"/>
        <v>http://sidigitalframework/constant/ReducedNeutronComptonWavelength</v>
      </c>
      <c r="I248" s="15" t="str">
        <f t="shared" si="2"/>
        <v>ReducedNeutronComptonWavelength</v>
      </c>
      <c r="J248" s="13">
        <f>countif(Concepts!A:A,I248)</f>
        <v>0</v>
      </c>
    </row>
    <row r="249">
      <c r="A249" s="16" t="s">
        <v>457</v>
      </c>
      <c r="F249" s="13">
        <f>countif(Constants!L:L,$A249)</f>
        <v>3</v>
      </c>
      <c r="G249" s="13">
        <f>countif(Constants!F:F,$A249)</f>
        <v>1</v>
      </c>
      <c r="H249" s="14" t="str">
        <f t="shared" si="1"/>
        <v>http://sidigitalframework/constant/ReducedPlanckConstant</v>
      </c>
      <c r="I249" s="15" t="str">
        <f t="shared" si="2"/>
        <v>ReducedPlanckConstant</v>
      </c>
      <c r="J249" s="13">
        <f>countif(Concepts!A:A,I249)</f>
        <v>0</v>
      </c>
    </row>
    <row r="250">
      <c r="A250" s="16" t="s">
        <v>458</v>
      </c>
      <c r="F250" s="13">
        <f>countif(Constants!L:L,$A250)</f>
        <v>1</v>
      </c>
      <c r="G250" s="13">
        <f>countif(Constants!F:F,$A250)</f>
        <v>1</v>
      </c>
      <c r="H250" s="14" t="str">
        <f t="shared" si="1"/>
        <v>http://sidigitalframework/constant/ReducedProtonComptonWavelength</v>
      </c>
      <c r="I250" s="15" t="str">
        <f t="shared" si="2"/>
        <v>ReducedProtonComptonWavelength</v>
      </c>
      <c r="J250" s="13">
        <f>countif(Concepts!A:A,I250)</f>
        <v>0</v>
      </c>
    </row>
    <row r="251">
      <c r="A251" s="16" t="s">
        <v>459</v>
      </c>
      <c r="F251" s="13">
        <f>countif(Constants!L:L,$A251)</f>
        <v>1</v>
      </c>
      <c r="G251" s="13">
        <f>countif(Constants!F:F,$A251)</f>
        <v>1</v>
      </c>
      <c r="H251" s="14" t="str">
        <f t="shared" si="1"/>
        <v>http://sidigitalframework/constant/ReducedTauComptonWavelength</v>
      </c>
      <c r="I251" s="15" t="str">
        <f t="shared" si="2"/>
        <v>ReducedTauComptonWavelength</v>
      </c>
      <c r="J251" s="13">
        <f>countif(Concepts!A:A,I251)</f>
        <v>0</v>
      </c>
    </row>
    <row r="252">
      <c r="A252" s="16" t="s">
        <v>460</v>
      </c>
      <c r="F252" s="13">
        <f>countif(Constants!L:L,$A252)</f>
        <v>4</v>
      </c>
      <c r="G252" s="13">
        <f>countif(Constants!F:F,$A252)</f>
        <v>1</v>
      </c>
      <c r="H252" s="14" t="str">
        <f t="shared" si="1"/>
        <v>http://sidigitalframework/constant/RydbergConstant</v>
      </c>
      <c r="I252" s="15" t="str">
        <f t="shared" si="2"/>
        <v>RydbergConstant</v>
      </c>
      <c r="J252" s="13">
        <f>countif(Concepts!A:A,I252)</f>
        <v>0</v>
      </c>
    </row>
    <row r="253">
      <c r="A253" s="16" t="s">
        <v>461</v>
      </c>
      <c r="F253" s="13">
        <f>countif(Constants!L:L,$A253)</f>
        <v>2</v>
      </c>
      <c r="G253" s="13">
        <f>countif(Constants!F:F,$A253)</f>
        <v>1</v>
      </c>
      <c r="H253" s="14" t="str">
        <f t="shared" si="1"/>
        <v>http://sidigitalframework/constant/SackurTetrodeConstant</v>
      </c>
      <c r="I253" s="15" t="str">
        <f t="shared" si="2"/>
        <v>SackurTetrodeConstant</v>
      </c>
      <c r="J253" s="13">
        <f>countif(Concepts!A:A,I253)</f>
        <v>0</v>
      </c>
    </row>
    <row r="254">
      <c r="A254" s="16" t="s">
        <v>462</v>
      </c>
      <c r="F254" s="13">
        <f>countif(Constants!L:L,$A254)</f>
        <v>1</v>
      </c>
      <c r="G254" s="13">
        <f>countif(Constants!F:F,$A254)</f>
        <v>1</v>
      </c>
      <c r="H254" s="14" t="str">
        <f t="shared" si="1"/>
        <v>http://sidigitalframework/constant/SecondRadiationConstant</v>
      </c>
      <c r="I254" s="15" t="str">
        <f t="shared" si="2"/>
        <v>SecondRadiationConstant</v>
      </c>
      <c r="J254" s="13">
        <f>countif(Concepts!A:A,I254)</f>
        <v>0</v>
      </c>
    </row>
    <row r="255">
      <c r="A255" s="16" t="s">
        <v>463</v>
      </c>
      <c r="F255" s="13">
        <f>countif(Constants!L:L,$A255)</f>
        <v>2</v>
      </c>
      <c r="G255" s="13">
        <f>countif(Constants!F:F,$A255)</f>
        <v>1</v>
      </c>
      <c r="H255" s="14" t="str">
        <f t="shared" si="1"/>
        <v>http://sidigitalframework/constant/ShieldedHelionGyromagneticRatio</v>
      </c>
      <c r="I255" s="15" t="str">
        <f t="shared" si="2"/>
        <v>ShieldedHelionGyromagneticRatio</v>
      </c>
      <c r="J255" s="13">
        <f>countif(Concepts!A:A,I255)</f>
        <v>0</v>
      </c>
    </row>
    <row r="256">
      <c r="A256" s="16" t="s">
        <v>464</v>
      </c>
      <c r="F256" s="13">
        <f>countif(Constants!L:L,$A256)</f>
        <v>1</v>
      </c>
      <c r="G256" s="13">
        <f>countif(Constants!F:F,$A256)</f>
        <v>1</v>
      </c>
      <c r="H256" s="14" t="str">
        <f t="shared" si="1"/>
        <v>http://sidigitalframework/constant/ShieldedHelionMagneticMoment</v>
      </c>
      <c r="I256" s="15" t="str">
        <f t="shared" si="2"/>
        <v>ShieldedHelionMagneticMoment</v>
      </c>
      <c r="J256" s="13">
        <f>countif(Concepts!A:A,I256)</f>
        <v>0</v>
      </c>
    </row>
    <row r="257">
      <c r="A257" s="16" t="s">
        <v>465</v>
      </c>
      <c r="F257" s="13">
        <f>countif(Constants!L:L,$A257)</f>
        <v>1</v>
      </c>
      <c r="G257" s="13">
        <f>countif(Constants!F:F,$A257)</f>
        <v>1</v>
      </c>
      <c r="H257" s="14" t="str">
        <f t="shared" si="1"/>
        <v>http://sidigitalframework/constant/ShieldedHelionMagneticMomentToBohrMagnetonRatio</v>
      </c>
      <c r="I257" s="15" t="str">
        <f t="shared" si="2"/>
        <v>ShieldedHelionMagneticMomentToBohrMagnetonRatio</v>
      </c>
      <c r="J257" s="13">
        <f>countif(Concepts!A:A,I257)</f>
        <v>0</v>
      </c>
    </row>
    <row r="258">
      <c r="A258" s="16" t="s">
        <v>466</v>
      </c>
      <c r="F258" s="13">
        <f>countif(Constants!L:L,$A258)</f>
        <v>1</v>
      </c>
      <c r="G258" s="13">
        <f>countif(Constants!F:F,$A258)</f>
        <v>1</v>
      </c>
      <c r="H258" s="14" t="str">
        <f t="shared" si="1"/>
        <v>http://sidigitalframework/constant/ShieldedHelionMagneticMomentToNuclearMagnetonRatio</v>
      </c>
      <c r="I258" s="15" t="str">
        <f t="shared" si="2"/>
        <v>ShieldedHelionMagneticMomentToNuclearMagnetonRatio</v>
      </c>
      <c r="J258" s="13">
        <f>countif(Concepts!A:A,I258)</f>
        <v>0</v>
      </c>
    </row>
    <row r="259">
      <c r="A259" s="16" t="s">
        <v>467</v>
      </c>
      <c r="F259" s="13">
        <f>countif(Constants!L:L,$A259)</f>
        <v>1</v>
      </c>
      <c r="G259" s="13">
        <f>countif(Constants!F:F,$A259)</f>
        <v>1</v>
      </c>
      <c r="H259" s="14" t="str">
        <f t="shared" si="1"/>
        <v>http://sidigitalframework/constant/ShieldedHelionToProtonMagneticMomentRatio</v>
      </c>
      <c r="I259" s="15" t="str">
        <f t="shared" si="2"/>
        <v>ShieldedHelionToProtonMagneticMomentRatio</v>
      </c>
      <c r="J259" s="13">
        <f>countif(Concepts!A:A,I259)</f>
        <v>0</v>
      </c>
    </row>
    <row r="260">
      <c r="A260" s="16" t="s">
        <v>468</v>
      </c>
      <c r="F260" s="13">
        <f>countif(Constants!L:L,$A260)</f>
        <v>1</v>
      </c>
      <c r="G260" s="13">
        <f>countif(Constants!F:F,$A260)</f>
        <v>1</v>
      </c>
      <c r="H260" s="14" t="str">
        <f t="shared" si="1"/>
        <v>http://sidigitalframework/constant/ShieldedHelionToShieldedProtonMagneticMomentRatio</v>
      </c>
      <c r="I260" s="15" t="str">
        <f t="shared" si="2"/>
        <v>ShieldedHelionToShieldedProtonMagneticMomentRatio</v>
      </c>
      <c r="J260" s="13">
        <f>countif(Concepts!A:A,I260)</f>
        <v>0</v>
      </c>
    </row>
    <row r="261">
      <c r="A261" s="16" t="s">
        <v>469</v>
      </c>
      <c r="F261" s="13">
        <f>countif(Constants!L:L,$A261)</f>
        <v>2</v>
      </c>
      <c r="G261" s="13">
        <f>countif(Constants!F:F,$A261)</f>
        <v>1</v>
      </c>
      <c r="H261" s="14" t="str">
        <f t="shared" si="1"/>
        <v>http://sidigitalframework/constant/ShieldedProtonGyromagneticRatio</v>
      </c>
      <c r="I261" s="15" t="str">
        <f t="shared" si="2"/>
        <v>ShieldedProtonGyromagneticRatio</v>
      </c>
      <c r="J261" s="13">
        <f>countif(Concepts!A:A,I261)</f>
        <v>0</v>
      </c>
    </row>
    <row r="262">
      <c r="A262" s="16" t="s">
        <v>470</v>
      </c>
      <c r="F262" s="13">
        <f>countif(Constants!L:L,$A262)</f>
        <v>1</v>
      </c>
      <c r="G262" s="13">
        <f>countif(Constants!F:F,$A262)</f>
        <v>1</v>
      </c>
      <c r="H262" s="14" t="str">
        <f t="shared" si="1"/>
        <v>http://sidigitalframework/constant/ShieldedProtonMagneticMoment</v>
      </c>
      <c r="I262" s="15" t="str">
        <f t="shared" si="2"/>
        <v>ShieldedProtonMagneticMoment</v>
      </c>
      <c r="J262" s="13">
        <f>countif(Concepts!A:A,I262)</f>
        <v>0</v>
      </c>
    </row>
    <row r="263">
      <c r="A263" s="16" t="s">
        <v>471</v>
      </c>
      <c r="F263" s="13">
        <f>countif(Constants!L:L,$A263)</f>
        <v>1</v>
      </c>
      <c r="G263" s="13">
        <f>countif(Constants!F:F,$A263)</f>
        <v>1</v>
      </c>
      <c r="H263" s="14" t="str">
        <f t="shared" si="1"/>
        <v>http://sidigitalframework/constant/ShieldedProtonMagneticMomentToBohrMagnetonRatio</v>
      </c>
      <c r="I263" s="15" t="str">
        <f t="shared" si="2"/>
        <v>ShieldedProtonMagneticMomentToBohrMagnetonRatio</v>
      </c>
      <c r="J263" s="13">
        <f>countif(Concepts!A:A,I263)</f>
        <v>0</v>
      </c>
    </row>
    <row r="264">
      <c r="A264" s="16" t="s">
        <v>472</v>
      </c>
      <c r="F264" s="13">
        <f>countif(Constants!L:L,$A264)</f>
        <v>1</v>
      </c>
      <c r="G264" s="13">
        <f>countif(Constants!F:F,$A264)</f>
        <v>1</v>
      </c>
      <c r="H264" s="14" t="str">
        <f t="shared" si="1"/>
        <v>http://sidigitalframework/constant/ShieldedProtonMagneticMomentToNuclearMagnetonRatio</v>
      </c>
      <c r="I264" s="15" t="str">
        <f t="shared" si="2"/>
        <v>ShieldedProtonMagneticMomentToNuclearMagnetonRatio</v>
      </c>
      <c r="J264" s="13">
        <f>countif(Concepts!A:A,I264)</f>
        <v>0</v>
      </c>
    </row>
    <row r="265">
      <c r="A265" s="16" t="s">
        <v>473</v>
      </c>
      <c r="F265" s="13">
        <f>countif(Constants!L:L,$A265)</f>
        <v>1</v>
      </c>
      <c r="G265" s="13">
        <f>countif(Constants!F:F,$A265)</f>
        <v>1</v>
      </c>
      <c r="H265" s="14" t="str">
        <f t="shared" si="1"/>
        <v>http://sidigitalframework/constant/ShieldingDifferenceOfDAndP</v>
      </c>
      <c r="I265" s="15" t="str">
        <f t="shared" si="2"/>
        <v>ShieldingDifferenceOfDAndP</v>
      </c>
      <c r="J265" s="13">
        <f>countif(Concepts!A:A,I265)</f>
        <v>0</v>
      </c>
    </row>
    <row r="266">
      <c r="A266" s="16" t="s">
        <v>474</v>
      </c>
      <c r="F266" s="13">
        <f>countif(Constants!L:L,$A266)</f>
        <v>1</v>
      </c>
      <c r="G266" s="13">
        <f>countif(Constants!F:F,$A266)</f>
        <v>1</v>
      </c>
      <c r="H266" s="14" t="str">
        <f t="shared" si="1"/>
        <v>http://sidigitalframework/constant/ShieldingDifferenceOfTAndP</v>
      </c>
      <c r="I266" s="15" t="str">
        <f t="shared" si="2"/>
        <v>ShieldingDifferenceOfTAndP</v>
      </c>
      <c r="J266" s="13">
        <f>countif(Concepts!A:A,I266)</f>
        <v>0</v>
      </c>
    </row>
    <row r="267">
      <c r="A267" s="18" t="s">
        <v>233</v>
      </c>
      <c r="F267" s="13">
        <f>countif(Constants!L:L,$A267)</f>
        <v>1</v>
      </c>
      <c r="G267" s="13">
        <f>countif(Constants!F:F,$A267)</f>
        <v>0</v>
      </c>
      <c r="H267" s="14" t="str">
        <f t="shared" si="1"/>
        <v>http://sidigitalframework/constant/SpeedOfLight</v>
      </c>
      <c r="I267" s="15" t="str">
        <f t="shared" si="2"/>
        <v>SpeedOfLight</v>
      </c>
      <c r="J267" s="13">
        <f>countif(Concepts!A:A,I267)</f>
        <v>1</v>
      </c>
    </row>
    <row r="268">
      <c r="A268" s="16" t="s">
        <v>475</v>
      </c>
      <c r="F268" s="13">
        <f>countif(Constants!L:L,$A268)</f>
        <v>1</v>
      </c>
      <c r="G268" s="13">
        <f>countif(Constants!F:F,$A268)</f>
        <v>1</v>
      </c>
      <c r="H268" s="14" t="str">
        <f t="shared" si="1"/>
        <v>http://sidigitalframework/constant/StandardAccelerationOfGravity</v>
      </c>
      <c r="I268" s="15" t="str">
        <f t="shared" si="2"/>
        <v>StandardAccelerationOfGravity</v>
      </c>
      <c r="J268" s="13">
        <f>countif(Concepts!A:A,I268)</f>
        <v>0</v>
      </c>
    </row>
    <row r="269">
      <c r="A269" s="16" t="s">
        <v>476</v>
      </c>
      <c r="F269" s="13">
        <f>countif(Constants!L:L,$A269)</f>
        <v>1</v>
      </c>
      <c r="G269" s="13">
        <f>countif(Constants!F:F,$A269)</f>
        <v>1</v>
      </c>
      <c r="H269" s="14" t="str">
        <f t="shared" si="1"/>
        <v>http://sidigitalframework/constant/StandardAtmosphere</v>
      </c>
      <c r="I269" s="15" t="str">
        <f t="shared" si="2"/>
        <v>StandardAtmosphere</v>
      </c>
      <c r="J269" s="13">
        <f>countif(Concepts!A:A,I269)</f>
        <v>0</v>
      </c>
    </row>
    <row r="270">
      <c r="A270" s="16" t="s">
        <v>477</v>
      </c>
      <c r="F270" s="13">
        <f>countif(Constants!L:L,$A270)</f>
        <v>1</v>
      </c>
      <c r="G270" s="13">
        <f>countif(Constants!F:F,$A270)</f>
        <v>1</v>
      </c>
      <c r="H270" s="14" t="str">
        <f t="shared" si="1"/>
        <v>http://sidigitalframework/constant/Standard-StatePressure</v>
      </c>
      <c r="I270" s="15" t="str">
        <f t="shared" si="2"/>
        <v>Standard-StatePressure</v>
      </c>
      <c r="J270" s="13">
        <f>countif(Concepts!A:A,I270)</f>
        <v>0</v>
      </c>
    </row>
    <row r="271">
      <c r="A271" s="16" t="s">
        <v>478</v>
      </c>
      <c r="F271" s="13">
        <f>countif(Constants!L:L,$A271)</f>
        <v>1</v>
      </c>
      <c r="G271" s="13">
        <f>countif(Constants!F:F,$A271)</f>
        <v>1</v>
      </c>
      <c r="H271" s="14" t="str">
        <f t="shared" si="1"/>
        <v>http://sidigitalframework/constant/StefanBoltzmannConstant</v>
      </c>
      <c r="I271" s="15" t="str">
        <f t="shared" si="2"/>
        <v>StefanBoltzmannConstant</v>
      </c>
      <c r="J271" s="13">
        <f>countif(Concepts!A:A,I271)</f>
        <v>0</v>
      </c>
    </row>
    <row r="272">
      <c r="A272" s="16" t="s">
        <v>479</v>
      </c>
      <c r="F272" s="13">
        <f>countif(Constants!L:L,$A272)</f>
        <v>1</v>
      </c>
      <c r="G272" s="13">
        <f>countif(Constants!F:F,$A272)</f>
        <v>1</v>
      </c>
      <c r="H272" s="14" t="str">
        <f t="shared" si="1"/>
        <v>http://sidigitalframework/constant/TauComptonWavelength</v>
      </c>
      <c r="I272" s="15" t="str">
        <f t="shared" si="2"/>
        <v>TauComptonWavelength</v>
      </c>
      <c r="J272" s="13">
        <f>countif(Concepts!A:A,I272)</f>
        <v>0</v>
      </c>
    </row>
    <row r="273">
      <c r="A273" s="16" t="s">
        <v>480</v>
      </c>
      <c r="F273" s="13">
        <f>countif(Constants!L:L,$A273)</f>
        <v>1</v>
      </c>
      <c r="G273" s="13">
        <f>countif(Constants!F:F,$A273)</f>
        <v>1</v>
      </c>
      <c r="H273" s="14" t="str">
        <f t="shared" si="1"/>
        <v>http://sidigitalframework/constant/TauComptonWavelengthOver2Pi</v>
      </c>
      <c r="I273" s="15" t="str">
        <f t="shared" si="2"/>
        <v>TauComptonWavelengthOver2Pi</v>
      </c>
      <c r="J273" s="13">
        <f>countif(Concepts!A:A,I273)</f>
        <v>0</v>
      </c>
    </row>
    <row r="274">
      <c r="A274" s="16" t="s">
        <v>481</v>
      </c>
      <c r="F274" s="13">
        <f>countif(Constants!L:L,$A274)</f>
        <v>1</v>
      </c>
      <c r="G274" s="13">
        <f>countif(Constants!F:F,$A274)</f>
        <v>1</v>
      </c>
      <c r="H274" s="14" t="str">
        <f t="shared" si="1"/>
        <v>http://sidigitalframework/constant/TauElectronMassRatio</v>
      </c>
      <c r="I274" s="15" t="str">
        <f t="shared" si="2"/>
        <v>TauElectronMassRatio</v>
      </c>
      <c r="J274" s="13">
        <f>countif(Concepts!A:A,I274)</f>
        <v>0</v>
      </c>
    </row>
    <row r="275">
      <c r="A275" s="16" t="s">
        <v>482</v>
      </c>
      <c r="F275" s="13">
        <f>countif(Constants!L:L,$A275)</f>
        <v>4</v>
      </c>
      <c r="G275" s="13">
        <f>countif(Constants!F:F,$A275)</f>
        <v>1</v>
      </c>
      <c r="H275" s="14" t="str">
        <f t="shared" si="1"/>
        <v>http://sidigitalframework/constant/TauMass</v>
      </c>
      <c r="I275" s="15" t="str">
        <f t="shared" si="2"/>
        <v>TauMass</v>
      </c>
      <c r="J275" s="13">
        <f>countif(Concepts!A:A,I275)</f>
        <v>0</v>
      </c>
    </row>
    <row r="276">
      <c r="A276" s="16" t="s">
        <v>483</v>
      </c>
      <c r="F276" s="13">
        <f>countif(Constants!L:L,$A276)</f>
        <v>1</v>
      </c>
      <c r="G276" s="13">
        <f>countif(Constants!F:F,$A276)</f>
        <v>1</v>
      </c>
      <c r="H276" s="14" t="str">
        <f t="shared" si="1"/>
        <v>http://sidigitalframework/constant/TauMolarMass</v>
      </c>
      <c r="I276" s="15" t="str">
        <f t="shared" si="2"/>
        <v>TauMolarMass</v>
      </c>
      <c r="J276" s="13">
        <f>countif(Concepts!A:A,I276)</f>
        <v>0</v>
      </c>
    </row>
    <row r="277">
      <c r="A277" s="16" t="s">
        <v>484</v>
      </c>
      <c r="F277" s="13">
        <f>countif(Constants!L:L,$A277)</f>
        <v>1</v>
      </c>
      <c r="G277" s="13">
        <f>countif(Constants!F:F,$A277)</f>
        <v>1</v>
      </c>
      <c r="H277" s="14" t="str">
        <f t="shared" si="1"/>
        <v>http://sidigitalframework/constant/TauMuonMassRatio</v>
      </c>
      <c r="I277" s="15" t="str">
        <f t="shared" si="2"/>
        <v>TauMuonMassRatio</v>
      </c>
      <c r="J277" s="13">
        <f>countif(Concepts!A:A,I277)</f>
        <v>0</v>
      </c>
    </row>
    <row r="278">
      <c r="A278" s="16" t="s">
        <v>485</v>
      </c>
      <c r="F278" s="13">
        <f>countif(Constants!L:L,$A278)</f>
        <v>1</v>
      </c>
      <c r="G278" s="13">
        <f>countif(Constants!F:F,$A278)</f>
        <v>1</v>
      </c>
      <c r="H278" s="14" t="str">
        <f t="shared" si="1"/>
        <v>http://sidigitalframework/constant/TauNeutronMassRatio</v>
      </c>
      <c r="I278" s="15" t="str">
        <f t="shared" si="2"/>
        <v>TauNeutronMassRatio</v>
      </c>
      <c r="J278" s="13">
        <f>countif(Concepts!A:A,I278)</f>
        <v>0</v>
      </c>
    </row>
    <row r="279">
      <c r="A279" s="16" t="s">
        <v>486</v>
      </c>
      <c r="F279" s="13">
        <f>countif(Constants!L:L,$A279)</f>
        <v>1</v>
      </c>
      <c r="G279" s="13">
        <f>countif(Constants!F:F,$A279)</f>
        <v>1</v>
      </c>
      <c r="H279" s="14" t="str">
        <f t="shared" si="1"/>
        <v>http://sidigitalframework/constant/TauProtonMassRatio</v>
      </c>
      <c r="I279" s="15" t="str">
        <f t="shared" si="2"/>
        <v>TauProtonMassRatio</v>
      </c>
      <c r="J279" s="13">
        <f>countif(Concepts!A:A,I279)</f>
        <v>0</v>
      </c>
    </row>
    <row r="280">
      <c r="A280" s="16" t="s">
        <v>487</v>
      </c>
      <c r="F280" s="13">
        <f>countif(Constants!L:L,$A280)</f>
        <v>1</v>
      </c>
      <c r="G280" s="13">
        <f>countif(Constants!F:F,$A280)</f>
        <v>1</v>
      </c>
      <c r="H280" s="14" t="str">
        <f t="shared" si="1"/>
        <v>http://sidigitalframework/constant/ThomsonCrossSection</v>
      </c>
      <c r="I280" s="15" t="str">
        <f t="shared" si="2"/>
        <v>ThomsonCrossSection</v>
      </c>
      <c r="J280" s="13">
        <f>countif(Concepts!A:A,I280)</f>
        <v>0</v>
      </c>
    </row>
    <row r="281">
      <c r="A281" s="16" t="s">
        <v>488</v>
      </c>
      <c r="F281" s="13">
        <f>countif(Constants!L:L,$A281)</f>
        <v>1</v>
      </c>
      <c r="G281" s="13">
        <f>countif(Constants!F:F,$A281)</f>
        <v>1</v>
      </c>
      <c r="H281" s="14" t="str">
        <f t="shared" si="1"/>
        <v>http://sidigitalframework/constant/TritonElectronMagneticMomentRatio</v>
      </c>
      <c r="I281" s="15" t="str">
        <f t="shared" si="2"/>
        <v>TritonElectronMagneticMomentRatio</v>
      </c>
      <c r="J281" s="13">
        <f>countif(Concepts!A:A,I281)</f>
        <v>0</v>
      </c>
    </row>
    <row r="282">
      <c r="A282" s="16" t="s">
        <v>489</v>
      </c>
      <c r="F282" s="13">
        <f>countif(Constants!L:L,$A282)</f>
        <v>1</v>
      </c>
      <c r="G282" s="13">
        <f>countif(Constants!F:F,$A282)</f>
        <v>1</v>
      </c>
      <c r="H282" s="14" t="str">
        <f t="shared" si="1"/>
        <v>http://sidigitalframework/constant/TritonElectronMassRatio</v>
      </c>
      <c r="I282" s="15" t="str">
        <f t="shared" si="2"/>
        <v>TritonElectronMassRatio</v>
      </c>
      <c r="J282" s="13">
        <f>countif(Concepts!A:A,I282)</f>
        <v>0</v>
      </c>
    </row>
    <row r="283">
      <c r="A283" s="16" t="s">
        <v>490</v>
      </c>
      <c r="F283" s="13">
        <f>countif(Constants!L:L,$A283)</f>
        <v>1</v>
      </c>
      <c r="G283" s="13">
        <f>countif(Constants!F:F,$A283)</f>
        <v>1</v>
      </c>
      <c r="H283" s="14" t="str">
        <f t="shared" si="1"/>
        <v>http://sidigitalframework/constant/TritonGFactor</v>
      </c>
      <c r="I283" s="15" t="str">
        <f t="shared" si="2"/>
        <v>TritonGFactor</v>
      </c>
      <c r="J283" s="13">
        <f>countif(Concepts!A:A,I283)</f>
        <v>0</v>
      </c>
    </row>
    <row r="284">
      <c r="A284" s="16" t="s">
        <v>491</v>
      </c>
      <c r="F284" s="13">
        <f>countif(Constants!L:L,$A284)</f>
        <v>1</v>
      </c>
      <c r="G284" s="13">
        <f>countif(Constants!F:F,$A284)</f>
        <v>1</v>
      </c>
      <c r="H284" s="14" t="str">
        <f t="shared" si="1"/>
        <v>http://sidigitalframework/constant/TritonMagneticMoment</v>
      </c>
      <c r="I284" s="15" t="str">
        <f t="shared" si="2"/>
        <v>TritonMagneticMoment</v>
      </c>
      <c r="J284" s="13">
        <f>countif(Concepts!A:A,I284)</f>
        <v>0</v>
      </c>
    </row>
    <row r="285">
      <c r="A285" s="16" t="s">
        <v>492</v>
      </c>
      <c r="F285" s="13">
        <f>countif(Constants!L:L,$A285)</f>
        <v>1</v>
      </c>
      <c r="G285" s="13">
        <f>countif(Constants!F:F,$A285)</f>
        <v>1</v>
      </c>
      <c r="H285" s="14" t="str">
        <f t="shared" si="1"/>
        <v>http://sidigitalframework/constant/TritonMagneticMomentToBohrMagnetonRatio</v>
      </c>
      <c r="I285" s="15" t="str">
        <f t="shared" si="2"/>
        <v>TritonMagneticMomentToBohrMagnetonRatio</v>
      </c>
      <c r="J285" s="13">
        <f>countif(Concepts!A:A,I285)</f>
        <v>0</v>
      </c>
    </row>
    <row r="286">
      <c r="A286" s="16" t="s">
        <v>493</v>
      </c>
      <c r="F286" s="13">
        <f>countif(Constants!L:L,$A286)</f>
        <v>1</v>
      </c>
      <c r="G286" s="13">
        <f>countif(Constants!F:F,$A286)</f>
        <v>1</v>
      </c>
      <c r="H286" s="14" t="str">
        <f t="shared" si="1"/>
        <v>http://sidigitalframework/constant/TritonMagneticMomentToNuclearMagnetonRatio</v>
      </c>
      <c r="I286" s="15" t="str">
        <f t="shared" si="2"/>
        <v>TritonMagneticMomentToNuclearMagnetonRatio</v>
      </c>
      <c r="J286" s="13">
        <f>countif(Concepts!A:A,I286)</f>
        <v>0</v>
      </c>
    </row>
    <row r="287">
      <c r="A287" s="16" t="s">
        <v>494</v>
      </c>
      <c r="F287" s="13">
        <f>countif(Constants!L:L,$A287)</f>
        <v>4</v>
      </c>
      <c r="G287" s="13">
        <f>countif(Constants!F:F,$A287)</f>
        <v>1</v>
      </c>
      <c r="H287" s="14" t="str">
        <f t="shared" si="1"/>
        <v>http://sidigitalframework/constant/TritonMass</v>
      </c>
      <c r="I287" s="15" t="str">
        <f t="shared" si="2"/>
        <v>TritonMass</v>
      </c>
      <c r="J287" s="13">
        <f>countif(Concepts!A:A,I287)</f>
        <v>0</v>
      </c>
    </row>
    <row r="288">
      <c r="A288" s="16" t="s">
        <v>495</v>
      </c>
      <c r="F288" s="13">
        <f>countif(Constants!L:L,$A288)</f>
        <v>1</v>
      </c>
      <c r="G288" s="13">
        <f>countif(Constants!F:F,$A288)</f>
        <v>1</v>
      </c>
      <c r="H288" s="14" t="str">
        <f t="shared" si="1"/>
        <v>http://sidigitalframework/constant/TritonMolarMass</v>
      </c>
      <c r="I288" s="15" t="str">
        <f t="shared" si="2"/>
        <v>TritonMolarMass</v>
      </c>
      <c r="J288" s="13">
        <f>countif(Concepts!A:A,I288)</f>
        <v>0</v>
      </c>
    </row>
    <row r="289">
      <c r="A289" s="16" t="s">
        <v>496</v>
      </c>
      <c r="F289" s="13">
        <f>countif(Constants!L:L,$A289)</f>
        <v>1</v>
      </c>
      <c r="G289" s="13">
        <f>countif(Constants!F:F,$A289)</f>
        <v>1</v>
      </c>
      <c r="H289" s="14" t="str">
        <f t="shared" si="1"/>
        <v>http://sidigitalframework/constant/TritonNeutronMagneticMomentRatio</v>
      </c>
      <c r="I289" s="15" t="str">
        <f t="shared" si="2"/>
        <v>TritonNeutronMagneticMomentRatio</v>
      </c>
      <c r="J289" s="13">
        <f>countif(Concepts!A:A,I289)</f>
        <v>0</v>
      </c>
    </row>
    <row r="290">
      <c r="A290" s="16" t="s">
        <v>497</v>
      </c>
      <c r="F290" s="13">
        <f>countif(Constants!L:L,$A290)</f>
        <v>1</v>
      </c>
      <c r="G290" s="13">
        <f>countif(Constants!F:F,$A290)</f>
        <v>1</v>
      </c>
      <c r="H290" s="14" t="str">
        <f t="shared" si="1"/>
        <v>http://sidigitalframework/constant/TritonProtonMassRatio</v>
      </c>
      <c r="I290" s="15" t="str">
        <f t="shared" si="2"/>
        <v>TritonProtonMassRatio</v>
      </c>
      <c r="J290" s="13">
        <f>countif(Concepts!A:A,I290)</f>
        <v>0</v>
      </c>
    </row>
    <row r="291">
      <c r="A291" s="16" t="s">
        <v>498</v>
      </c>
      <c r="F291" s="13">
        <f>countif(Constants!L:L,$A291)</f>
        <v>1</v>
      </c>
      <c r="G291" s="13">
        <f>countif(Constants!F:F,$A291)</f>
        <v>1</v>
      </c>
      <c r="H291" s="14" t="str">
        <f t="shared" si="1"/>
        <v>http://sidigitalframework/constant/TritonRelativeAtomicMass</v>
      </c>
      <c r="I291" s="15" t="str">
        <f t="shared" si="2"/>
        <v>TritonRelativeAtomicMass</v>
      </c>
      <c r="J291" s="13">
        <f>countif(Concepts!A:A,I291)</f>
        <v>0</v>
      </c>
    </row>
    <row r="292">
      <c r="A292" s="16" t="s">
        <v>499</v>
      </c>
      <c r="F292" s="13">
        <f>countif(Constants!L:L,$A292)</f>
        <v>1</v>
      </c>
      <c r="G292" s="13">
        <f>countif(Constants!F:F,$A292)</f>
        <v>1</v>
      </c>
      <c r="H292" s="14" t="str">
        <f t="shared" si="1"/>
        <v>http://sidigitalframework/constant/TritonProtonMagneticMomentRatio</v>
      </c>
      <c r="I292" s="15" t="str">
        <f t="shared" si="2"/>
        <v>TritonProtonMagneticMomentRatio</v>
      </c>
      <c r="J292" s="13">
        <f>countif(Concepts!A:A,I292)</f>
        <v>0</v>
      </c>
    </row>
    <row r="293">
      <c r="A293" s="16" t="s">
        <v>500</v>
      </c>
      <c r="F293" s="13">
        <f>countif(Constants!L:L,$A293)</f>
        <v>1</v>
      </c>
      <c r="G293" s="13">
        <f>countif(Constants!F:F,$A293)</f>
        <v>1</v>
      </c>
      <c r="H293" s="14" t="str">
        <f t="shared" si="1"/>
        <v>http://sidigitalframework/constant/UnifiedAtomicMassUnit</v>
      </c>
      <c r="I293" s="15" t="str">
        <f t="shared" si="2"/>
        <v>UnifiedAtomicMassUnit</v>
      </c>
      <c r="J293" s="13">
        <f>countif(Concepts!A:A,I293)</f>
        <v>0</v>
      </c>
    </row>
    <row r="294">
      <c r="A294" s="16" t="s">
        <v>501</v>
      </c>
      <c r="F294" s="13">
        <f>countif(Constants!L:L,$A294)</f>
        <v>1</v>
      </c>
      <c r="G294" s="13">
        <f>countif(Constants!F:F,$A294)</f>
        <v>1</v>
      </c>
      <c r="H294" s="14" t="str">
        <f t="shared" si="1"/>
        <v>http://sidigitalframework/constant/PermittivityOfVacuum</v>
      </c>
      <c r="I294" s="15" t="str">
        <f t="shared" si="2"/>
        <v>PermittivityOfVacuum</v>
      </c>
      <c r="J294" s="13">
        <f>countif(Concepts!A:A,I294)</f>
        <v>0</v>
      </c>
    </row>
    <row r="295">
      <c r="A295" s="16" t="s">
        <v>502</v>
      </c>
      <c r="F295" s="13">
        <f>countif(Constants!L:L,$A295)</f>
        <v>1</v>
      </c>
      <c r="G295" s="13">
        <f>countif(Constants!F:F,$A295)</f>
        <v>1</v>
      </c>
      <c r="H295" s="14" t="str">
        <f t="shared" si="1"/>
        <v>http://sidigitalframework/constant/ElectromagneticPermeabilityOfVacuum</v>
      </c>
      <c r="I295" s="15" t="str">
        <f t="shared" si="2"/>
        <v>ElectromagneticPermeabilityOfVacuum</v>
      </c>
      <c r="J295" s="13">
        <f>countif(Concepts!A:A,I295)</f>
        <v>0</v>
      </c>
    </row>
    <row r="296">
      <c r="A296" s="16" t="s">
        <v>503</v>
      </c>
      <c r="F296" s="13">
        <f>countif(Constants!L:L,$A296)</f>
        <v>1</v>
      </c>
      <c r="G296" s="13">
        <f>countif(Constants!F:F,$A296)</f>
        <v>1</v>
      </c>
      <c r="H296" s="14" t="str">
        <f t="shared" si="1"/>
        <v>http://sidigitalframework/constant/VonKlitzingConstant</v>
      </c>
      <c r="I296" s="15" t="str">
        <f t="shared" si="2"/>
        <v>VonKlitzingConstant</v>
      </c>
      <c r="J296" s="13">
        <f>countif(Concepts!A:A,I296)</f>
        <v>0</v>
      </c>
    </row>
    <row r="297">
      <c r="A297" s="16" t="s">
        <v>504</v>
      </c>
      <c r="F297" s="13">
        <f>countif(Constants!L:L,$A297)</f>
        <v>1</v>
      </c>
      <c r="G297" s="13">
        <f>countif(Constants!F:F,$A297)</f>
        <v>1</v>
      </c>
      <c r="H297" s="14" t="str">
        <f t="shared" si="1"/>
        <v>http://sidigitalframework/constant/WeakMixingAngle</v>
      </c>
      <c r="I297" s="15" t="str">
        <f t="shared" si="2"/>
        <v>WeakMixingAngle</v>
      </c>
      <c r="J297" s="13">
        <f>countif(Concepts!A:A,I297)</f>
        <v>0</v>
      </c>
    </row>
    <row r="298">
      <c r="A298" s="16" t="s">
        <v>505</v>
      </c>
      <c r="F298" s="13">
        <f>countif(Constants!L:L,$A298)</f>
        <v>1</v>
      </c>
      <c r="G298" s="13">
        <f>countif(Constants!F:F,$A298)</f>
        <v>1</v>
      </c>
      <c r="H298" s="14" t="str">
        <f t="shared" si="1"/>
        <v>http://sidigitalframework/constant/WienFrequencyDisplacementLawConstant</v>
      </c>
      <c r="I298" s="15" t="str">
        <f t="shared" si="2"/>
        <v>WienFrequencyDisplacementLawConstant</v>
      </c>
      <c r="J298" s="13">
        <f>countif(Concepts!A:A,I298)</f>
        <v>0</v>
      </c>
    </row>
    <row r="299">
      <c r="A299" s="16" t="s">
        <v>506</v>
      </c>
      <c r="F299" s="13">
        <f>countif(Constants!L:L,$A299)</f>
        <v>1</v>
      </c>
      <c r="G299" s="13">
        <f>countif(Constants!F:F,$A299)</f>
        <v>1</v>
      </c>
      <c r="H299" s="14" t="str">
        <f t="shared" si="1"/>
        <v>http://sidigitalframework/constant/WienWavelengthDisplacementLawConstant</v>
      </c>
      <c r="I299" s="15" t="str">
        <f t="shared" si="2"/>
        <v>WienWavelengthDisplacementLawConstant</v>
      </c>
      <c r="J299" s="13">
        <f>countif(Concepts!A:A,I299)</f>
        <v>0</v>
      </c>
    </row>
    <row r="300">
      <c r="A300" s="16" t="s">
        <v>507</v>
      </c>
      <c r="F300" s="13">
        <f>countif(Constants!L:L,$A300)</f>
        <v>1</v>
      </c>
      <c r="G300" s="13">
        <f>countif(Constants!F:F,$A300)</f>
        <v>1</v>
      </c>
      <c r="H300" s="14" t="str">
        <f t="shared" si="1"/>
        <v>http://sidigitalframework/constant/WToZMassRatio</v>
      </c>
      <c r="I300" s="15" t="str">
        <f t="shared" si="2"/>
        <v>WToZMassRatio</v>
      </c>
      <c r="J300" s="13">
        <f>countif(Concepts!A:A,I300)</f>
        <v>0</v>
      </c>
    </row>
    <row r="301">
      <c r="A301" s="16"/>
      <c r="F301" s="13">
        <f>countif(Constants!L:L,$A301)</f>
        <v>0</v>
      </c>
      <c r="G301" s="13">
        <f>countif(Constants!F:F,$A301)</f>
        <v>0</v>
      </c>
      <c r="H301" s="14" t="str">
        <f t="shared" si="1"/>
        <v>http://sidigitalframework/constant/</v>
      </c>
      <c r="J301" s="13">
        <f>countif(Concepts!A:A,I301)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12.13"/>
    <col customWidth="1" min="3" max="3" width="17.13"/>
    <col customWidth="1" min="4" max="4" width="43.38"/>
    <col customWidth="1" min="5" max="5" width="13.25"/>
    <col customWidth="1" min="6" max="6" width="50.75"/>
    <col customWidth="1" min="7" max="7" width="45.5"/>
    <col customWidth="1" min="8" max="8" width="105.25"/>
    <col customWidth="1" min="9" max="9" width="13.38"/>
    <col customWidth="1" min="10" max="10" width="12.75"/>
    <col customWidth="1" min="11" max="11" width="25.88"/>
    <col customWidth="1" min="12" max="12" width="44.0"/>
    <col customWidth="1" min="13" max="13" width="16.75"/>
    <col customWidth="1" min="14" max="14" width="9.63"/>
    <col customWidth="1" min="15" max="15" width="50.75"/>
    <col customWidth="1" min="18" max="24" width="7.0"/>
  </cols>
  <sheetData>
    <row r="1">
      <c r="A1" s="10" t="s">
        <v>249</v>
      </c>
      <c r="B1" s="10" t="s">
        <v>508</v>
      </c>
      <c r="C1" s="10" t="s">
        <v>509</v>
      </c>
      <c r="D1" s="10" t="s">
        <v>510</v>
      </c>
      <c r="E1" s="10" t="s">
        <v>511</v>
      </c>
      <c r="F1" s="10" t="s">
        <v>0</v>
      </c>
      <c r="G1" s="10" t="s">
        <v>512</v>
      </c>
      <c r="H1" s="10" t="s">
        <v>513</v>
      </c>
      <c r="I1" s="10" t="s">
        <v>514</v>
      </c>
      <c r="J1" s="10" t="s">
        <v>515</v>
      </c>
      <c r="K1" s="10" t="s">
        <v>516</v>
      </c>
      <c r="L1" s="10" t="s">
        <v>517</v>
      </c>
      <c r="M1" s="19" t="s">
        <v>518</v>
      </c>
      <c r="N1" s="10" t="s">
        <v>519</v>
      </c>
      <c r="O1" s="10" t="s">
        <v>520</v>
      </c>
      <c r="P1" s="20" t="s">
        <v>521</v>
      </c>
      <c r="Q1" s="20" t="s">
        <v>522</v>
      </c>
      <c r="R1" s="20" t="s">
        <v>523</v>
      </c>
      <c r="S1" s="20" t="s">
        <v>524</v>
      </c>
      <c r="T1" s="20" t="s">
        <v>525</v>
      </c>
      <c r="U1" s="20" t="s">
        <v>526</v>
      </c>
      <c r="V1" s="20" t="s">
        <v>527</v>
      </c>
      <c r="W1" s="20" t="s">
        <v>528</v>
      </c>
      <c r="X1" s="20" t="s">
        <v>529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>
      <c r="A2" s="21" t="str">
        <f t="shared" ref="A2:A5" si="1">D2</f>
        <v>alpha particle-electron mass ratio</v>
      </c>
      <c r="B2" s="6" t="s">
        <v>530</v>
      </c>
      <c r="D2" s="13" t="s">
        <v>531</v>
      </c>
      <c r="F2" s="22" t="str">
        <f t="shared" ref="F2:F27" si="2">if(isblank(O2),concatenate(substitute(proper(D2)," ","")),SUBSTITUTE(O2,"constant:",""))</f>
        <v>AlphaParticleElectronMassRatio</v>
      </c>
      <c r="G2" s="6" t="s">
        <v>532</v>
      </c>
      <c r="H2" s="6" t="s">
        <v>533</v>
      </c>
      <c r="I2" s="6"/>
      <c r="J2" s="6"/>
      <c r="K2" s="13" t="str">
        <f t="shared" ref="K2:K356" si="3">if(or(isblank(J2),J2="?"),"",hyperlink(concatenate("https://w3id.org/uom/",J2)))</f>
        <v/>
      </c>
      <c r="L2" s="6" t="s">
        <v>15</v>
      </c>
      <c r="M2" s="23">
        <f>countif(Quantities!A:A,L2)</f>
        <v>1</v>
      </c>
      <c r="N2" s="24" t="b">
        <f t="shared" ref="N2:N370" si="4">L2=F2</f>
        <v>1</v>
      </c>
      <c r="O2" s="6" t="s">
        <v>534</v>
      </c>
      <c r="P2" s="22" t="b">
        <f t="shared" ref="P2:P311" si="5">not(isblank(O2))</f>
        <v>1</v>
      </c>
      <c r="Q2" s="22" t="b">
        <f t="shared" ref="Q2:Q10" si="6">sum(S1:X2)&gt;0</f>
        <v>1</v>
      </c>
      <c r="R2" s="22">
        <f>countif('v2022'!F:F,F2)</f>
        <v>1</v>
      </c>
      <c r="S2" s="22">
        <f>countif('v2018'!F:F,F2)</f>
        <v>1</v>
      </c>
      <c r="T2" s="22">
        <f>countif('v2014'!F:F,F2)</f>
        <v>1</v>
      </c>
      <c r="U2" s="22">
        <f>countif('v2010'!F:F,F2)</f>
        <v>1</v>
      </c>
      <c r="V2" s="22">
        <f>countif('v2006'!F:F,F2)</f>
        <v>1</v>
      </c>
      <c r="W2" s="22">
        <f>countif('v2002'!F:F,F2)</f>
        <v>1</v>
      </c>
      <c r="X2" s="22">
        <f>countif('v1998'!F:F,F2)</f>
        <v>1</v>
      </c>
      <c r="Y2" s="25" t="s">
        <v>535</v>
      </c>
    </row>
    <row r="3">
      <c r="A3" s="21" t="str">
        <f t="shared" si="1"/>
        <v>alpha particle mass</v>
      </c>
      <c r="B3" s="6" t="s">
        <v>536</v>
      </c>
      <c r="D3" s="13" t="s">
        <v>537</v>
      </c>
      <c r="E3" s="13" t="s">
        <v>538</v>
      </c>
      <c r="F3" s="22" t="str">
        <f t="shared" si="2"/>
        <v>AlphaParticleMass</v>
      </c>
      <c r="G3" s="6" t="s">
        <v>537</v>
      </c>
      <c r="H3" s="6" t="s">
        <v>539</v>
      </c>
      <c r="I3" s="6"/>
      <c r="J3" s="6" t="s">
        <v>538</v>
      </c>
      <c r="K3" s="14" t="str">
        <f t="shared" si="3"/>
        <v>https://w3id.org/uom/kg</v>
      </c>
      <c r="L3" s="13" t="s">
        <v>19</v>
      </c>
      <c r="M3" s="23">
        <f>countif(Quantities!A:A,L3)</f>
        <v>1</v>
      </c>
      <c r="N3" s="24" t="b">
        <f t="shared" si="4"/>
        <v>1</v>
      </c>
      <c r="O3" s="6" t="s">
        <v>540</v>
      </c>
      <c r="P3" s="22" t="b">
        <f t="shared" si="5"/>
        <v>1</v>
      </c>
      <c r="Q3" s="22" t="b">
        <f t="shared" si="6"/>
        <v>1</v>
      </c>
      <c r="R3" s="22">
        <f>countif('v2022'!F:F,F3)</f>
        <v>1</v>
      </c>
      <c r="S3" s="22">
        <f>countif('v2018'!F:F,F3)</f>
        <v>1</v>
      </c>
      <c r="T3" s="22">
        <f>countif('v2014'!F:F,F3)</f>
        <v>1</v>
      </c>
      <c r="U3" s="22">
        <f>countif('v2010'!F:F,F3)</f>
        <v>1</v>
      </c>
      <c r="V3" s="22">
        <f>countif('v2006'!F:F,F3)</f>
        <v>1</v>
      </c>
      <c r="W3" s="22">
        <f>countif('v2002'!F:F,F3)</f>
        <v>1</v>
      </c>
      <c r="X3" s="22">
        <f>countif('v1998'!F:F,F3)</f>
        <v>1</v>
      </c>
    </row>
    <row r="4">
      <c r="A4" s="21" t="str">
        <f t="shared" si="1"/>
        <v>alpha particle mass energy equivalent</v>
      </c>
      <c r="B4" s="6" t="s">
        <v>541</v>
      </c>
      <c r="D4" s="13" t="s">
        <v>542</v>
      </c>
      <c r="E4" s="13" t="s">
        <v>543</v>
      </c>
      <c r="F4" s="22" t="str">
        <f t="shared" si="2"/>
        <v>AlphaParticleMassEnergyEquivalent</v>
      </c>
      <c r="G4" s="6" t="s">
        <v>542</v>
      </c>
      <c r="H4" s="6" t="s">
        <v>544</v>
      </c>
      <c r="I4" s="6"/>
      <c r="J4" s="6" t="s">
        <v>543</v>
      </c>
      <c r="K4" s="14" t="str">
        <f t="shared" si="3"/>
        <v>https://w3id.org/uom/J</v>
      </c>
      <c r="L4" s="6" t="s">
        <v>19</v>
      </c>
      <c r="M4" s="23">
        <f>countif(Quantities!A:A,L4)</f>
        <v>1</v>
      </c>
      <c r="N4" s="24" t="b">
        <f t="shared" si="4"/>
        <v>0</v>
      </c>
      <c r="O4" s="6" t="s">
        <v>545</v>
      </c>
      <c r="P4" s="22" t="b">
        <f t="shared" si="5"/>
        <v>1</v>
      </c>
      <c r="Q4" s="22" t="b">
        <f t="shared" si="6"/>
        <v>1</v>
      </c>
      <c r="R4" s="22">
        <f>countif('v2022'!F:F,F4)</f>
        <v>1</v>
      </c>
      <c r="S4" s="22">
        <f>countif('v2018'!F:F,F4)</f>
        <v>1</v>
      </c>
      <c r="T4" s="22">
        <f>countif('v2014'!F:F,F4)</f>
        <v>1</v>
      </c>
      <c r="U4" s="22">
        <f>countif('v2010'!F:F,F4)</f>
        <v>1</v>
      </c>
      <c r="V4" s="22">
        <f>countif('v2006'!F:F,F4)</f>
        <v>1</v>
      </c>
      <c r="W4" s="22">
        <f>countif('v2002'!F:F,F4)</f>
        <v>1</v>
      </c>
      <c r="X4" s="22">
        <f>countif('v1998'!F:F,F4)</f>
        <v>1</v>
      </c>
    </row>
    <row r="5">
      <c r="A5" s="21" t="str">
        <f t="shared" si="1"/>
        <v>alpha particle mass energy equivalent in MeV</v>
      </c>
      <c r="B5" s="6" t="s">
        <v>546</v>
      </c>
      <c r="D5" s="13" t="s">
        <v>547</v>
      </c>
      <c r="E5" s="13" t="s">
        <v>548</v>
      </c>
      <c r="F5" s="22" t="str">
        <f t="shared" si="2"/>
        <v>AlphaParticleMassEnergyEquivalentInMeV</v>
      </c>
      <c r="G5" s="6" t="s">
        <v>547</v>
      </c>
      <c r="H5" s="6" t="s">
        <v>544</v>
      </c>
      <c r="J5" s="13" t="s">
        <v>548</v>
      </c>
      <c r="K5" s="14" t="str">
        <f t="shared" si="3"/>
        <v>https://w3id.org/uom/MeV</v>
      </c>
      <c r="L5" s="6" t="s">
        <v>19</v>
      </c>
      <c r="M5" s="23">
        <f>countif(Quantities!A:A,L5)</f>
        <v>1</v>
      </c>
      <c r="N5" s="24" t="b">
        <f t="shared" si="4"/>
        <v>0</v>
      </c>
      <c r="O5" s="6" t="s">
        <v>549</v>
      </c>
      <c r="P5" s="22" t="b">
        <f t="shared" si="5"/>
        <v>1</v>
      </c>
      <c r="Q5" s="22" t="b">
        <f t="shared" si="6"/>
        <v>1</v>
      </c>
      <c r="R5" s="22">
        <f>countif('v2022'!F:F,F5)</f>
        <v>1</v>
      </c>
      <c r="S5" s="22">
        <f>countif('v2018'!F:F,F5)</f>
        <v>1</v>
      </c>
      <c r="T5" s="22">
        <f>countif('v2014'!F:F,F5)</f>
        <v>1</v>
      </c>
      <c r="U5" s="22">
        <f>countif('v2010'!F:F,F5)</f>
        <v>1</v>
      </c>
      <c r="V5" s="22">
        <f>countif('v2006'!F:F,F5)</f>
        <v>1</v>
      </c>
      <c r="W5" s="22">
        <f>countif('v2002'!F:F,F5)</f>
        <v>1</v>
      </c>
      <c r="X5" s="22">
        <f>countif('v1998'!F:F,F5)</f>
        <v>1</v>
      </c>
    </row>
    <row r="6">
      <c r="A6" s="6" t="s">
        <v>550</v>
      </c>
      <c r="B6" s="6" t="s">
        <v>551</v>
      </c>
      <c r="D6" s="13" t="s">
        <v>552</v>
      </c>
      <c r="E6" s="13" t="s">
        <v>553</v>
      </c>
      <c r="F6" s="22" t="str">
        <f t="shared" si="2"/>
        <v>AlphaParticleMassInAtomicMassUnit</v>
      </c>
      <c r="G6" s="6" t="s">
        <v>552</v>
      </c>
      <c r="H6" s="6" t="s">
        <v>539</v>
      </c>
      <c r="I6" s="6"/>
      <c r="J6" s="6" t="s">
        <v>553</v>
      </c>
      <c r="K6" s="14" t="str">
        <f t="shared" si="3"/>
        <v>https://w3id.org/uom/u</v>
      </c>
      <c r="L6" s="6" t="s">
        <v>19</v>
      </c>
      <c r="M6" s="23">
        <f>countif(Quantities!A:A,L6)</f>
        <v>1</v>
      </c>
      <c r="N6" s="24" t="b">
        <f t="shared" si="4"/>
        <v>0</v>
      </c>
      <c r="O6" s="6" t="s">
        <v>554</v>
      </c>
      <c r="P6" s="22" t="b">
        <f t="shared" si="5"/>
        <v>1</v>
      </c>
      <c r="Q6" s="22" t="b">
        <f t="shared" si="6"/>
        <v>1</v>
      </c>
      <c r="R6" s="22">
        <f>countif('v2022'!F:F,F6)</f>
        <v>1</v>
      </c>
      <c r="S6" s="22">
        <f>countif('v2018'!F:F,F6)</f>
        <v>1</v>
      </c>
      <c r="T6" s="22">
        <f>countif('v2014'!F:F,F6)</f>
        <v>1</v>
      </c>
      <c r="U6" s="22">
        <f>countif('v2010'!F:F,F6)</f>
        <v>1</v>
      </c>
      <c r="V6" s="22">
        <f>countif('v2006'!F:F,F6)</f>
        <v>1</v>
      </c>
      <c r="W6" s="22">
        <f>countif('v2002'!F:F,F6)</f>
        <v>1</v>
      </c>
      <c r="X6" s="22">
        <f>countif('v1998'!F:F,F6)</f>
        <v>1</v>
      </c>
    </row>
    <row r="7">
      <c r="A7" s="21" t="str">
        <f t="shared" ref="A7:A68" si="7">D7</f>
        <v>alpha particle molar mass</v>
      </c>
      <c r="B7" s="6" t="s">
        <v>555</v>
      </c>
      <c r="D7" s="13" t="s">
        <v>556</v>
      </c>
      <c r="E7" s="13" t="s">
        <v>557</v>
      </c>
      <c r="F7" s="22" t="str">
        <f t="shared" si="2"/>
        <v>AlphaParticleMolarMass</v>
      </c>
      <c r="G7" s="6" t="s">
        <v>556</v>
      </c>
      <c r="H7" s="6" t="s">
        <v>558</v>
      </c>
      <c r="I7" s="6"/>
      <c r="J7" s="6" t="s">
        <v>559</v>
      </c>
      <c r="K7" s="14" t="str">
        <f t="shared" si="3"/>
        <v>https://w3id.org/uom/kg.mol-1</v>
      </c>
      <c r="L7" s="6" t="s">
        <v>23</v>
      </c>
      <c r="M7" s="23">
        <f>countif(Quantities!A:A,L7)</f>
        <v>1</v>
      </c>
      <c r="N7" s="24" t="b">
        <f t="shared" si="4"/>
        <v>1</v>
      </c>
      <c r="O7" s="6" t="s">
        <v>560</v>
      </c>
      <c r="P7" s="22" t="b">
        <f t="shared" si="5"/>
        <v>1</v>
      </c>
      <c r="Q7" s="22" t="b">
        <f t="shared" si="6"/>
        <v>1</v>
      </c>
      <c r="R7" s="22">
        <f>countif('v2022'!F:F,F7)</f>
        <v>1</v>
      </c>
      <c r="S7" s="22">
        <f>countif('v2018'!F:F,F7)</f>
        <v>1</v>
      </c>
      <c r="T7" s="22">
        <f>countif('v2014'!F:F,F7)</f>
        <v>1</v>
      </c>
      <c r="U7" s="22">
        <f>countif('v2010'!F:F,F7)</f>
        <v>1</v>
      </c>
      <c r="V7" s="22">
        <f>countif('v2006'!F:F,F7)</f>
        <v>1</v>
      </c>
      <c r="W7" s="22">
        <f>countif('v2002'!F:F,F7)</f>
        <v>1</v>
      </c>
      <c r="X7" s="22">
        <f>countif('v1998'!F:F,F7)</f>
        <v>1</v>
      </c>
    </row>
    <row r="8">
      <c r="A8" s="21" t="str">
        <f t="shared" si="7"/>
        <v>alpha particle-proton mass ratio</v>
      </c>
      <c r="B8" s="6" t="s">
        <v>561</v>
      </c>
      <c r="D8" s="13" t="s">
        <v>562</v>
      </c>
      <c r="F8" s="22" t="str">
        <f t="shared" si="2"/>
        <v>AlphaParticleProtonMassRatio</v>
      </c>
      <c r="G8" s="6" t="s">
        <v>563</v>
      </c>
      <c r="H8" s="6" t="s">
        <v>564</v>
      </c>
      <c r="I8" s="6"/>
      <c r="J8" s="6"/>
      <c r="K8" s="13" t="str">
        <f t="shared" si="3"/>
        <v/>
      </c>
      <c r="L8" s="13" t="s">
        <v>27</v>
      </c>
      <c r="M8" s="23">
        <f>countif(Quantities!A:A,L8)</f>
        <v>1</v>
      </c>
      <c r="N8" s="24" t="b">
        <f t="shared" si="4"/>
        <v>1</v>
      </c>
      <c r="O8" s="6" t="s">
        <v>565</v>
      </c>
      <c r="P8" s="22" t="b">
        <f t="shared" si="5"/>
        <v>1</v>
      </c>
      <c r="Q8" s="22" t="b">
        <f t="shared" si="6"/>
        <v>1</v>
      </c>
      <c r="R8" s="22">
        <f>countif('v2022'!F:F,F8)</f>
        <v>1</v>
      </c>
      <c r="S8" s="22">
        <f>countif('v2018'!F:F,F8)</f>
        <v>1</v>
      </c>
      <c r="T8" s="22">
        <f>countif('v2014'!F:F,F8)</f>
        <v>1</v>
      </c>
      <c r="U8" s="22">
        <f>countif('v2010'!F:F,F8)</f>
        <v>1</v>
      </c>
      <c r="V8" s="22">
        <f>countif('v2006'!F:F,F8)</f>
        <v>1</v>
      </c>
      <c r="W8" s="22">
        <f>countif('v2002'!F:F,F8)</f>
        <v>1</v>
      </c>
      <c r="X8" s="22">
        <f>countif('v1998'!F:F,F8)</f>
        <v>1</v>
      </c>
    </row>
    <row r="9">
      <c r="A9" s="21" t="str">
        <f t="shared" si="7"/>
        <v>alpha particle relative atomic mass</v>
      </c>
      <c r="B9" s="6" t="s">
        <v>566</v>
      </c>
      <c r="C9" s="6"/>
      <c r="D9" s="13" t="s">
        <v>567</v>
      </c>
      <c r="F9" s="22" t="str">
        <f t="shared" si="2"/>
        <v>AlphaParticleRelativeAtomicMass</v>
      </c>
      <c r="G9" s="6" t="s">
        <v>567</v>
      </c>
      <c r="H9" s="6" t="s">
        <v>564</v>
      </c>
      <c r="K9" s="13" t="str">
        <f t="shared" si="3"/>
        <v/>
      </c>
      <c r="L9" s="13" t="s">
        <v>30</v>
      </c>
      <c r="M9" s="23">
        <f>countif(Quantities!A:A,L9)</f>
        <v>1</v>
      </c>
      <c r="N9" s="24" t="b">
        <f t="shared" si="4"/>
        <v>1</v>
      </c>
      <c r="P9" s="22" t="b">
        <f t="shared" si="5"/>
        <v>0</v>
      </c>
      <c r="Q9" s="22" t="b">
        <f t="shared" si="6"/>
        <v>1</v>
      </c>
      <c r="R9" s="22">
        <f>countif('v2022'!F:F,F9)</f>
        <v>1</v>
      </c>
      <c r="S9" s="22">
        <f>countif('v2018'!F:F,F9)</f>
        <v>1</v>
      </c>
      <c r="T9" s="22">
        <f>countif('v2014'!F:F,F9)</f>
        <v>0</v>
      </c>
      <c r="U9" s="22">
        <f>countif('v2010'!F:F,F9)</f>
        <v>0</v>
      </c>
      <c r="V9" s="22">
        <f>countif('v2006'!F:F,F9)</f>
        <v>0</v>
      </c>
      <c r="W9" s="22">
        <f>countif('v2002'!F:F,F9)</f>
        <v>0</v>
      </c>
      <c r="X9" s="22">
        <f>countif('v1998'!F:F,F9)</f>
        <v>0</v>
      </c>
    </row>
    <row r="10">
      <c r="A10" s="21" t="str">
        <f t="shared" si="7"/>
        <v>alpha particle rms charge radius</v>
      </c>
      <c r="B10" s="6" t="s">
        <v>568</v>
      </c>
      <c r="C10" s="6"/>
      <c r="D10" s="24" t="s">
        <v>569</v>
      </c>
      <c r="F10" s="22" t="str">
        <f t="shared" si="2"/>
        <v>AlphaParticleRmsChargeRadius</v>
      </c>
      <c r="G10" s="6" t="s">
        <v>569</v>
      </c>
      <c r="H10" s="6" t="s">
        <v>570</v>
      </c>
      <c r="I10" s="6"/>
      <c r="J10" s="6" t="s">
        <v>571</v>
      </c>
      <c r="K10" s="14" t="str">
        <f t="shared" si="3"/>
        <v>https://w3id.org/uom/m</v>
      </c>
      <c r="L10" s="13" t="s">
        <v>33</v>
      </c>
      <c r="M10" s="23">
        <f>countif(Quantities!A:A,L10)</f>
        <v>1</v>
      </c>
      <c r="N10" s="24" t="b">
        <f t="shared" si="4"/>
        <v>1</v>
      </c>
      <c r="O10" s="6"/>
      <c r="P10" s="22" t="b">
        <f t="shared" si="5"/>
        <v>0</v>
      </c>
      <c r="Q10" s="22" t="b">
        <f t="shared" si="6"/>
        <v>1</v>
      </c>
      <c r="R10" s="22">
        <f>countif('v2022'!F:F,F10)</f>
        <v>1</v>
      </c>
      <c r="S10" s="22">
        <f>countif('v2018'!F:F,F10)</f>
        <v>0</v>
      </c>
      <c r="T10" s="22">
        <f>countif('v2014'!F:F,F10)</f>
        <v>0</v>
      </c>
      <c r="U10" s="22">
        <f>countif('v2010'!F:F,F10)</f>
        <v>0</v>
      </c>
      <c r="V10" s="22">
        <f>countif('v2006'!F:F,F10)</f>
        <v>0</v>
      </c>
      <c r="W10" s="22">
        <f>countif('v2002'!F:F,F10)</f>
        <v>0</v>
      </c>
      <c r="X10" s="22">
        <f>countif('v1998'!F:F,F10)</f>
        <v>0</v>
      </c>
    </row>
    <row r="11">
      <c r="A11" s="21" t="str">
        <f t="shared" si="7"/>
        <v>Angstrom star</v>
      </c>
      <c r="B11" s="6" t="s">
        <v>572</v>
      </c>
      <c r="C11" s="6"/>
      <c r="D11" s="13" t="s">
        <v>573</v>
      </c>
      <c r="E11" s="13" t="s">
        <v>571</v>
      </c>
      <c r="F11" s="22" t="str">
        <f t="shared" si="2"/>
        <v>AngstromStar</v>
      </c>
      <c r="G11" s="6" t="s">
        <v>573</v>
      </c>
      <c r="I11" s="6"/>
      <c r="J11" s="6" t="s">
        <v>571</v>
      </c>
      <c r="K11" s="14" t="str">
        <f t="shared" si="3"/>
        <v>https://w3id.org/uom/m</v>
      </c>
      <c r="L11" s="13" t="s">
        <v>36</v>
      </c>
      <c r="M11" s="23">
        <f>countif(Quantities!A:A,L11)</f>
        <v>1</v>
      </c>
      <c r="N11" s="24" t="b">
        <f t="shared" si="4"/>
        <v>1</v>
      </c>
      <c r="O11" s="6" t="s">
        <v>574</v>
      </c>
      <c r="P11" s="22" t="b">
        <f t="shared" si="5"/>
        <v>1</v>
      </c>
      <c r="Q11" s="22" t="b">
        <f>sum(S9:X11)&gt;0</f>
        <v>1</v>
      </c>
      <c r="R11" s="22">
        <f>countif('v2022'!F:F,F11)</f>
        <v>1</v>
      </c>
      <c r="S11" s="22">
        <f>countif('v2018'!F:F,F11)</f>
        <v>1</v>
      </c>
      <c r="T11" s="22">
        <f>countif('v2014'!F:F,F11)</f>
        <v>1</v>
      </c>
      <c r="U11" s="22">
        <f>countif('v2010'!F:F,F11)</f>
        <v>1</v>
      </c>
      <c r="V11" s="22">
        <f>countif('v2006'!F:F,F11)</f>
        <v>1</v>
      </c>
      <c r="W11" s="22">
        <f>countif('v2002'!F:F,F11)</f>
        <v>1</v>
      </c>
      <c r="X11" s="22">
        <f>countif('v1998'!F:F,F11)</f>
        <v>1</v>
      </c>
    </row>
    <row r="12">
      <c r="A12" s="21" t="str">
        <f t="shared" si="7"/>
        <v>atomic mass constant</v>
      </c>
      <c r="B12" s="6" t="s">
        <v>553</v>
      </c>
      <c r="D12" s="13" t="s">
        <v>575</v>
      </c>
      <c r="E12" s="13" t="s">
        <v>538</v>
      </c>
      <c r="F12" s="22" t="str">
        <f t="shared" si="2"/>
        <v>AtomicMassConstant</v>
      </c>
      <c r="G12" s="6" t="s">
        <v>575</v>
      </c>
      <c r="H12" s="6" t="s">
        <v>576</v>
      </c>
      <c r="I12" s="6"/>
      <c r="J12" s="6" t="s">
        <v>538</v>
      </c>
      <c r="K12" s="14" t="str">
        <f t="shared" si="3"/>
        <v>https://w3id.org/uom/kg</v>
      </c>
      <c r="L12" s="13" t="s">
        <v>42</v>
      </c>
      <c r="M12" s="23">
        <f>countif(Quantities!A:A,L12)</f>
        <v>1</v>
      </c>
      <c r="N12" s="24" t="b">
        <f t="shared" si="4"/>
        <v>1</v>
      </c>
      <c r="O12" s="6" t="s">
        <v>577</v>
      </c>
      <c r="P12" s="22" t="b">
        <f t="shared" si="5"/>
        <v>1</v>
      </c>
      <c r="Q12" s="22" t="b">
        <f t="shared" ref="Q12:Q58" si="8">sum(S11:X12)&gt;0</f>
        <v>1</v>
      </c>
      <c r="R12" s="22">
        <f>countif('v2022'!F:F,F12)</f>
        <v>1</v>
      </c>
      <c r="S12" s="22">
        <f>countif('v2018'!F:F,F12)</f>
        <v>1</v>
      </c>
      <c r="T12" s="22">
        <f>countif('v2014'!F:F,F12)</f>
        <v>1</v>
      </c>
      <c r="U12" s="22">
        <f>countif('v2010'!F:F,F12)</f>
        <v>1</v>
      </c>
      <c r="V12" s="22">
        <f>countif('v2006'!F:F,F12)</f>
        <v>1</v>
      </c>
      <c r="W12" s="22">
        <f>countif('v2002'!F:F,F12)</f>
        <v>1</v>
      </c>
      <c r="X12" s="22">
        <f>countif('v1998'!F:F,F12)</f>
        <v>1</v>
      </c>
    </row>
    <row r="13">
      <c r="A13" s="21" t="str">
        <f t="shared" si="7"/>
        <v>atomic mass constant energy equivalent</v>
      </c>
      <c r="B13" s="6" t="s">
        <v>578</v>
      </c>
      <c r="D13" s="13" t="s">
        <v>579</v>
      </c>
      <c r="E13" s="13" t="s">
        <v>543</v>
      </c>
      <c r="F13" s="22" t="str">
        <f t="shared" si="2"/>
        <v>AtomicMassConstantEnergyEquivalent</v>
      </c>
      <c r="G13" s="6" t="s">
        <v>579</v>
      </c>
      <c r="H13" s="6" t="s">
        <v>580</v>
      </c>
      <c r="I13" s="6"/>
      <c r="J13" s="6" t="s">
        <v>543</v>
      </c>
      <c r="K13" s="14" t="str">
        <f t="shared" si="3"/>
        <v>https://w3id.org/uom/J</v>
      </c>
      <c r="L13" s="6" t="s">
        <v>42</v>
      </c>
      <c r="M13" s="23">
        <f>countif(Quantities!A:A,L13)</f>
        <v>1</v>
      </c>
      <c r="N13" s="24" t="b">
        <f t="shared" si="4"/>
        <v>0</v>
      </c>
      <c r="O13" s="6" t="s">
        <v>581</v>
      </c>
      <c r="P13" s="22" t="b">
        <f t="shared" si="5"/>
        <v>1</v>
      </c>
      <c r="Q13" s="22" t="b">
        <f t="shared" si="8"/>
        <v>1</v>
      </c>
      <c r="R13" s="22">
        <f>countif('v2022'!F:F,F13)</f>
        <v>1</v>
      </c>
      <c r="S13" s="22">
        <f>countif('v2018'!F:F,F13)</f>
        <v>1</v>
      </c>
      <c r="T13" s="22">
        <f>countif('v2014'!F:F,F13)</f>
        <v>1</v>
      </c>
      <c r="U13" s="22">
        <f>countif('v2010'!F:F,F13)</f>
        <v>1</v>
      </c>
      <c r="V13" s="22">
        <f>countif('v2006'!F:F,F13)</f>
        <v>1</v>
      </c>
      <c r="W13" s="22">
        <f>countif('v2002'!F:F,F13)</f>
        <v>1</v>
      </c>
      <c r="X13" s="22">
        <f>countif('v1998'!F:F,F13)</f>
        <v>1</v>
      </c>
    </row>
    <row r="14">
      <c r="A14" s="21" t="str">
        <f t="shared" si="7"/>
        <v>atomic mass constant energy equivalent in MeV</v>
      </c>
      <c r="B14" s="6" t="s">
        <v>582</v>
      </c>
      <c r="D14" s="13" t="s">
        <v>583</v>
      </c>
      <c r="E14" s="13" t="s">
        <v>548</v>
      </c>
      <c r="F14" s="22" t="str">
        <f t="shared" si="2"/>
        <v>AtomicMassConstantEnergyEquivalentInMeV</v>
      </c>
      <c r="G14" s="6" t="s">
        <v>583</v>
      </c>
      <c r="H14" s="6" t="s">
        <v>580</v>
      </c>
      <c r="I14" s="6"/>
      <c r="J14" s="6" t="s">
        <v>548</v>
      </c>
      <c r="K14" s="14" t="str">
        <f t="shared" si="3"/>
        <v>https://w3id.org/uom/MeV</v>
      </c>
      <c r="L14" s="6" t="s">
        <v>42</v>
      </c>
      <c r="M14" s="23">
        <f>countif(Quantities!A:A,L14)</f>
        <v>1</v>
      </c>
      <c r="N14" s="24" t="b">
        <f t="shared" si="4"/>
        <v>0</v>
      </c>
      <c r="O14" s="6" t="s">
        <v>584</v>
      </c>
      <c r="P14" s="22" t="b">
        <f t="shared" si="5"/>
        <v>1</v>
      </c>
      <c r="Q14" s="22" t="b">
        <f t="shared" si="8"/>
        <v>1</v>
      </c>
      <c r="R14" s="22">
        <f>countif('v2022'!F:F,F14)</f>
        <v>1</v>
      </c>
      <c r="S14" s="22">
        <f>countif('v2018'!F:F,F14)</f>
        <v>1</v>
      </c>
      <c r="T14" s="22">
        <f>countif('v2014'!F:F,F14)</f>
        <v>1</v>
      </c>
      <c r="U14" s="22">
        <f>countif('v2010'!F:F,F14)</f>
        <v>1</v>
      </c>
      <c r="V14" s="22">
        <f>countif('v2006'!F:F,F14)</f>
        <v>1</v>
      </c>
      <c r="W14" s="22">
        <f>countif('v2002'!F:F,F14)</f>
        <v>1</v>
      </c>
      <c r="X14" s="22">
        <f>countif('v1998'!F:F,F14)</f>
        <v>1</v>
      </c>
    </row>
    <row r="15">
      <c r="A15" s="21" t="str">
        <f t="shared" si="7"/>
        <v>atomic mass unit-electron volt relationship</v>
      </c>
      <c r="B15" s="6" t="s">
        <v>585</v>
      </c>
      <c r="C15" s="6" t="s">
        <v>586</v>
      </c>
      <c r="D15" s="13" t="s">
        <v>587</v>
      </c>
      <c r="E15" s="13" t="s">
        <v>175</v>
      </c>
      <c r="F15" s="22" t="str">
        <f t="shared" si="2"/>
        <v>AtomicMassUnitElectronVoltRelationship</v>
      </c>
      <c r="G15" s="6" t="s">
        <v>588</v>
      </c>
      <c r="H15" s="6" t="s">
        <v>589</v>
      </c>
      <c r="I15" s="6"/>
      <c r="J15" s="6" t="s">
        <v>175</v>
      </c>
      <c r="K15" s="14" t="str">
        <f t="shared" si="3"/>
        <v>https://w3id.org/uom/eV</v>
      </c>
      <c r="L15" s="13" t="s">
        <v>46</v>
      </c>
      <c r="M15" s="23">
        <f>countif(Quantities!A:A,L15)</f>
        <v>1</v>
      </c>
      <c r="N15" s="24" t="b">
        <f t="shared" si="4"/>
        <v>1</v>
      </c>
      <c r="O15" s="6" t="s">
        <v>590</v>
      </c>
      <c r="P15" s="22" t="b">
        <f t="shared" si="5"/>
        <v>1</v>
      </c>
      <c r="Q15" s="22" t="b">
        <f t="shared" si="8"/>
        <v>1</v>
      </c>
      <c r="R15" s="22">
        <f>countif('v2022'!F:F,F15)</f>
        <v>1</v>
      </c>
      <c r="S15" s="22">
        <f>countif('v2018'!F:F,F15)</f>
        <v>1</v>
      </c>
      <c r="T15" s="22">
        <f>countif('v2014'!F:F,F15)</f>
        <v>1</v>
      </c>
      <c r="U15" s="22">
        <f>countif('v2010'!F:F,F15)</f>
        <v>1</v>
      </c>
      <c r="V15" s="22">
        <f>countif('v2006'!F:F,F15)</f>
        <v>1</v>
      </c>
      <c r="W15" s="22">
        <f>countif('v2002'!F:F,F15)</f>
        <v>1</v>
      </c>
      <c r="X15" s="22">
        <f>countif('v1998'!F:F,F15)</f>
        <v>1</v>
      </c>
    </row>
    <row r="16">
      <c r="A16" s="21" t="str">
        <f t="shared" si="7"/>
        <v>atomic mass unit-hartree relationship</v>
      </c>
      <c r="B16" s="6" t="s">
        <v>591</v>
      </c>
      <c r="D16" s="13" t="s">
        <v>592</v>
      </c>
      <c r="E16" s="13" t="s">
        <v>593</v>
      </c>
      <c r="F16" s="22" t="str">
        <f t="shared" si="2"/>
        <v>AtomicMassUnitHartreeRelationship</v>
      </c>
      <c r="G16" s="6" t="s">
        <v>594</v>
      </c>
      <c r="H16" s="6" t="s">
        <v>595</v>
      </c>
      <c r="I16" s="6"/>
      <c r="J16" s="6" t="s">
        <v>596</v>
      </c>
      <c r="K16" s="13" t="str">
        <f t="shared" si="3"/>
        <v/>
      </c>
      <c r="L16" s="13" t="s">
        <v>49</v>
      </c>
      <c r="M16" s="23">
        <f>countif(Quantities!A:A,L16)</f>
        <v>1</v>
      </c>
      <c r="N16" s="24" t="b">
        <f t="shared" si="4"/>
        <v>1</v>
      </c>
      <c r="O16" s="6" t="s">
        <v>597</v>
      </c>
      <c r="P16" s="22" t="b">
        <f t="shared" si="5"/>
        <v>1</v>
      </c>
      <c r="Q16" s="22" t="b">
        <f t="shared" si="8"/>
        <v>1</v>
      </c>
      <c r="R16" s="22">
        <f>countif('v2022'!F:F,F16)</f>
        <v>1</v>
      </c>
      <c r="S16" s="22">
        <f>countif('v2018'!F:F,F16)</f>
        <v>1</v>
      </c>
      <c r="T16" s="22">
        <f>countif('v2014'!F:F,F16)</f>
        <v>1</v>
      </c>
      <c r="U16" s="22">
        <f>countif('v2010'!F:F,F16)</f>
        <v>1</v>
      </c>
      <c r="V16" s="22">
        <f>countif('v2006'!F:F,F16)</f>
        <v>1</v>
      </c>
      <c r="W16" s="22">
        <f>countif('v2002'!F:F,F16)</f>
        <v>1</v>
      </c>
      <c r="X16" s="22">
        <f>countif('v1998'!F:F,F16)</f>
        <v>1</v>
      </c>
    </row>
    <row r="17">
      <c r="A17" s="21" t="str">
        <f t="shared" si="7"/>
        <v>atomic mass unit-hertz relationship</v>
      </c>
      <c r="B17" s="6" t="s">
        <v>598</v>
      </c>
      <c r="D17" s="13" t="s">
        <v>599</v>
      </c>
      <c r="E17" s="13" t="s">
        <v>600</v>
      </c>
      <c r="F17" s="22" t="str">
        <f t="shared" si="2"/>
        <v>AtomicMassUnitHertzRelationship</v>
      </c>
      <c r="G17" s="6" t="s">
        <v>601</v>
      </c>
      <c r="H17" s="6" t="s">
        <v>602</v>
      </c>
      <c r="I17" s="6"/>
      <c r="J17" s="6" t="s">
        <v>600</v>
      </c>
      <c r="K17" s="14" t="str">
        <f t="shared" si="3"/>
        <v>https://w3id.org/uom/Hz</v>
      </c>
      <c r="L17" s="13" t="s">
        <v>53</v>
      </c>
      <c r="M17" s="23">
        <f>countif(Quantities!A:A,L17)</f>
        <v>1</v>
      </c>
      <c r="N17" s="24" t="b">
        <f t="shared" si="4"/>
        <v>1</v>
      </c>
      <c r="O17" s="6" t="s">
        <v>603</v>
      </c>
      <c r="P17" s="22" t="b">
        <f t="shared" si="5"/>
        <v>1</v>
      </c>
      <c r="Q17" s="22" t="b">
        <f t="shared" si="8"/>
        <v>1</v>
      </c>
      <c r="R17" s="22">
        <f>countif('v2022'!F:F,F17)</f>
        <v>1</v>
      </c>
      <c r="S17" s="22">
        <f>countif('v2018'!F:F,F17)</f>
        <v>1</v>
      </c>
      <c r="T17" s="22">
        <f>countif('v2014'!F:F,F17)</f>
        <v>1</v>
      </c>
      <c r="U17" s="22">
        <f>countif('v2010'!F:F,F17)</f>
        <v>1</v>
      </c>
      <c r="V17" s="22">
        <f>countif('v2006'!F:F,F17)</f>
        <v>1</v>
      </c>
      <c r="W17" s="22">
        <f>countif('v2002'!F:F,F17)</f>
        <v>1</v>
      </c>
      <c r="X17" s="22">
        <f>countif('v1998'!F:F,F17)</f>
        <v>1</v>
      </c>
    </row>
    <row r="18">
      <c r="A18" s="21" t="str">
        <f t="shared" si="7"/>
        <v>atomic mass unit-inverse meter relationship</v>
      </c>
      <c r="B18" s="6" t="s">
        <v>604</v>
      </c>
      <c r="D18" s="13" t="s">
        <v>605</v>
      </c>
      <c r="E18" s="13" t="s">
        <v>606</v>
      </c>
      <c r="F18" s="22" t="str">
        <f t="shared" si="2"/>
        <v>AtomicMassUnitInverseMeterRelationship</v>
      </c>
      <c r="G18" s="6" t="s">
        <v>607</v>
      </c>
      <c r="H18" s="6" t="s">
        <v>608</v>
      </c>
      <c r="I18" s="6"/>
      <c r="J18" s="6" t="s">
        <v>609</v>
      </c>
      <c r="K18" s="14" t="str">
        <f t="shared" si="3"/>
        <v>https://w3id.org/uom/m-1</v>
      </c>
      <c r="L18" s="13" t="s">
        <v>56</v>
      </c>
      <c r="M18" s="23">
        <f>countif(Quantities!A:A,L18)</f>
        <v>1</v>
      </c>
      <c r="N18" s="24" t="b">
        <f t="shared" si="4"/>
        <v>1</v>
      </c>
      <c r="O18" s="6" t="s">
        <v>610</v>
      </c>
      <c r="P18" s="22" t="b">
        <f t="shared" si="5"/>
        <v>1</v>
      </c>
      <c r="Q18" s="22" t="b">
        <f t="shared" si="8"/>
        <v>1</v>
      </c>
      <c r="R18" s="22">
        <f>countif('v2022'!F:F,F18)</f>
        <v>1</v>
      </c>
      <c r="S18" s="22">
        <f>countif('v2018'!F:F,F18)</f>
        <v>1</v>
      </c>
      <c r="T18" s="22">
        <f>countif('v2014'!F:F,F18)</f>
        <v>1</v>
      </c>
      <c r="U18" s="22">
        <f>countif('v2010'!F:F,F18)</f>
        <v>1</v>
      </c>
      <c r="V18" s="22">
        <f>countif('v2006'!F:F,F18)</f>
        <v>1</v>
      </c>
      <c r="W18" s="22">
        <f>countif('v2002'!F:F,F18)</f>
        <v>1</v>
      </c>
      <c r="X18" s="22">
        <f>countif('v1998'!F:F,F18)</f>
        <v>1</v>
      </c>
    </row>
    <row r="19">
      <c r="A19" s="21" t="str">
        <f t="shared" si="7"/>
        <v>atomic mass unit-joule relationship</v>
      </c>
      <c r="B19" s="6" t="s">
        <v>611</v>
      </c>
      <c r="D19" s="13" t="s">
        <v>612</v>
      </c>
      <c r="E19" s="13" t="s">
        <v>543</v>
      </c>
      <c r="F19" s="22" t="str">
        <f t="shared" si="2"/>
        <v>AtomicMassUnitJouleRelationship</v>
      </c>
      <c r="G19" s="6" t="s">
        <v>613</v>
      </c>
      <c r="H19" s="6" t="s">
        <v>614</v>
      </c>
      <c r="I19" s="6"/>
      <c r="J19" s="6" t="s">
        <v>543</v>
      </c>
      <c r="K19" s="14" t="str">
        <f t="shared" si="3"/>
        <v>https://w3id.org/uom/J</v>
      </c>
      <c r="L19" s="13" t="s">
        <v>59</v>
      </c>
      <c r="M19" s="23">
        <f>countif(Quantities!A:A,L19)</f>
        <v>1</v>
      </c>
      <c r="N19" s="24" t="b">
        <f t="shared" si="4"/>
        <v>1</v>
      </c>
      <c r="O19" s="6" t="s">
        <v>615</v>
      </c>
      <c r="P19" s="22" t="b">
        <f t="shared" si="5"/>
        <v>1</v>
      </c>
      <c r="Q19" s="22" t="b">
        <f t="shared" si="8"/>
        <v>1</v>
      </c>
      <c r="R19" s="22">
        <f>countif('v2022'!F:F,F19)</f>
        <v>1</v>
      </c>
      <c r="S19" s="22">
        <f>countif('v2018'!F:F,F19)</f>
        <v>1</v>
      </c>
      <c r="T19" s="22">
        <f>countif('v2014'!F:F,F19)</f>
        <v>1</v>
      </c>
      <c r="U19" s="22">
        <f>countif('v2010'!F:F,F19)</f>
        <v>1</v>
      </c>
      <c r="V19" s="22">
        <f>countif('v2006'!F:F,F19)</f>
        <v>1</v>
      </c>
      <c r="W19" s="22">
        <f>countif('v2002'!F:F,F19)</f>
        <v>1</v>
      </c>
      <c r="X19" s="22">
        <f>countif('v1998'!F:F,F19)</f>
        <v>1</v>
      </c>
    </row>
    <row r="20">
      <c r="A20" s="21" t="str">
        <f t="shared" si="7"/>
        <v>atomic mass unit-kelvin relationship</v>
      </c>
      <c r="B20" s="6" t="s">
        <v>616</v>
      </c>
      <c r="D20" s="13" t="s">
        <v>617</v>
      </c>
      <c r="E20" s="13" t="s">
        <v>618</v>
      </c>
      <c r="F20" s="22" t="str">
        <f t="shared" si="2"/>
        <v>AtomicMassUnitKelvinRelationship</v>
      </c>
      <c r="G20" s="6" t="s">
        <v>619</v>
      </c>
      <c r="H20" s="6" t="s">
        <v>620</v>
      </c>
      <c r="I20" s="6"/>
      <c r="J20" s="6" t="s">
        <v>618</v>
      </c>
      <c r="K20" s="14" t="str">
        <f t="shared" si="3"/>
        <v>https://w3id.org/uom/K</v>
      </c>
      <c r="L20" s="13" t="s">
        <v>62</v>
      </c>
      <c r="M20" s="23">
        <f>countif(Quantities!A:A,L20)</f>
        <v>1</v>
      </c>
      <c r="N20" s="24" t="b">
        <f t="shared" si="4"/>
        <v>1</v>
      </c>
      <c r="O20" s="6" t="s">
        <v>621</v>
      </c>
      <c r="P20" s="22" t="b">
        <f t="shared" si="5"/>
        <v>1</v>
      </c>
      <c r="Q20" s="22" t="b">
        <f t="shared" si="8"/>
        <v>1</v>
      </c>
      <c r="R20" s="22">
        <f>countif('v2022'!F:F,F20)</f>
        <v>1</v>
      </c>
      <c r="S20" s="22">
        <f>countif('v2018'!F:F,F20)</f>
        <v>1</v>
      </c>
      <c r="T20" s="22">
        <f>countif('v2014'!F:F,F20)</f>
        <v>1</v>
      </c>
      <c r="U20" s="22">
        <f>countif('v2010'!F:F,F20)</f>
        <v>1</v>
      </c>
      <c r="V20" s="22">
        <f>countif('v2006'!F:F,F20)</f>
        <v>1</v>
      </c>
      <c r="W20" s="22">
        <f>countif('v2002'!F:F,F20)</f>
        <v>1</v>
      </c>
      <c r="X20" s="22">
        <f>countif('v1998'!F:F,F20)</f>
        <v>1</v>
      </c>
    </row>
    <row r="21">
      <c r="A21" s="21" t="str">
        <f t="shared" si="7"/>
        <v>atomic mass unit-kilogram relationship</v>
      </c>
      <c r="B21" s="6" t="s">
        <v>622</v>
      </c>
      <c r="D21" s="13" t="s">
        <v>623</v>
      </c>
      <c r="E21" s="13" t="s">
        <v>538</v>
      </c>
      <c r="F21" s="22" t="str">
        <f t="shared" si="2"/>
        <v>AtomicMassUnitKilogramRelationship</v>
      </c>
      <c r="G21" s="6" t="s">
        <v>624</v>
      </c>
      <c r="H21" s="6" t="s">
        <v>625</v>
      </c>
      <c r="I21" s="6"/>
      <c r="J21" s="6" t="s">
        <v>538</v>
      </c>
      <c r="K21" s="14" t="str">
        <f t="shared" si="3"/>
        <v>https://w3id.org/uom/kg</v>
      </c>
      <c r="L21" s="13" t="s">
        <v>65</v>
      </c>
      <c r="M21" s="23">
        <f>countif(Quantities!A:A,L21)</f>
        <v>1</v>
      </c>
      <c r="N21" s="24" t="b">
        <f t="shared" si="4"/>
        <v>1</v>
      </c>
      <c r="O21" s="6" t="s">
        <v>626</v>
      </c>
      <c r="P21" s="22" t="b">
        <f t="shared" si="5"/>
        <v>1</v>
      </c>
      <c r="Q21" s="22" t="b">
        <f t="shared" si="8"/>
        <v>1</v>
      </c>
      <c r="R21" s="22">
        <f>countif('v2022'!F:F,F21)</f>
        <v>1</v>
      </c>
      <c r="S21" s="22">
        <f>countif('v2018'!F:F,F21)</f>
        <v>1</v>
      </c>
      <c r="T21" s="22">
        <f>countif('v2014'!F:F,F21)</f>
        <v>1</v>
      </c>
      <c r="U21" s="22">
        <f>countif('v2010'!F:F,F21)</f>
        <v>1</v>
      </c>
      <c r="V21" s="22">
        <f>countif('v2006'!F:F,F21)</f>
        <v>1</v>
      </c>
      <c r="W21" s="22">
        <f>countif('v2002'!F:F,F21)</f>
        <v>1</v>
      </c>
      <c r="X21" s="22">
        <f>countif('v1998'!F:F,F21)</f>
        <v>1</v>
      </c>
    </row>
    <row r="22">
      <c r="A22" s="21" t="str">
        <f t="shared" si="7"/>
        <v>atomic unit of 1st hyperpolarizability</v>
      </c>
      <c r="B22" s="6" t="s">
        <v>627</v>
      </c>
      <c r="C22" s="6"/>
      <c r="D22" s="13" t="s">
        <v>628</v>
      </c>
      <c r="E22" s="13" t="s">
        <v>629</v>
      </c>
      <c r="F22" s="22" t="str">
        <f t="shared" si="2"/>
        <v>AtomicUnitOf1stHyperpolarizablity</v>
      </c>
      <c r="G22" s="6" t="s">
        <v>630</v>
      </c>
      <c r="H22" s="6" t="s">
        <v>631</v>
      </c>
      <c r="I22" s="6"/>
      <c r="J22" s="6" t="s">
        <v>632</v>
      </c>
      <c r="K22" s="14" t="str">
        <f t="shared" si="3"/>
        <v>https://w3id.org/uom/C3.m3.J-2</v>
      </c>
      <c r="L22" s="13" t="s">
        <v>71</v>
      </c>
      <c r="M22" s="23">
        <f>countif(Quantities!A:A,L22)</f>
        <v>1</v>
      </c>
      <c r="N22" s="24" t="b">
        <f t="shared" si="4"/>
        <v>1</v>
      </c>
      <c r="O22" s="6" t="s">
        <v>633</v>
      </c>
      <c r="P22" s="22" t="b">
        <f t="shared" si="5"/>
        <v>1</v>
      </c>
      <c r="Q22" s="22" t="b">
        <f t="shared" si="8"/>
        <v>1</v>
      </c>
      <c r="R22" s="22">
        <f>countif('v2022'!F:F,F22)</f>
        <v>1</v>
      </c>
      <c r="S22" s="22">
        <f>countif('v2018'!F:F,F22)</f>
        <v>1</v>
      </c>
      <c r="T22" s="22">
        <f>countif('v2014'!F:F,F22)</f>
        <v>1</v>
      </c>
      <c r="U22" s="22">
        <f>countif('v2010'!F:F,F22)</f>
        <v>1</v>
      </c>
      <c r="V22" s="22">
        <f>countif('v2006'!F:F,F22)</f>
        <v>1</v>
      </c>
      <c r="W22" s="22">
        <f>countif('v2002'!F:F,F22)</f>
        <v>1</v>
      </c>
      <c r="X22" s="22">
        <f>countif('v1998'!F:F,F22)</f>
        <v>1</v>
      </c>
    </row>
    <row r="23">
      <c r="A23" s="21" t="str">
        <f t="shared" si="7"/>
        <v>atomic unit of 2nd hyperpolarizability</v>
      </c>
      <c r="B23" s="6" t="s">
        <v>634</v>
      </c>
      <c r="C23" s="6"/>
      <c r="D23" s="13" t="s">
        <v>635</v>
      </c>
      <c r="E23" s="13" t="s">
        <v>636</v>
      </c>
      <c r="F23" s="22" t="str">
        <f t="shared" si="2"/>
        <v>AtomicUnitOf2ndHyperpolarizablity</v>
      </c>
      <c r="G23" s="6" t="s">
        <v>637</v>
      </c>
      <c r="H23" s="6" t="s">
        <v>638</v>
      </c>
      <c r="I23" s="6"/>
      <c r="J23" s="6" t="s">
        <v>639</v>
      </c>
      <c r="K23" s="14" t="str">
        <f t="shared" si="3"/>
        <v>https://w3id.org/uom/C4.m4.J-3</v>
      </c>
      <c r="L23" s="13" t="s">
        <v>75</v>
      </c>
      <c r="M23" s="23">
        <f>countif(Quantities!A:A,L23)</f>
        <v>1</v>
      </c>
      <c r="N23" s="24" t="b">
        <f t="shared" si="4"/>
        <v>1</v>
      </c>
      <c r="O23" s="6" t="s">
        <v>640</v>
      </c>
      <c r="P23" s="22" t="b">
        <f t="shared" si="5"/>
        <v>1</v>
      </c>
      <c r="Q23" s="22" t="b">
        <f t="shared" si="8"/>
        <v>1</v>
      </c>
      <c r="R23" s="22">
        <f>countif('v2022'!F:F,F23)</f>
        <v>1</v>
      </c>
      <c r="S23" s="22">
        <f>countif('v2018'!F:F,F23)</f>
        <v>1</v>
      </c>
      <c r="T23" s="22">
        <f>countif('v2014'!F:F,F23)</f>
        <v>1</v>
      </c>
      <c r="U23" s="22">
        <f>countif('v2010'!F:F,F23)</f>
        <v>1</v>
      </c>
      <c r="V23" s="22">
        <f>countif('v2006'!F:F,F23)</f>
        <v>1</v>
      </c>
      <c r="W23" s="22">
        <f>countif('v2002'!F:F,F23)</f>
        <v>1</v>
      </c>
      <c r="X23" s="22">
        <f>countif('v1998'!F:F,F23)</f>
        <v>1</v>
      </c>
    </row>
    <row r="24">
      <c r="A24" s="21" t="str">
        <f t="shared" si="7"/>
        <v>atomic unit of action</v>
      </c>
      <c r="B24" s="6" t="s">
        <v>641</v>
      </c>
      <c r="D24" s="13" t="s">
        <v>642</v>
      </c>
      <c r="E24" s="13" t="s">
        <v>643</v>
      </c>
      <c r="F24" s="22" t="str">
        <f t="shared" si="2"/>
        <v>AtomicUnitOfAction</v>
      </c>
      <c r="G24" s="6" t="s">
        <v>642</v>
      </c>
      <c r="H24" s="6" t="s">
        <v>644</v>
      </c>
      <c r="I24" s="6"/>
      <c r="J24" s="6" t="s">
        <v>645</v>
      </c>
      <c r="K24" s="14" t="str">
        <f t="shared" si="3"/>
        <v>https://w3id.org/uom/J.s</v>
      </c>
      <c r="L24" s="13" t="s">
        <v>78</v>
      </c>
      <c r="M24" s="23">
        <f>countif(Quantities!A:A,L24)</f>
        <v>1</v>
      </c>
      <c r="N24" s="24" t="b">
        <f t="shared" si="4"/>
        <v>1</v>
      </c>
      <c r="O24" s="6" t="s">
        <v>646</v>
      </c>
      <c r="P24" s="22" t="b">
        <f t="shared" si="5"/>
        <v>1</v>
      </c>
      <c r="Q24" s="22" t="b">
        <f t="shared" si="8"/>
        <v>1</v>
      </c>
      <c r="R24" s="22">
        <f>countif('v2022'!F:F,F24)</f>
        <v>1</v>
      </c>
      <c r="S24" s="22">
        <f>countif('v2018'!F:F,F24)</f>
        <v>1</v>
      </c>
      <c r="T24" s="22">
        <f>countif('v2014'!F:F,F24)</f>
        <v>1</v>
      </c>
      <c r="U24" s="22">
        <f>countif('v2010'!F:F,F24)</f>
        <v>1</v>
      </c>
      <c r="V24" s="22">
        <f>countif('v2006'!F:F,F24)</f>
        <v>1</v>
      </c>
      <c r="W24" s="22">
        <f>countif('v2002'!F:F,F24)</f>
        <v>1</v>
      </c>
      <c r="X24" s="22">
        <f>countif('v1998'!F:F,F24)</f>
        <v>1</v>
      </c>
    </row>
    <row r="25">
      <c r="A25" s="21" t="str">
        <f t="shared" si="7"/>
        <v>atomic unit of charge</v>
      </c>
      <c r="B25" s="6" t="s">
        <v>647</v>
      </c>
      <c r="C25" s="6"/>
      <c r="D25" s="13" t="s">
        <v>648</v>
      </c>
      <c r="E25" s="13" t="s">
        <v>649</v>
      </c>
      <c r="F25" s="22" t="str">
        <f t="shared" si="2"/>
        <v>AtomicUnitOfCharge</v>
      </c>
      <c r="G25" s="6" t="s">
        <v>648</v>
      </c>
      <c r="H25" s="6" t="s">
        <v>650</v>
      </c>
      <c r="I25" s="6" t="s">
        <v>651</v>
      </c>
      <c r="J25" s="6" t="s">
        <v>649</v>
      </c>
      <c r="K25" s="14" t="str">
        <f t="shared" si="3"/>
        <v>https://w3id.org/uom/C</v>
      </c>
      <c r="L25" s="13" t="s">
        <v>81</v>
      </c>
      <c r="M25" s="23">
        <f>countif(Quantities!A:A,L25)</f>
        <v>1</v>
      </c>
      <c r="N25" s="24" t="b">
        <f t="shared" si="4"/>
        <v>1</v>
      </c>
      <c r="O25" s="6" t="s">
        <v>652</v>
      </c>
      <c r="P25" s="22" t="b">
        <f t="shared" si="5"/>
        <v>1</v>
      </c>
      <c r="Q25" s="22" t="b">
        <f t="shared" si="8"/>
        <v>1</v>
      </c>
      <c r="R25" s="22">
        <f>countif('v2022'!F:F,F25)</f>
        <v>1</v>
      </c>
      <c r="S25" s="22">
        <f>countif('v2018'!F:F,F25)</f>
        <v>1</v>
      </c>
      <c r="T25" s="22">
        <f>countif('v2014'!F:F,F25)</f>
        <v>1</v>
      </c>
      <c r="U25" s="22">
        <f>countif('v2010'!F:F,F25)</f>
        <v>1</v>
      </c>
      <c r="V25" s="22">
        <f>countif('v2006'!F:F,F25)</f>
        <v>0</v>
      </c>
      <c r="W25" s="22">
        <f>countif('v2002'!F:F,F25)</f>
        <v>0</v>
      </c>
      <c r="X25" s="22">
        <f>countif('v1998'!F:F,F25)</f>
        <v>0</v>
      </c>
    </row>
    <row r="26">
      <c r="A26" s="21" t="str">
        <f t="shared" si="7"/>
        <v>atomic unit of charge density</v>
      </c>
      <c r="B26" s="6" t="s">
        <v>653</v>
      </c>
      <c r="C26" s="6"/>
      <c r="D26" s="13" t="s">
        <v>654</v>
      </c>
      <c r="E26" s="13" t="s">
        <v>655</v>
      </c>
      <c r="F26" s="22" t="str">
        <f t="shared" si="2"/>
        <v>AtomicUnitOfChargeDensity</v>
      </c>
      <c r="G26" s="6" t="s">
        <v>654</v>
      </c>
      <c r="H26" s="6" t="s">
        <v>656</v>
      </c>
      <c r="I26" s="6"/>
      <c r="J26" s="6" t="s">
        <v>657</v>
      </c>
      <c r="K26" s="14" t="str">
        <f t="shared" si="3"/>
        <v>https://w3id.org/uom/C.m-3</v>
      </c>
      <c r="L26" s="13" t="s">
        <v>85</v>
      </c>
      <c r="M26" s="23">
        <f>countif(Quantities!A:A,L26)</f>
        <v>1</v>
      </c>
      <c r="N26" s="24" t="b">
        <f t="shared" si="4"/>
        <v>1</v>
      </c>
      <c r="O26" s="6" t="s">
        <v>658</v>
      </c>
      <c r="P26" s="22" t="b">
        <f t="shared" si="5"/>
        <v>1</v>
      </c>
      <c r="Q26" s="22" t="b">
        <f t="shared" si="8"/>
        <v>1</v>
      </c>
      <c r="R26" s="22">
        <f>countif('v2022'!F:F,F26)</f>
        <v>1</v>
      </c>
      <c r="S26" s="22">
        <f>countif('v2018'!F:F,F26)</f>
        <v>1</v>
      </c>
      <c r="T26" s="22">
        <f>countif('v2014'!F:F,F26)</f>
        <v>1</v>
      </c>
      <c r="U26" s="22">
        <f>countif('v2010'!F:F,F26)</f>
        <v>1</v>
      </c>
      <c r="V26" s="22">
        <f>countif('v2006'!F:F,F26)</f>
        <v>1</v>
      </c>
      <c r="W26" s="22">
        <f>countif('v2002'!F:F,F26)</f>
        <v>1</v>
      </c>
      <c r="X26" s="22">
        <f>countif('v1998'!F:F,F26)</f>
        <v>1</v>
      </c>
    </row>
    <row r="27">
      <c r="A27" s="21" t="str">
        <f t="shared" si="7"/>
        <v>atomic unit of current</v>
      </c>
      <c r="B27" s="6" t="s">
        <v>659</v>
      </c>
      <c r="C27" s="6"/>
      <c r="D27" s="13" t="s">
        <v>660</v>
      </c>
      <c r="E27" s="13" t="s">
        <v>661</v>
      </c>
      <c r="F27" s="22" t="str">
        <f t="shared" si="2"/>
        <v>AtomicUnitOfCurrent</v>
      </c>
      <c r="G27" s="6" t="s">
        <v>660</v>
      </c>
      <c r="H27" s="6" t="s">
        <v>662</v>
      </c>
      <c r="I27" s="6"/>
      <c r="J27" s="6" t="s">
        <v>661</v>
      </c>
      <c r="K27" s="14" t="str">
        <f t="shared" si="3"/>
        <v>https://w3id.org/uom/A</v>
      </c>
      <c r="L27" s="13" t="s">
        <v>89</v>
      </c>
      <c r="M27" s="23">
        <f>countif(Quantities!A:A,L27)</f>
        <v>1</v>
      </c>
      <c r="N27" s="24" t="b">
        <f t="shared" si="4"/>
        <v>1</v>
      </c>
      <c r="O27" s="6" t="s">
        <v>663</v>
      </c>
      <c r="P27" s="22" t="b">
        <f t="shared" si="5"/>
        <v>1</v>
      </c>
      <c r="Q27" s="22" t="b">
        <f t="shared" si="8"/>
        <v>1</v>
      </c>
      <c r="R27" s="22">
        <f>countif('v2022'!F:F,F27)</f>
        <v>1</v>
      </c>
      <c r="S27" s="22">
        <f>countif('v2018'!F:F,F27)</f>
        <v>1</v>
      </c>
      <c r="T27" s="22">
        <f>countif('v2014'!F:F,F27)</f>
        <v>1</v>
      </c>
      <c r="U27" s="22">
        <f>countif('v2010'!F:F,F27)</f>
        <v>1</v>
      </c>
      <c r="V27" s="22">
        <f>countif('v2006'!F:F,F27)</f>
        <v>1</v>
      </c>
      <c r="W27" s="22">
        <f>countif('v2002'!F:F,F27)</f>
        <v>1</v>
      </c>
      <c r="X27" s="22">
        <f>countif('v1998'!F:F,F27)</f>
        <v>1</v>
      </c>
    </row>
    <row r="28">
      <c r="A28" s="21" t="str">
        <f t="shared" si="7"/>
        <v>atomic unit of electric dipole mom.</v>
      </c>
      <c r="B28" s="6" t="s">
        <v>664</v>
      </c>
      <c r="C28" s="6"/>
      <c r="D28" s="13" t="s">
        <v>665</v>
      </c>
      <c r="E28" s="13" t="s">
        <v>666</v>
      </c>
      <c r="F28" s="18" t="s">
        <v>93</v>
      </c>
      <c r="G28" s="6" t="s">
        <v>667</v>
      </c>
      <c r="H28" s="6" t="s">
        <v>668</v>
      </c>
      <c r="I28" s="6"/>
      <c r="J28" s="6" t="s">
        <v>669</v>
      </c>
      <c r="K28" s="14" t="str">
        <f t="shared" si="3"/>
        <v>https://w3id.org/uom/C.m</v>
      </c>
      <c r="L28" s="18" t="s">
        <v>93</v>
      </c>
      <c r="M28" s="23">
        <f>countif(Quantities!A:A,L28)</f>
        <v>1</v>
      </c>
      <c r="N28" s="24" t="b">
        <f t="shared" si="4"/>
        <v>1</v>
      </c>
      <c r="P28" s="22" t="b">
        <f t="shared" si="5"/>
        <v>0</v>
      </c>
      <c r="Q28" s="22" t="b">
        <f t="shared" si="8"/>
        <v>1</v>
      </c>
      <c r="R28" s="22">
        <f>countif('v2022'!F:F,F28)</f>
        <v>1</v>
      </c>
      <c r="S28" s="22">
        <f>countif('v2018'!F:F,F28)</f>
        <v>1</v>
      </c>
      <c r="T28" s="22">
        <f>countif('v2014'!F:F,F28)</f>
        <v>1</v>
      </c>
      <c r="U28" s="22">
        <f>countif('v2010'!F:F,F28)</f>
        <v>1</v>
      </c>
      <c r="V28" s="22">
        <f>countif('v2006'!F:F,F28)</f>
        <v>1</v>
      </c>
      <c r="W28" s="22">
        <f>countif('v2002'!F:F,F28)</f>
        <v>1</v>
      </c>
      <c r="X28" s="22">
        <f>countif('v1998'!F:F,F28)</f>
        <v>1</v>
      </c>
    </row>
    <row r="29">
      <c r="A29" s="21" t="str">
        <f t="shared" si="7"/>
        <v>atomic unit of electric field</v>
      </c>
      <c r="B29" s="6" t="s">
        <v>670</v>
      </c>
      <c r="C29" s="6"/>
      <c r="D29" s="13" t="s">
        <v>671</v>
      </c>
      <c r="E29" s="13" t="s">
        <v>672</v>
      </c>
      <c r="F29" s="22" t="str">
        <f t="shared" ref="F29:F124" si="9">if(isblank(O29),concatenate(substitute(proper(D29)," ","")),SUBSTITUTE(O29,"constant:",""))</f>
        <v>AtomicUnitOfElectricField</v>
      </c>
      <c r="G29" s="6" t="s">
        <v>671</v>
      </c>
      <c r="H29" s="6" t="s">
        <v>673</v>
      </c>
      <c r="I29" s="6"/>
      <c r="J29" s="6" t="s">
        <v>674</v>
      </c>
      <c r="K29" s="14" t="str">
        <f t="shared" si="3"/>
        <v>https://w3id.org/uom/V.m-1</v>
      </c>
      <c r="L29" s="13" t="s">
        <v>96</v>
      </c>
      <c r="M29" s="23">
        <f>countif(Quantities!A:A,L29)</f>
        <v>1</v>
      </c>
      <c r="N29" s="24" t="b">
        <f t="shared" si="4"/>
        <v>1</v>
      </c>
      <c r="O29" s="6" t="s">
        <v>675</v>
      </c>
      <c r="P29" s="22" t="b">
        <f t="shared" si="5"/>
        <v>1</v>
      </c>
      <c r="Q29" s="22" t="b">
        <f t="shared" si="8"/>
        <v>1</v>
      </c>
      <c r="R29" s="22">
        <f>countif('v2022'!F:F,F29)</f>
        <v>1</v>
      </c>
      <c r="S29" s="22">
        <f>countif('v2018'!F:F,F29)</f>
        <v>1</v>
      </c>
      <c r="T29" s="22">
        <f>countif('v2014'!F:F,F29)</f>
        <v>1</v>
      </c>
      <c r="U29" s="22">
        <f>countif('v2010'!F:F,F29)</f>
        <v>1</v>
      </c>
      <c r="V29" s="22">
        <f>countif('v2006'!F:F,F29)</f>
        <v>1</v>
      </c>
      <c r="W29" s="22">
        <f>countif('v2002'!F:F,F29)</f>
        <v>1</v>
      </c>
      <c r="X29" s="22">
        <f>countif('v1998'!F:F,F29)</f>
        <v>1</v>
      </c>
    </row>
    <row r="30">
      <c r="A30" s="21" t="str">
        <f t="shared" si="7"/>
        <v>atomic unit of electric field gradient</v>
      </c>
      <c r="B30" s="6" t="s">
        <v>676</v>
      </c>
      <c r="C30" s="6"/>
      <c r="D30" s="13" t="s">
        <v>677</v>
      </c>
      <c r="E30" s="13" t="s">
        <v>678</v>
      </c>
      <c r="F30" s="22" t="str">
        <f t="shared" si="9"/>
        <v>AtomicUnitOfElectricFieldGradient</v>
      </c>
      <c r="G30" s="6" t="s">
        <v>677</v>
      </c>
      <c r="H30" s="6" t="s">
        <v>679</v>
      </c>
      <c r="I30" s="6"/>
      <c r="J30" s="6" t="s">
        <v>680</v>
      </c>
      <c r="K30" s="14" t="str">
        <f t="shared" si="3"/>
        <v>https://w3id.org/uom/V.m-2</v>
      </c>
      <c r="L30" s="13" t="s">
        <v>99</v>
      </c>
      <c r="M30" s="23">
        <f>countif(Quantities!A:A,L30)</f>
        <v>1</v>
      </c>
      <c r="N30" s="24" t="b">
        <f t="shared" si="4"/>
        <v>1</v>
      </c>
      <c r="O30" s="6" t="s">
        <v>681</v>
      </c>
      <c r="P30" s="22" t="b">
        <f t="shared" si="5"/>
        <v>1</v>
      </c>
      <c r="Q30" s="22" t="b">
        <f t="shared" si="8"/>
        <v>1</v>
      </c>
      <c r="R30" s="22">
        <f>countif('v2022'!F:F,F30)</f>
        <v>1</v>
      </c>
      <c r="S30" s="22">
        <f>countif('v2018'!F:F,F30)</f>
        <v>1</v>
      </c>
      <c r="T30" s="22">
        <f>countif('v2014'!F:F,F30)</f>
        <v>1</v>
      </c>
      <c r="U30" s="22">
        <f>countif('v2010'!F:F,F30)</f>
        <v>1</v>
      </c>
      <c r="V30" s="22">
        <f>countif('v2006'!F:F,F30)</f>
        <v>1</v>
      </c>
      <c r="W30" s="22">
        <f>countif('v2002'!F:F,F30)</f>
        <v>1</v>
      </c>
      <c r="X30" s="22">
        <f>countif('v1998'!F:F,F30)</f>
        <v>1</v>
      </c>
    </row>
    <row r="31">
      <c r="A31" s="21" t="str">
        <f t="shared" si="7"/>
        <v>atomic unit of electric polarizability</v>
      </c>
      <c r="B31" s="6" t="s">
        <v>682</v>
      </c>
      <c r="C31" s="6"/>
      <c r="D31" s="13" t="s">
        <v>683</v>
      </c>
      <c r="E31" s="13" t="s">
        <v>684</v>
      </c>
      <c r="F31" s="22" t="str">
        <f t="shared" si="9"/>
        <v>AtomicUnitOfElectricPolarizablity</v>
      </c>
      <c r="G31" s="6" t="s">
        <v>683</v>
      </c>
      <c r="H31" s="6" t="s">
        <v>685</v>
      </c>
      <c r="I31" s="6"/>
      <c r="J31" s="6" t="s">
        <v>686</v>
      </c>
      <c r="K31" s="14" t="str">
        <f t="shared" si="3"/>
        <v>https://w3id.org/uom/C2.m2.J-1</v>
      </c>
      <c r="L31" s="13" t="s">
        <v>102</v>
      </c>
      <c r="M31" s="23">
        <f>countif(Quantities!A:A,L31)</f>
        <v>1</v>
      </c>
      <c r="N31" s="24" t="b">
        <f t="shared" si="4"/>
        <v>1</v>
      </c>
      <c r="O31" s="6" t="s">
        <v>687</v>
      </c>
      <c r="P31" s="22" t="b">
        <f t="shared" si="5"/>
        <v>1</v>
      </c>
      <c r="Q31" s="22" t="b">
        <f t="shared" si="8"/>
        <v>1</v>
      </c>
      <c r="R31" s="22">
        <f>countif('v2022'!F:F,F31)</f>
        <v>1</v>
      </c>
      <c r="S31" s="22">
        <f>countif('v2018'!F:F,F31)</f>
        <v>1</v>
      </c>
      <c r="T31" s="22">
        <f>countif('v2014'!F:F,F31)</f>
        <v>1</v>
      </c>
      <c r="U31" s="22">
        <f>countif('v2010'!F:F,F31)</f>
        <v>1</v>
      </c>
      <c r="V31" s="22">
        <f>countif('v2006'!F:F,F31)</f>
        <v>1</v>
      </c>
      <c r="W31" s="22">
        <f>countif('v2002'!F:F,F31)</f>
        <v>1</v>
      </c>
      <c r="X31" s="22">
        <f>countif('v1998'!F:F,F31)</f>
        <v>1</v>
      </c>
    </row>
    <row r="32">
      <c r="A32" s="21" t="str">
        <f t="shared" si="7"/>
        <v>atomic unit of electric potential</v>
      </c>
      <c r="B32" s="6" t="s">
        <v>688</v>
      </c>
      <c r="C32" s="6"/>
      <c r="D32" s="13" t="s">
        <v>689</v>
      </c>
      <c r="E32" s="13" t="s">
        <v>237</v>
      </c>
      <c r="F32" s="22" t="str">
        <f t="shared" si="9"/>
        <v>AtomicUnitOfElectricPotential</v>
      </c>
      <c r="G32" s="6" t="s">
        <v>689</v>
      </c>
      <c r="H32" s="6" t="s">
        <v>690</v>
      </c>
      <c r="I32" s="6"/>
      <c r="J32" s="6" t="s">
        <v>237</v>
      </c>
      <c r="K32" s="14" t="str">
        <f t="shared" si="3"/>
        <v>https://w3id.org/uom/V</v>
      </c>
      <c r="L32" s="13" t="s">
        <v>105</v>
      </c>
      <c r="M32" s="23">
        <f>countif(Quantities!A:A,L32)</f>
        <v>1</v>
      </c>
      <c r="N32" s="24" t="b">
        <f t="shared" si="4"/>
        <v>1</v>
      </c>
      <c r="O32" s="6" t="s">
        <v>691</v>
      </c>
      <c r="P32" s="22" t="b">
        <f t="shared" si="5"/>
        <v>1</v>
      </c>
      <c r="Q32" s="22" t="b">
        <f t="shared" si="8"/>
        <v>1</v>
      </c>
      <c r="R32" s="22">
        <f>countif('v2022'!F:F,F32)</f>
        <v>1</v>
      </c>
      <c r="S32" s="22">
        <f>countif('v2018'!F:F,F32)</f>
        <v>1</v>
      </c>
      <c r="T32" s="22">
        <f>countif('v2014'!F:F,F32)</f>
        <v>1</v>
      </c>
      <c r="U32" s="22">
        <f>countif('v2010'!F:F,F32)</f>
        <v>1</v>
      </c>
      <c r="V32" s="22">
        <f>countif('v2006'!F:F,F32)</f>
        <v>1</v>
      </c>
      <c r="W32" s="22">
        <f>countif('v2002'!F:F,F32)</f>
        <v>1</v>
      </c>
      <c r="X32" s="22">
        <f>countif('v1998'!F:F,F32)</f>
        <v>1</v>
      </c>
    </row>
    <row r="33">
      <c r="A33" s="21" t="str">
        <f t="shared" si="7"/>
        <v>atomic unit of electric quadrupole mom.</v>
      </c>
      <c r="B33" s="6" t="s">
        <v>692</v>
      </c>
      <c r="C33" s="6"/>
      <c r="D33" s="13" t="s">
        <v>693</v>
      </c>
      <c r="E33" s="13" t="s">
        <v>694</v>
      </c>
      <c r="F33" s="22" t="str">
        <f t="shared" si="9"/>
        <v>AtomicUnitOfElectricQuadrupoleMoment</v>
      </c>
      <c r="G33" s="6" t="s">
        <v>695</v>
      </c>
      <c r="H33" s="6" t="s">
        <v>696</v>
      </c>
      <c r="I33" s="6"/>
      <c r="J33" s="6" t="s">
        <v>697</v>
      </c>
      <c r="K33" s="14" t="str">
        <f t="shared" si="3"/>
        <v>https://w3id.org/uom/C.m2</v>
      </c>
      <c r="L33" s="13" t="s">
        <v>108</v>
      </c>
      <c r="M33" s="23">
        <f>countif(Quantities!A:A,L33)</f>
        <v>1</v>
      </c>
      <c r="N33" s="24" t="b">
        <f t="shared" si="4"/>
        <v>1</v>
      </c>
      <c r="O33" s="6" t="s">
        <v>698</v>
      </c>
      <c r="P33" s="22" t="b">
        <f t="shared" si="5"/>
        <v>1</v>
      </c>
      <c r="Q33" s="22" t="b">
        <f t="shared" si="8"/>
        <v>1</v>
      </c>
      <c r="R33" s="22">
        <f>countif('v2022'!F:F,F33)</f>
        <v>1</v>
      </c>
      <c r="S33" s="22">
        <f>countif('v2018'!F:F,F33)</f>
        <v>1</v>
      </c>
      <c r="T33" s="22">
        <f>countif('v2014'!F:F,F33)</f>
        <v>1</v>
      </c>
      <c r="U33" s="22">
        <f>countif('v2010'!F:F,F33)</f>
        <v>1</v>
      </c>
      <c r="V33" s="22">
        <f>countif('v2006'!F:F,F33)</f>
        <v>1</v>
      </c>
      <c r="W33" s="22">
        <f>countif('v2002'!F:F,F33)</f>
        <v>1</v>
      </c>
      <c r="X33" s="22">
        <f>countif('v1998'!F:F,F33)</f>
        <v>1</v>
      </c>
    </row>
    <row r="34">
      <c r="A34" s="21" t="str">
        <f t="shared" si="7"/>
        <v>atomic unit of energy</v>
      </c>
      <c r="B34" s="6" t="s">
        <v>699</v>
      </c>
      <c r="D34" s="13" t="s">
        <v>700</v>
      </c>
      <c r="E34" s="13" t="s">
        <v>543</v>
      </c>
      <c r="F34" s="22" t="str">
        <f t="shared" si="9"/>
        <v>AtomicUnitOfEnergy</v>
      </c>
      <c r="G34" s="6" t="s">
        <v>700</v>
      </c>
      <c r="H34" s="6" t="s">
        <v>701</v>
      </c>
      <c r="I34" s="6"/>
      <c r="J34" s="6" t="s">
        <v>543</v>
      </c>
      <c r="K34" s="14" t="str">
        <f t="shared" si="3"/>
        <v>https://w3id.org/uom/J</v>
      </c>
      <c r="L34" s="13" t="s">
        <v>111</v>
      </c>
      <c r="M34" s="23">
        <f>countif(Quantities!A:A,L34)</f>
        <v>1</v>
      </c>
      <c r="N34" s="24" t="b">
        <f t="shared" si="4"/>
        <v>1</v>
      </c>
      <c r="O34" s="6" t="s">
        <v>702</v>
      </c>
      <c r="P34" s="22" t="b">
        <f t="shared" si="5"/>
        <v>1</v>
      </c>
      <c r="Q34" s="22" t="b">
        <f t="shared" si="8"/>
        <v>1</v>
      </c>
      <c r="R34" s="22">
        <f>countif('v2022'!F:F,F34)</f>
        <v>1</v>
      </c>
      <c r="S34" s="22">
        <f>countif('v2018'!F:F,F34)</f>
        <v>1</v>
      </c>
      <c r="T34" s="22">
        <f>countif('v2014'!F:F,F34)</f>
        <v>1</v>
      </c>
      <c r="U34" s="22">
        <f>countif('v2010'!F:F,F34)</f>
        <v>1</v>
      </c>
      <c r="V34" s="22">
        <f>countif('v2006'!F:F,F34)</f>
        <v>1</v>
      </c>
      <c r="W34" s="22">
        <f>countif('v2002'!F:F,F34)</f>
        <v>1</v>
      </c>
      <c r="X34" s="22">
        <f>countif('v1998'!F:F,F34)</f>
        <v>1</v>
      </c>
    </row>
    <row r="35">
      <c r="A35" s="21" t="str">
        <f t="shared" si="7"/>
        <v>atomic unit of force</v>
      </c>
      <c r="B35" s="6" t="s">
        <v>703</v>
      </c>
      <c r="C35" s="6"/>
      <c r="D35" s="13" t="s">
        <v>704</v>
      </c>
      <c r="E35" s="13" t="s">
        <v>705</v>
      </c>
      <c r="F35" s="22" t="str">
        <f t="shared" si="9"/>
        <v>AtomicUnitOfForce</v>
      </c>
      <c r="G35" s="6" t="s">
        <v>704</v>
      </c>
      <c r="H35" s="6" t="s">
        <v>706</v>
      </c>
      <c r="I35" s="6"/>
      <c r="J35" s="6" t="s">
        <v>705</v>
      </c>
      <c r="K35" s="14" t="str">
        <f t="shared" si="3"/>
        <v>https://w3id.org/uom/N</v>
      </c>
      <c r="L35" s="13" t="s">
        <v>114</v>
      </c>
      <c r="M35" s="23">
        <f>countif(Quantities!A:A,L35)</f>
        <v>1</v>
      </c>
      <c r="N35" s="24" t="b">
        <f t="shared" si="4"/>
        <v>1</v>
      </c>
      <c r="O35" s="6" t="s">
        <v>707</v>
      </c>
      <c r="P35" s="22" t="b">
        <f t="shared" si="5"/>
        <v>1</v>
      </c>
      <c r="Q35" s="22" t="b">
        <f t="shared" si="8"/>
        <v>1</v>
      </c>
      <c r="R35" s="22">
        <f>countif('v2022'!F:F,F35)</f>
        <v>1</v>
      </c>
      <c r="S35" s="22">
        <f>countif('v2018'!F:F,F35)</f>
        <v>1</v>
      </c>
      <c r="T35" s="22">
        <f>countif('v2014'!F:F,F35)</f>
        <v>1</v>
      </c>
      <c r="U35" s="22">
        <f>countif('v2010'!F:F,F35)</f>
        <v>1</v>
      </c>
      <c r="V35" s="22">
        <f>countif('v2006'!F:F,F35)</f>
        <v>1</v>
      </c>
      <c r="W35" s="22">
        <f>countif('v2002'!F:F,F35)</f>
        <v>1</v>
      </c>
      <c r="X35" s="22">
        <f>countif('v1998'!F:F,F35)</f>
        <v>1</v>
      </c>
    </row>
    <row r="36">
      <c r="A36" s="21" t="str">
        <f t="shared" si="7"/>
        <v>atomic unit of length</v>
      </c>
      <c r="B36" s="6" t="s">
        <v>708</v>
      </c>
      <c r="D36" s="13" t="s">
        <v>709</v>
      </c>
      <c r="E36" s="13" t="s">
        <v>571</v>
      </c>
      <c r="F36" s="22" t="str">
        <f t="shared" si="9"/>
        <v>AtomicUnitOfLength</v>
      </c>
      <c r="G36" s="6" t="s">
        <v>709</v>
      </c>
      <c r="H36" s="6" t="s">
        <v>710</v>
      </c>
      <c r="I36" s="6"/>
      <c r="J36" s="6" t="s">
        <v>571</v>
      </c>
      <c r="K36" s="14" t="str">
        <f t="shared" si="3"/>
        <v>https://w3id.org/uom/m</v>
      </c>
      <c r="L36" s="13" t="s">
        <v>117</v>
      </c>
      <c r="M36" s="23">
        <f>countif(Quantities!A:A,L36)</f>
        <v>1</v>
      </c>
      <c r="N36" s="24" t="b">
        <f t="shared" si="4"/>
        <v>1</v>
      </c>
      <c r="O36" s="6" t="s">
        <v>711</v>
      </c>
      <c r="P36" s="22" t="b">
        <f t="shared" si="5"/>
        <v>1</v>
      </c>
      <c r="Q36" s="22" t="b">
        <f t="shared" si="8"/>
        <v>1</v>
      </c>
      <c r="R36" s="22">
        <f>countif('v2022'!F:F,F36)</f>
        <v>1</v>
      </c>
      <c r="S36" s="22">
        <f>countif('v2018'!F:F,F36)</f>
        <v>1</v>
      </c>
      <c r="T36" s="22">
        <f>countif('v2014'!F:F,F36)</f>
        <v>1</v>
      </c>
      <c r="U36" s="22">
        <f>countif('v2010'!F:F,F36)</f>
        <v>1</v>
      </c>
      <c r="V36" s="22">
        <f>countif('v2006'!F:F,F36)</f>
        <v>1</v>
      </c>
      <c r="W36" s="22">
        <f>countif('v2002'!F:F,F36)</f>
        <v>1</v>
      </c>
      <c r="X36" s="22">
        <f>countif('v1998'!F:F,F36)</f>
        <v>1</v>
      </c>
    </row>
    <row r="37">
      <c r="A37" s="21" t="str">
        <f t="shared" si="7"/>
        <v>atomic unit of mag. dipole mom.</v>
      </c>
      <c r="B37" s="6" t="s">
        <v>712</v>
      </c>
      <c r="C37" s="6"/>
      <c r="D37" s="13" t="s">
        <v>713</v>
      </c>
      <c r="E37" s="13" t="s">
        <v>714</v>
      </c>
      <c r="F37" s="22" t="str">
        <f t="shared" si="9"/>
        <v>AtomicUnitOfMagneticDipoleMoment</v>
      </c>
      <c r="G37" s="6" t="s">
        <v>715</v>
      </c>
      <c r="H37" s="6" t="s">
        <v>716</v>
      </c>
      <c r="I37" s="6"/>
      <c r="J37" s="6" t="s">
        <v>717</v>
      </c>
      <c r="K37" s="14" t="str">
        <f t="shared" si="3"/>
        <v>https://w3id.org/uom/J.T-1</v>
      </c>
      <c r="L37" s="13" t="s">
        <v>119</v>
      </c>
      <c r="M37" s="23">
        <f>countif(Quantities!A:A,L37)</f>
        <v>1</v>
      </c>
      <c r="N37" s="24" t="b">
        <f t="shared" si="4"/>
        <v>1</v>
      </c>
      <c r="O37" s="6" t="s">
        <v>718</v>
      </c>
      <c r="P37" s="22" t="b">
        <f t="shared" si="5"/>
        <v>1</v>
      </c>
      <c r="Q37" s="22" t="b">
        <f t="shared" si="8"/>
        <v>1</v>
      </c>
      <c r="R37" s="22">
        <f>countif('v2022'!F:F,F37)</f>
        <v>1</v>
      </c>
      <c r="S37" s="22">
        <f>countif('v2018'!F:F,F37)</f>
        <v>1</v>
      </c>
      <c r="T37" s="22">
        <f>countif('v2014'!F:F,F37)</f>
        <v>1</v>
      </c>
      <c r="U37" s="22">
        <f>countif('v2010'!F:F,F37)</f>
        <v>1</v>
      </c>
      <c r="V37" s="22">
        <f>countif('v2006'!F:F,F37)</f>
        <v>1</v>
      </c>
      <c r="W37" s="22">
        <f>countif('v2002'!F:F,F37)</f>
        <v>1</v>
      </c>
      <c r="X37" s="22">
        <f>countif('v1998'!F:F,F37)</f>
        <v>1</v>
      </c>
    </row>
    <row r="38">
      <c r="A38" s="21" t="str">
        <f t="shared" si="7"/>
        <v>atomic unit of mag. flux density</v>
      </c>
      <c r="B38" s="6" t="s">
        <v>719</v>
      </c>
      <c r="C38" s="6"/>
      <c r="D38" s="13" t="s">
        <v>720</v>
      </c>
      <c r="E38" s="13" t="s">
        <v>721</v>
      </c>
      <c r="F38" s="22" t="str">
        <f t="shared" si="9"/>
        <v>AtomicUnitOfMagneticFluxDensity</v>
      </c>
      <c r="G38" s="6" t="s">
        <v>720</v>
      </c>
      <c r="H38" s="6" t="s">
        <v>722</v>
      </c>
      <c r="I38" s="6"/>
      <c r="J38" s="6" t="s">
        <v>721</v>
      </c>
      <c r="K38" s="14" t="str">
        <f t="shared" si="3"/>
        <v>https://w3id.org/uom/T</v>
      </c>
      <c r="L38" s="13" t="s">
        <v>122</v>
      </c>
      <c r="M38" s="23">
        <f>countif(Quantities!A:A,L38)</f>
        <v>1</v>
      </c>
      <c r="N38" s="24" t="b">
        <f t="shared" si="4"/>
        <v>1</v>
      </c>
      <c r="O38" s="6" t="s">
        <v>723</v>
      </c>
      <c r="P38" s="22" t="b">
        <f t="shared" si="5"/>
        <v>1</v>
      </c>
      <c r="Q38" s="22" t="b">
        <f t="shared" si="8"/>
        <v>1</v>
      </c>
      <c r="R38" s="22">
        <f>countif('v2022'!F:F,F38)</f>
        <v>1</v>
      </c>
      <c r="S38" s="22">
        <f>countif('v2018'!F:F,F38)</f>
        <v>1</v>
      </c>
      <c r="T38" s="22">
        <f>countif('v2014'!F:F,F38)</f>
        <v>1</v>
      </c>
      <c r="U38" s="22">
        <f>countif('v2010'!F:F,F38)</f>
        <v>1</v>
      </c>
      <c r="V38" s="22">
        <f>countif('v2006'!F:F,F38)</f>
        <v>1</v>
      </c>
      <c r="W38" s="22">
        <f>countif('v2002'!F:F,F38)</f>
        <v>1</v>
      </c>
      <c r="X38" s="22">
        <f>countif('v1998'!F:F,F38)</f>
        <v>1</v>
      </c>
    </row>
    <row r="39">
      <c r="A39" s="21" t="str">
        <f t="shared" si="7"/>
        <v>atomic unit of magnetizability</v>
      </c>
      <c r="B39" s="6" t="s">
        <v>724</v>
      </c>
      <c r="C39" s="6"/>
      <c r="D39" s="13" t="s">
        <v>725</v>
      </c>
      <c r="E39" s="13" t="s">
        <v>726</v>
      </c>
      <c r="F39" s="22" t="str">
        <f t="shared" si="9"/>
        <v>AtomicUnitOfMagnetizability</v>
      </c>
      <c r="G39" s="6" t="s">
        <v>725</v>
      </c>
      <c r="H39" s="6" t="s">
        <v>727</v>
      </c>
      <c r="I39" s="6"/>
      <c r="J39" s="6" t="s">
        <v>728</v>
      </c>
      <c r="K39" s="14" t="str">
        <f t="shared" si="3"/>
        <v>https://w3id.org/uom/J.T-2</v>
      </c>
      <c r="L39" s="13" t="s">
        <v>125</v>
      </c>
      <c r="M39" s="23">
        <f>countif(Quantities!A:A,L39)</f>
        <v>1</v>
      </c>
      <c r="N39" s="24" t="b">
        <f t="shared" si="4"/>
        <v>1</v>
      </c>
      <c r="O39" s="6" t="s">
        <v>729</v>
      </c>
      <c r="P39" s="22" t="b">
        <f t="shared" si="5"/>
        <v>1</v>
      </c>
      <c r="Q39" s="22" t="b">
        <f t="shared" si="8"/>
        <v>1</v>
      </c>
      <c r="R39" s="22">
        <f>countif('v2022'!F:F,F39)</f>
        <v>1</v>
      </c>
      <c r="S39" s="22">
        <f>countif('v2018'!F:F,F39)</f>
        <v>1</v>
      </c>
      <c r="T39" s="22">
        <f>countif('v2014'!F:F,F39)</f>
        <v>1</v>
      </c>
      <c r="U39" s="22">
        <f>countif('v2010'!F:F,F39)</f>
        <v>1</v>
      </c>
      <c r="V39" s="22">
        <f>countif('v2006'!F:F,F39)</f>
        <v>1</v>
      </c>
      <c r="W39" s="22">
        <f>countif('v2002'!F:F,F39)</f>
        <v>1</v>
      </c>
      <c r="X39" s="22">
        <f>countif('v1998'!F:F,F39)</f>
        <v>1</v>
      </c>
    </row>
    <row r="40">
      <c r="A40" s="21" t="str">
        <f t="shared" si="7"/>
        <v>atomic unit of mass</v>
      </c>
      <c r="B40" s="6" t="s">
        <v>730</v>
      </c>
      <c r="D40" s="13" t="s">
        <v>731</v>
      </c>
      <c r="E40" s="13" t="s">
        <v>538</v>
      </c>
      <c r="F40" s="22" t="str">
        <f t="shared" si="9"/>
        <v>AtomicUnitOfMass</v>
      </c>
      <c r="G40" s="6" t="s">
        <v>731</v>
      </c>
      <c r="H40" s="6" t="s">
        <v>732</v>
      </c>
      <c r="I40" s="6"/>
      <c r="J40" s="6" t="s">
        <v>538</v>
      </c>
      <c r="K40" s="14" t="str">
        <f t="shared" si="3"/>
        <v>https://w3id.org/uom/kg</v>
      </c>
      <c r="L40" s="13" t="s">
        <v>128</v>
      </c>
      <c r="M40" s="23">
        <f>countif(Quantities!A:A,L40)</f>
        <v>1</v>
      </c>
      <c r="N40" s="24" t="b">
        <f t="shared" si="4"/>
        <v>1</v>
      </c>
      <c r="O40" s="6" t="s">
        <v>733</v>
      </c>
      <c r="P40" s="22" t="b">
        <f t="shared" si="5"/>
        <v>1</v>
      </c>
      <c r="Q40" s="22" t="b">
        <f t="shared" si="8"/>
        <v>1</v>
      </c>
      <c r="R40" s="22">
        <f>countif('v2022'!F:F,F40)</f>
        <v>1</v>
      </c>
      <c r="S40" s="22">
        <f>countif('v2018'!F:F,F40)</f>
        <v>1</v>
      </c>
      <c r="T40" s="22">
        <f>countif('v2014'!F:F,F40)</f>
        <v>1</v>
      </c>
      <c r="U40" s="22">
        <f>countif('v2010'!F:F,F40)</f>
        <v>1</v>
      </c>
      <c r="V40" s="22">
        <f>countif('v2006'!F:F,F40)</f>
        <v>1</v>
      </c>
      <c r="W40" s="22">
        <f>countif('v2002'!F:F,F40)</f>
        <v>1</v>
      </c>
      <c r="X40" s="22">
        <f>countif('v1998'!F:F,F40)</f>
        <v>1</v>
      </c>
    </row>
    <row r="41">
      <c r="A41" s="21" t="str">
        <f t="shared" si="7"/>
        <v>atomic unit of momentum</v>
      </c>
      <c r="B41" s="6" t="s">
        <v>734</v>
      </c>
      <c r="C41" s="6"/>
      <c r="D41" s="13" t="s">
        <v>735</v>
      </c>
      <c r="E41" s="13" t="s">
        <v>736</v>
      </c>
      <c r="F41" s="22" t="str">
        <f t="shared" si="9"/>
        <v>AtomicUnitOfMomentum</v>
      </c>
      <c r="G41" s="6" t="s">
        <v>737</v>
      </c>
      <c r="H41" s="6" t="s">
        <v>738</v>
      </c>
      <c r="I41" s="6"/>
      <c r="J41" s="6" t="s">
        <v>739</v>
      </c>
      <c r="K41" s="14" t="str">
        <f t="shared" si="3"/>
        <v>https://w3id.org/uom/kg.m.s-1</v>
      </c>
      <c r="L41" s="13" t="s">
        <v>130</v>
      </c>
      <c r="M41" s="23">
        <f>countif(Quantities!A:A,L41)</f>
        <v>1</v>
      </c>
      <c r="N41" s="24" t="b">
        <f t="shared" si="4"/>
        <v>1</v>
      </c>
      <c r="O41" s="6" t="s">
        <v>740</v>
      </c>
      <c r="P41" s="22" t="b">
        <f t="shared" si="5"/>
        <v>1</v>
      </c>
      <c r="Q41" s="22" t="b">
        <f t="shared" si="8"/>
        <v>1</v>
      </c>
      <c r="R41" s="22">
        <f>countif('v2022'!F:F,F41)</f>
        <v>1</v>
      </c>
      <c r="S41" s="22">
        <f>countif('v2018'!F:F,F41)</f>
        <v>1</v>
      </c>
      <c r="T41" s="22">
        <f>countif('v2014'!F:F,F41)</f>
        <v>1</v>
      </c>
      <c r="U41" s="22">
        <f>countif('v2010'!F:F,F41)</f>
        <v>1</v>
      </c>
      <c r="V41" s="22">
        <f>countif('v2006'!F:F,F41)</f>
        <v>1</v>
      </c>
      <c r="W41" s="22">
        <f>countif('v2002'!F:F,F41)</f>
        <v>1</v>
      </c>
      <c r="X41" s="22">
        <f>countif('v1998'!F:F,F41)</f>
        <v>1</v>
      </c>
    </row>
    <row r="42">
      <c r="A42" s="21" t="str">
        <f t="shared" si="7"/>
        <v>atomic unit of permittivity</v>
      </c>
      <c r="B42" s="6" t="s">
        <v>741</v>
      </c>
      <c r="C42" s="6"/>
      <c r="D42" s="13" t="s">
        <v>742</v>
      </c>
      <c r="E42" s="13" t="s">
        <v>743</v>
      </c>
      <c r="F42" s="22" t="str">
        <f t="shared" si="9"/>
        <v>AtomicUnitOfPermittivity</v>
      </c>
      <c r="G42" s="6" t="s">
        <v>742</v>
      </c>
      <c r="H42" s="6" t="s">
        <v>744</v>
      </c>
      <c r="I42" s="6"/>
      <c r="J42" s="6" t="s">
        <v>745</v>
      </c>
      <c r="K42" s="14" t="str">
        <f t="shared" si="3"/>
        <v>https://w3id.org/uom/F.m-1</v>
      </c>
      <c r="L42" s="13" t="s">
        <v>133</v>
      </c>
      <c r="M42" s="23">
        <f>countif(Quantities!A:A,L42)</f>
        <v>1</v>
      </c>
      <c r="N42" s="24" t="b">
        <f t="shared" si="4"/>
        <v>1</v>
      </c>
      <c r="O42" s="6" t="s">
        <v>746</v>
      </c>
      <c r="P42" s="22" t="b">
        <f t="shared" si="5"/>
        <v>1</v>
      </c>
      <c r="Q42" s="22" t="b">
        <f t="shared" si="8"/>
        <v>1</v>
      </c>
      <c r="R42" s="22">
        <f>countif('v2022'!F:F,F42)</f>
        <v>1</v>
      </c>
      <c r="S42" s="22">
        <f>countif('v2018'!F:F,F42)</f>
        <v>1</v>
      </c>
      <c r="T42" s="22">
        <f>countif('v2014'!F:F,F42)</f>
        <v>1</v>
      </c>
      <c r="U42" s="22">
        <f>countif('v2010'!F:F,F42)</f>
        <v>1</v>
      </c>
      <c r="V42" s="22">
        <f>countif('v2006'!F:F,F42)</f>
        <v>1</v>
      </c>
      <c r="W42" s="22">
        <f>countif('v2002'!F:F,F42)</f>
        <v>1</v>
      </c>
      <c r="X42" s="22">
        <f>countif('v1998'!F:F,F42)</f>
        <v>1</v>
      </c>
    </row>
    <row r="43">
      <c r="A43" s="21" t="str">
        <f t="shared" si="7"/>
        <v>atomic unit of time</v>
      </c>
      <c r="B43" s="6" t="s">
        <v>747</v>
      </c>
      <c r="C43" s="6"/>
      <c r="D43" s="13" t="s">
        <v>748</v>
      </c>
      <c r="E43" s="13" t="s">
        <v>749</v>
      </c>
      <c r="F43" s="22" t="str">
        <f t="shared" si="9"/>
        <v>AtomicUnitOfTime</v>
      </c>
      <c r="G43" s="6" t="s">
        <v>748</v>
      </c>
      <c r="H43" s="6" t="s">
        <v>750</v>
      </c>
      <c r="I43" s="6"/>
      <c r="J43" s="6" t="s">
        <v>749</v>
      </c>
      <c r="K43" s="14" t="str">
        <f t="shared" si="3"/>
        <v>https://w3id.org/uom/s</v>
      </c>
      <c r="L43" s="13" t="s">
        <v>136</v>
      </c>
      <c r="M43" s="23">
        <f>countif(Quantities!A:A,L43)</f>
        <v>1</v>
      </c>
      <c r="N43" s="24" t="b">
        <f t="shared" si="4"/>
        <v>1</v>
      </c>
      <c r="O43" s="6" t="s">
        <v>751</v>
      </c>
      <c r="P43" s="22" t="b">
        <f t="shared" si="5"/>
        <v>1</v>
      </c>
      <c r="Q43" s="22" t="b">
        <f t="shared" si="8"/>
        <v>1</v>
      </c>
      <c r="R43" s="22">
        <f>countif('v2022'!F:F,F43)</f>
        <v>1</v>
      </c>
      <c r="S43" s="22">
        <f>countif('v2018'!F:F,F43)</f>
        <v>1</v>
      </c>
      <c r="T43" s="22">
        <f>countif('v2014'!F:F,F43)</f>
        <v>1</v>
      </c>
      <c r="U43" s="22">
        <f>countif('v2010'!F:F,F43)</f>
        <v>1</v>
      </c>
      <c r="V43" s="22">
        <f>countif('v2006'!F:F,F43)</f>
        <v>1</v>
      </c>
      <c r="W43" s="22">
        <f>countif('v2002'!F:F,F43)</f>
        <v>1</v>
      </c>
      <c r="X43" s="22">
        <f>countif('v1998'!F:F,F43)</f>
        <v>1</v>
      </c>
    </row>
    <row r="44">
      <c r="A44" s="21" t="str">
        <f t="shared" si="7"/>
        <v>atomic unit of velocity</v>
      </c>
      <c r="B44" s="6" t="s">
        <v>752</v>
      </c>
      <c r="D44" s="13" t="s">
        <v>753</v>
      </c>
      <c r="E44" s="13" t="s">
        <v>754</v>
      </c>
      <c r="F44" s="22" t="str">
        <f t="shared" si="9"/>
        <v>AtomicUnitOfVelocity</v>
      </c>
      <c r="G44" s="6" t="s">
        <v>753</v>
      </c>
      <c r="H44" s="6" t="s">
        <v>755</v>
      </c>
      <c r="I44" s="6"/>
      <c r="J44" s="6" t="s">
        <v>756</v>
      </c>
      <c r="K44" s="14" t="str">
        <f t="shared" si="3"/>
        <v>https://w3id.org/uom/m.s-1</v>
      </c>
      <c r="L44" s="13" t="s">
        <v>139</v>
      </c>
      <c r="M44" s="23">
        <f>countif(Quantities!A:A,L44)</f>
        <v>1</v>
      </c>
      <c r="N44" s="24" t="b">
        <f t="shared" si="4"/>
        <v>1</v>
      </c>
      <c r="O44" s="6" t="s">
        <v>757</v>
      </c>
      <c r="P44" s="22" t="b">
        <f t="shared" si="5"/>
        <v>1</v>
      </c>
      <c r="Q44" s="22" t="b">
        <f t="shared" si="8"/>
        <v>1</v>
      </c>
      <c r="R44" s="22">
        <f>countif('v2022'!F:F,F44)</f>
        <v>1</v>
      </c>
      <c r="S44" s="22">
        <f>countif('v2018'!F:F,F44)</f>
        <v>1</v>
      </c>
      <c r="T44" s="22">
        <f>countif('v2014'!F:F,F44)</f>
        <v>1</v>
      </c>
      <c r="U44" s="22">
        <f>countif('v2010'!F:F,F44)</f>
        <v>1</v>
      </c>
      <c r="V44" s="22">
        <f>countif('v2006'!F:F,F44)</f>
        <v>1</v>
      </c>
      <c r="W44" s="22">
        <f>countif('v2002'!F:F,F44)</f>
        <v>1</v>
      </c>
      <c r="X44" s="22">
        <f>countif('v1998'!F:F,F44)</f>
        <v>1</v>
      </c>
    </row>
    <row r="45">
      <c r="A45" s="21" t="str">
        <f t="shared" si="7"/>
        <v>Avogadro constant</v>
      </c>
      <c r="B45" s="6" t="s">
        <v>758</v>
      </c>
      <c r="D45" s="13" t="s">
        <v>145</v>
      </c>
      <c r="E45" s="13" t="s">
        <v>759</v>
      </c>
      <c r="F45" s="22" t="str">
        <f t="shared" si="9"/>
        <v>AvogadroConstant</v>
      </c>
      <c r="G45" s="6" t="s">
        <v>145</v>
      </c>
      <c r="H45" s="6" t="s">
        <v>760</v>
      </c>
      <c r="I45" s="6"/>
      <c r="J45" s="6" t="s">
        <v>761</v>
      </c>
      <c r="K45" s="14" t="str">
        <f t="shared" si="3"/>
        <v>https://w3id.org/uom/mol-1</v>
      </c>
      <c r="L45" s="13" t="s">
        <v>142</v>
      </c>
      <c r="M45" s="23">
        <f>countif(Quantities!A:A,L45)</f>
        <v>1</v>
      </c>
      <c r="N45" s="24" t="b">
        <f t="shared" si="4"/>
        <v>1</v>
      </c>
      <c r="O45" s="6" t="s">
        <v>762</v>
      </c>
      <c r="P45" s="22" t="b">
        <f t="shared" si="5"/>
        <v>1</v>
      </c>
      <c r="Q45" s="22" t="b">
        <f t="shared" si="8"/>
        <v>1</v>
      </c>
      <c r="R45" s="22">
        <f>countif('v2022'!F:F,F45)</f>
        <v>1</v>
      </c>
      <c r="S45" s="22">
        <f>countif('v2018'!F:F,F45)</f>
        <v>1</v>
      </c>
      <c r="T45" s="22">
        <f>countif('v2014'!F:F,F45)</f>
        <v>1</v>
      </c>
      <c r="U45" s="22">
        <f>countif('v2010'!F:F,F45)</f>
        <v>1</v>
      </c>
      <c r="V45" s="22">
        <f>countif('v2006'!F:F,F45)</f>
        <v>1</v>
      </c>
      <c r="W45" s="22">
        <f>countif('v2002'!F:F,F45)</f>
        <v>1</v>
      </c>
      <c r="X45" s="22">
        <f>countif('v1998'!F:F,F45)</f>
        <v>1</v>
      </c>
    </row>
    <row r="46">
      <c r="A46" s="21" t="str">
        <f t="shared" si="7"/>
        <v>Bohr magneton</v>
      </c>
      <c r="B46" s="6" t="s">
        <v>763</v>
      </c>
      <c r="D46" s="13" t="s">
        <v>764</v>
      </c>
      <c r="E46" s="13" t="s">
        <v>714</v>
      </c>
      <c r="F46" s="22" t="str">
        <f t="shared" si="9"/>
        <v>BohrMagneton</v>
      </c>
      <c r="G46" s="6" t="s">
        <v>764</v>
      </c>
      <c r="H46" s="6" t="s">
        <v>765</v>
      </c>
      <c r="I46" s="6"/>
      <c r="J46" s="6" t="s">
        <v>717</v>
      </c>
      <c r="K46" s="14" t="str">
        <f t="shared" si="3"/>
        <v>https://w3id.org/uom/J.T-1</v>
      </c>
      <c r="L46" s="13" t="s">
        <v>239</v>
      </c>
      <c r="M46" s="23">
        <f>countif(Quantities!A:A,L46)</f>
        <v>1</v>
      </c>
      <c r="N46" s="24" t="b">
        <f t="shared" si="4"/>
        <v>1</v>
      </c>
      <c r="O46" s="6" t="s">
        <v>766</v>
      </c>
      <c r="P46" s="22" t="b">
        <f t="shared" si="5"/>
        <v>1</v>
      </c>
      <c r="Q46" s="22" t="b">
        <f t="shared" si="8"/>
        <v>1</v>
      </c>
      <c r="R46" s="22">
        <f>countif('v2022'!F:F,F46)</f>
        <v>1</v>
      </c>
      <c r="S46" s="22">
        <f>countif('v2018'!F:F,F46)</f>
        <v>1</v>
      </c>
      <c r="T46" s="22">
        <f>countif('v2014'!F:F,F46)</f>
        <v>1</v>
      </c>
      <c r="U46" s="22">
        <f>countif('v2010'!F:F,F46)</f>
        <v>1</v>
      </c>
      <c r="V46" s="22">
        <f>countif('v2006'!F:F,F46)</f>
        <v>1</v>
      </c>
      <c r="W46" s="22">
        <f>countif('v2002'!F:F,F46)</f>
        <v>1</v>
      </c>
      <c r="X46" s="22">
        <f>countif('v1998'!F:F,F46)</f>
        <v>1</v>
      </c>
    </row>
    <row r="47">
      <c r="A47" s="21" t="str">
        <f t="shared" si="7"/>
        <v>Bohr magneton in eV/T</v>
      </c>
      <c r="B47" s="6" t="s">
        <v>767</v>
      </c>
      <c r="D47" s="13" t="s">
        <v>768</v>
      </c>
      <c r="E47" s="13" t="s">
        <v>769</v>
      </c>
      <c r="F47" s="22" t="str">
        <f t="shared" si="9"/>
        <v>BohrMagnetonInEVPerT</v>
      </c>
      <c r="G47" s="6" t="s">
        <v>768</v>
      </c>
      <c r="H47" s="6" t="s">
        <v>765</v>
      </c>
      <c r="I47" s="6"/>
      <c r="J47" s="6" t="s">
        <v>770</v>
      </c>
      <c r="K47" s="14" t="str">
        <f t="shared" si="3"/>
        <v>https://w3id.org/uom/eV.T-1</v>
      </c>
      <c r="L47" s="13" t="s">
        <v>239</v>
      </c>
      <c r="M47" s="23">
        <f>countif(Quantities!A:A,L47)</f>
        <v>1</v>
      </c>
      <c r="N47" s="24" t="b">
        <f t="shared" si="4"/>
        <v>0</v>
      </c>
      <c r="O47" s="6" t="s">
        <v>771</v>
      </c>
      <c r="P47" s="22" t="b">
        <f t="shared" si="5"/>
        <v>1</v>
      </c>
      <c r="Q47" s="22" t="b">
        <f t="shared" si="8"/>
        <v>1</v>
      </c>
      <c r="R47" s="22">
        <f>countif('v2022'!F:F,F47)</f>
        <v>1</v>
      </c>
      <c r="S47" s="22">
        <f>countif('v2018'!F:F,F47)</f>
        <v>1</v>
      </c>
      <c r="T47" s="22">
        <f>countif('v2014'!F:F,F47)</f>
        <v>1</v>
      </c>
      <c r="U47" s="22">
        <f>countif('v2010'!F:F,F47)</f>
        <v>1</v>
      </c>
      <c r="V47" s="22">
        <f>countif('v2006'!F:F,F47)</f>
        <v>1</v>
      </c>
      <c r="W47" s="22">
        <f>countif('v2002'!F:F,F47)</f>
        <v>1</v>
      </c>
      <c r="X47" s="22">
        <f>countif('v1998'!F:F,F47)</f>
        <v>1</v>
      </c>
    </row>
    <row r="48">
      <c r="A48" s="21" t="str">
        <f t="shared" si="7"/>
        <v>Bohr magneton in Hz/T</v>
      </c>
      <c r="B48" s="6" t="s">
        <v>772</v>
      </c>
      <c r="D48" s="13" t="s">
        <v>773</v>
      </c>
      <c r="E48" s="13" t="s">
        <v>774</v>
      </c>
      <c r="F48" s="22" t="str">
        <f t="shared" si="9"/>
        <v>BohrMagnetonInHzPerT</v>
      </c>
      <c r="G48" s="6" t="s">
        <v>773</v>
      </c>
      <c r="H48" s="6" t="s">
        <v>765</v>
      </c>
      <c r="I48" s="6"/>
      <c r="J48" s="6" t="s">
        <v>775</v>
      </c>
      <c r="K48" s="14" t="str">
        <f t="shared" si="3"/>
        <v>https://w3id.org/uom/Hz.T-1</v>
      </c>
      <c r="L48" s="13" t="s">
        <v>239</v>
      </c>
      <c r="M48" s="23">
        <f>countif(Quantities!A:A,L48)</f>
        <v>1</v>
      </c>
      <c r="N48" s="24" t="b">
        <f t="shared" si="4"/>
        <v>0</v>
      </c>
      <c r="O48" s="6" t="s">
        <v>776</v>
      </c>
      <c r="P48" s="22" t="b">
        <f t="shared" si="5"/>
        <v>1</v>
      </c>
      <c r="Q48" s="22" t="b">
        <f t="shared" si="8"/>
        <v>1</v>
      </c>
      <c r="R48" s="22">
        <f>countif('v2022'!F:F,F48)</f>
        <v>1</v>
      </c>
      <c r="S48" s="22">
        <f>countif('v2018'!F:F,F48)</f>
        <v>1</v>
      </c>
      <c r="T48" s="22">
        <f>countif('v2014'!F:F,F48)</f>
        <v>1</v>
      </c>
      <c r="U48" s="22">
        <f>countif('v2010'!F:F,F48)</f>
        <v>1</v>
      </c>
      <c r="V48" s="22">
        <f>countif('v2006'!F:F,F48)</f>
        <v>1</v>
      </c>
      <c r="W48" s="22">
        <f>countif('v2002'!F:F,F48)</f>
        <v>1</v>
      </c>
      <c r="X48" s="22">
        <f>countif('v1998'!F:F,F48)</f>
        <v>1</v>
      </c>
    </row>
    <row r="49">
      <c r="A49" s="21" t="str">
        <f t="shared" si="7"/>
        <v>Bohr magneton in inverse meter per tesla</v>
      </c>
      <c r="B49" s="6" t="s">
        <v>777</v>
      </c>
      <c r="D49" s="13" t="s">
        <v>778</v>
      </c>
      <c r="E49" s="13" t="s">
        <v>779</v>
      </c>
      <c r="F49" s="22" t="str">
        <f t="shared" si="9"/>
        <v>BohrMagnetonInInverseMetersPerTesla</v>
      </c>
      <c r="G49" s="6" t="s">
        <v>778</v>
      </c>
      <c r="H49" s="6" t="s">
        <v>765</v>
      </c>
      <c r="I49" s="6"/>
      <c r="J49" s="6" t="s">
        <v>780</v>
      </c>
      <c r="K49" s="14" t="str">
        <f t="shared" si="3"/>
        <v>https://w3id.org/uom/m-1.T-1</v>
      </c>
      <c r="L49" s="13" t="s">
        <v>239</v>
      </c>
      <c r="M49" s="23">
        <f>countif(Quantities!A:A,L49)</f>
        <v>1</v>
      </c>
      <c r="N49" s="24" t="b">
        <f t="shared" si="4"/>
        <v>0</v>
      </c>
      <c r="O49" s="6" t="s">
        <v>781</v>
      </c>
      <c r="P49" s="22" t="b">
        <f t="shared" si="5"/>
        <v>1</v>
      </c>
      <c r="Q49" s="22" t="b">
        <f t="shared" si="8"/>
        <v>1</v>
      </c>
      <c r="R49" s="22">
        <f>countif('v2022'!F:F,F49)</f>
        <v>1</v>
      </c>
      <c r="S49" s="22">
        <f>countif('v2018'!F:F,F49)</f>
        <v>1</v>
      </c>
      <c r="T49" s="22">
        <f>countif('v2014'!F:F,F49)</f>
        <v>1</v>
      </c>
      <c r="U49" s="22">
        <f>countif('v2010'!F:F,F49)</f>
        <v>1</v>
      </c>
      <c r="V49" s="22">
        <f>countif('v2006'!F:F,F49)</f>
        <v>1</v>
      </c>
      <c r="W49" s="22">
        <f>countif('v2002'!F:F,F49)</f>
        <v>1</v>
      </c>
      <c r="X49" s="22">
        <f>countif('v1998'!F:F,F49)</f>
        <v>1</v>
      </c>
    </row>
    <row r="50">
      <c r="A50" s="21" t="str">
        <f t="shared" si="7"/>
        <v>Bohr magneton in K/T</v>
      </c>
      <c r="B50" s="6" t="s">
        <v>782</v>
      </c>
      <c r="D50" s="13" t="s">
        <v>783</v>
      </c>
      <c r="E50" s="13" t="s">
        <v>784</v>
      </c>
      <c r="F50" s="22" t="str">
        <f t="shared" si="9"/>
        <v>BohrMagnetonInKPerT</v>
      </c>
      <c r="G50" s="6" t="s">
        <v>783</v>
      </c>
      <c r="H50" s="6" t="s">
        <v>765</v>
      </c>
      <c r="I50" s="6"/>
      <c r="J50" s="6" t="s">
        <v>785</v>
      </c>
      <c r="K50" s="14" t="str">
        <f t="shared" si="3"/>
        <v>https://w3id.org/uom/K.T-1</v>
      </c>
      <c r="L50" s="13" t="s">
        <v>239</v>
      </c>
      <c r="M50" s="23">
        <f>countif(Quantities!A:A,L50)</f>
        <v>1</v>
      </c>
      <c r="N50" s="24" t="b">
        <f t="shared" si="4"/>
        <v>0</v>
      </c>
      <c r="O50" s="6" t="s">
        <v>786</v>
      </c>
      <c r="P50" s="22" t="b">
        <f t="shared" si="5"/>
        <v>1</v>
      </c>
      <c r="Q50" s="22" t="b">
        <f t="shared" si="8"/>
        <v>1</v>
      </c>
      <c r="R50" s="22">
        <f>countif('v2022'!F:F,F50)</f>
        <v>1</v>
      </c>
      <c r="S50" s="22">
        <f>countif('v2018'!F:F,F50)</f>
        <v>1</v>
      </c>
      <c r="T50" s="22">
        <f>countif('v2014'!F:F,F50)</f>
        <v>1</v>
      </c>
      <c r="U50" s="22">
        <f>countif('v2010'!F:F,F50)</f>
        <v>1</v>
      </c>
      <c r="V50" s="22">
        <f>countif('v2006'!F:F,F50)</f>
        <v>1</v>
      </c>
      <c r="W50" s="22">
        <f>countif('v2002'!F:F,F50)</f>
        <v>1</v>
      </c>
      <c r="X50" s="22">
        <f>countif('v1998'!F:F,F50)</f>
        <v>1</v>
      </c>
    </row>
    <row r="51">
      <c r="A51" s="21" t="str">
        <f t="shared" si="7"/>
        <v>Bohr radius</v>
      </c>
      <c r="B51" s="6" t="s">
        <v>787</v>
      </c>
      <c r="C51" s="6"/>
      <c r="D51" s="13" t="s">
        <v>788</v>
      </c>
      <c r="E51" s="13" t="s">
        <v>571</v>
      </c>
      <c r="F51" s="22" t="str">
        <f t="shared" si="9"/>
        <v>BohrRadius</v>
      </c>
      <c r="G51" s="6" t="s">
        <v>788</v>
      </c>
      <c r="H51" s="6" t="s">
        <v>789</v>
      </c>
      <c r="I51" s="6"/>
      <c r="J51" s="6" t="s">
        <v>571</v>
      </c>
      <c r="K51" s="14" t="str">
        <f t="shared" si="3"/>
        <v>https://w3id.org/uom/m</v>
      </c>
      <c r="L51" s="13" t="s">
        <v>244</v>
      </c>
      <c r="M51" s="23">
        <f>countif(Quantities!A:A,L51)</f>
        <v>1</v>
      </c>
      <c r="N51" s="24" t="b">
        <f t="shared" si="4"/>
        <v>1</v>
      </c>
      <c r="O51" s="6" t="s">
        <v>790</v>
      </c>
      <c r="P51" s="22" t="b">
        <f t="shared" si="5"/>
        <v>1</v>
      </c>
      <c r="Q51" s="22" t="b">
        <f t="shared" si="8"/>
        <v>1</v>
      </c>
      <c r="R51" s="22">
        <f>countif('v2022'!F:F,F51)</f>
        <v>1</v>
      </c>
      <c r="S51" s="22">
        <f>countif('v2018'!F:F,F51)</f>
        <v>1</v>
      </c>
      <c r="T51" s="22">
        <f>countif('v2014'!F:F,F51)</f>
        <v>1</v>
      </c>
      <c r="U51" s="22">
        <f>countif('v2010'!F:F,F51)</f>
        <v>1</v>
      </c>
      <c r="V51" s="22">
        <f>countif('v2006'!F:F,F51)</f>
        <v>1</v>
      </c>
      <c r="W51" s="22">
        <f>countif('v2002'!F:F,F51)</f>
        <v>1</v>
      </c>
      <c r="X51" s="22">
        <f>countif('v1998'!F:F,F51)</f>
        <v>1</v>
      </c>
    </row>
    <row r="52">
      <c r="A52" s="21" t="str">
        <f t="shared" si="7"/>
        <v>Boltzmann constant</v>
      </c>
      <c r="B52" s="6" t="s">
        <v>150</v>
      </c>
      <c r="D52" s="13" t="s">
        <v>791</v>
      </c>
      <c r="E52" s="13" t="s">
        <v>792</v>
      </c>
      <c r="F52" s="22" t="str">
        <f t="shared" si="9"/>
        <v>BoltzmannConstant</v>
      </c>
      <c r="G52" s="6" t="s">
        <v>791</v>
      </c>
      <c r="H52" s="6" t="s">
        <v>793</v>
      </c>
      <c r="I52" s="6" t="s">
        <v>794</v>
      </c>
      <c r="J52" s="6" t="s">
        <v>795</v>
      </c>
      <c r="K52" s="14" t="str">
        <f t="shared" si="3"/>
        <v>https://w3id.org/uom/J.K-1</v>
      </c>
      <c r="L52" s="13" t="s">
        <v>149</v>
      </c>
      <c r="M52" s="23">
        <f>countif(Quantities!A:A,L52)</f>
        <v>1</v>
      </c>
      <c r="N52" s="24" t="b">
        <f t="shared" si="4"/>
        <v>1</v>
      </c>
      <c r="O52" s="6" t="s">
        <v>796</v>
      </c>
      <c r="P52" s="22" t="b">
        <f t="shared" si="5"/>
        <v>1</v>
      </c>
      <c r="Q52" s="22" t="b">
        <f t="shared" si="8"/>
        <v>1</v>
      </c>
      <c r="R52" s="22">
        <f>countif('v2022'!F:F,F52)</f>
        <v>1</v>
      </c>
      <c r="S52" s="22">
        <f>countif('v2018'!F:F,F52)</f>
        <v>1</v>
      </c>
      <c r="T52" s="22">
        <f>countif('v2014'!F:F,F52)</f>
        <v>1</v>
      </c>
      <c r="U52" s="22">
        <f>countif('v2010'!F:F,F52)</f>
        <v>1</v>
      </c>
      <c r="V52" s="22">
        <f>countif('v2006'!F:F,F52)</f>
        <v>1</v>
      </c>
      <c r="W52" s="22">
        <f>countif('v2002'!F:F,F52)</f>
        <v>1</v>
      </c>
      <c r="X52" s="22">
        <f>countif('v1998'!F:F,F52)</f>
        <v>1</v>
      </c>
    </row>
    <row r="53">
      <c r="A53" s="21" t="str">
        <f t="shared" si="7"/>
        <v>Boltzmann constant in eV/K</v>
      </c>
      <c r="B53" s="6" t="s">
        <v>797</v>
      </c>
      <c r="D53" s="13" t="s">
        <v>798</v>
      </c>
      <c r="E53" s="13" t="s">
        <v>799</v>
      </c>
      <c r="F53" s="22" t="str">
        <f t="shared" si="9"/>
        <v>BoltzmannConstantInEVPerK</v>
      </c>
      <c r="G53" s="6" t="s">
        <v>798</v>
      </c>
      <c r="H53" s="6" t="s">
        <v>793</v>
      </c>
      <c r="I53" s="6"/>
      <c r="J53" s="6" t="s">
        <v>800</v>
      </c>
      <c r="K53" s="14" t="str">
        <f t="shared" si="3"/>
        <v>https://w3id.org/uom/eV.K-1</v>
      </c>
      <c r="L53" s="13" t="s">
        <v>149</v>
      </c>
      <c r="M53" s="23">
        <f>countif(Quantities!A:A,L53)</f>
        <v>1</v>
      </c>
      <c r="N53" s="24" t="b">
        <f t="shared" si="4"/>
        <v>0</v>
      </c>
      <c r="O53" s="6" t="s">
        <v>801</v>
      </c>
      <c r="P53" s="22" t="b">
        <f t="shared" si="5"/>
        <v>1</v>
      </c>
      <c r="Q53" s="22" t="b">
        <f t="shared" si="8"/>
        <v>1</v>
      </c>
      <c r="R53" s="22">
        <f>countif('v2022'!F:F,F53)</f>
        <v>1</v>
      </c>
      <c r="S53" s="22">
        <f>countif('v2018'!F:F,F53)</f>
        <v>1</v>
      </c>
      <c r="T53" s="22">
        <f>countif('v2014'!F:F,F53)</f>
        <v>1</v>
      </c>
      <c r="U53" s="22">
        <f>countif('v2010'!F:F,F53)</f>
        <v>1</v>
      </c>
      <c r="V53" s="22">
        <f>countif('v2006'!F:F,F53)</f>
        <v>1</v>
      </c>
      <c r="W53" s="22">
        <f>countif('v2002'!F:F,F53)</f>
        <v>1</v>
      </c>
      <c r="X53" s="22">
        <f>countif('v1998'!F:F,F53)</f>
        <v>1</v>
      </c>
    </row>
    <row r="54">
      <c r="A54" s="21" t="str">
        <f t="shared" si="7"/>
        <v>Boltzmann constant in Hz/K</v>
      </c>
      <c r="B54" s="6" t="s">
        <v>802</v>
      </c>
      <c r="D54" s="13" t="s">
        <v>803</v>
      </c>
      <c r="E54" s="13" t="s">
        <v>804</v>
      </c>
      <c r="F54" s="22" t="str">
        <f t="shared" si="9"/>
        <v>BoltzmannConstantInHzPerK</v>
      </c>
      <c r="G54" s="6" t="s">
        <v>803</v>
      </c>
      <c r="H54" s="6" t="s">
        <v>793</v>
      </c>
      <c r="I54" s="6"/>
      <c r="J54" s="6" t="s">
        <v>805</v>
      </c>
      <c r="K54" s="14" t="str">
        <f t="shared" si="3"/>
        <v>https://w3id.org/uom/Hz.K-1</v>
      </c>
      <c r="L54" s="13" t="s">
        <v>149</v>
      </c>
      <c r="M54" s="23">
        <f>countif(Quantities!A:A,L54)</f>
        <v>1</v>
      </c>
      <c r="N54" s="24" t="b">
        <f t="shared" si="4"/>
        <v>0</v>
      </c>
      <c r="O54" s="6" t="s">
        <v>806</v>
      </c>
      <c r="P54" s="22" t="b">
        <f t="shared" si="5"/>
        <v>1</v>
      </c>
      <c r="Q54" s="22" t="b">
        <f t="shared" si="8"/>
        <v>1</v>
      </c>
      <c r="R54" s="22">
        <f>countif('v2022'!F:F,F54)</f>
        <v>1</v>
      </c>
      <c r="S54" s="22">
        <f>countif('v2018'!F:F,F54)</f>
        <v>1</v>
      </c>
      <c r="T54" s="22">
        <f>countif('v2014'!F:F,F54)</f>
        <v>1</v>
      </c>
      <c r="U54" s="22">
        <f>countif('v2010'!F:F,F54)</f>
        <v>1</v>
      </c>
      <c r="V54" s="22">
        <f>countif('v2006'!F:F,F54)</f>
        <v>1</v>
      </c>
      <c r="W54" s="22">
        <f>countif('v2002'!F:F,F54)</f>
        <v>1</v>
      </c>
      <c r="X54" s="22">
        <f>countif('v1998'!F:F,F54)</f>
        <v>1</v>
      </c>
    </row>
    <row r="55">
      <c r="A55" s="21" t="str">
        <f t="shared" si="7"/>
        <v>Boltzmann constant in inverse meter per kelvin</v>
      </c>
      <c r="B55" s="6" t="s">
        <v>807</v>
      </c>
      <c r="D55" s="13" t="s">
        <v>808</v>
      </c>
      <c r="E55" s="13" t="s">
        <v>809</v>
      </c>
      <c r="F55" s="22" t="str">
        <f t="shared" si="9"/>
        <v>BoltzmannConstantInInverseMetersPerKelvin</v>
      </c>
      <c r="G55" s="6" t="s">
        <v>808</v>
      </c>
      <c r="H55" s="6" t="s">
        <v>793</v>
      </c>
      <c r="I55" s="6"/>
      <c r="J55" s="6" t="s">
        <v>810</v>
      </c>
      <c r="K55" s="14" t="str">
        <f t="shared" si="3"/>
        <v>https://w3id.org/uom/m-1.K-1</v>
      </c>
      <c r="L55" s="13" t="s">
        <v>149</v>
      </c>
      <c r="M55" s="23">
        <f>countif(Quantities!A:A,L55)</f>
        <v>1</v>
      </c>
      <c r="N55" s="24" t="b">
        <f t="shared" si="4"/>
        <v>0</v>
      </c>
      <c r="O55" s="6" t="s">
        <v>811</v>
      </c>
      <c r="P55" s="22" t="b">
        <f t="shared" si="5"/>
        <v>1</v>
      </c>
      <c r="Q55" s="22" t="b">
        <f t="shared" si="8"/>
        <v>1</v>
      </c>
      <c r="R55" s="22">
        <f>countif('v2022'!F:F,F55)</f>
        <v>1</v>
      </c>
      <c r="S55" s="22">
        <f>countif('v2018'!F:F,F55)</f>
        <v>1</v>
      </c>
      <c r="T55" s="22">
        <f>countif('v2014'!F:F,F55)</f>
        <v>1</v>
      </c>
      <c r="U55" s="22">
        <f>countif('v2010'!F:F,F55)</f>
        <v>1</v>
      </c>
      <c r="V55" s="22">
        <f>countif('v2006'!F:F,F55)</f>
        <v>1</v>
      </c>
      <c r="W55" s="22">
        <f>countif('v2002'!F:F,F55)</f>
        <v>1</v>
      </c>
      <c r="X55" s="22">
        <f>countif('v1998'!F:F,F55)</f>
        <v>1</v>
      </c>
    </row>
    <row r="56">
      <c r="A56" s="21" t="str">
        <f t="shared" si="7"/>
        <v>characteristic impedance of vacuum</v>
      </c>
      <c r="B56" s="6" t="s">
        <v>812</v>
      </c>
      <c r="D56" s="13" t="s">
        <v>813</v>
      </c>
      <c r="E56" s="13" t="s">
        <v>814</v>
      </c>
      <c r="F56" s="22" t="str">
        <f t="shared" si="9"/>
        <v>CharacteristicImpedanceOfVacuum</v>
      </c>
      <c r="G56" s="6" t="s">
        <v>813</v>
      </c>
      <c r="H56" s="6" t="s">
        <v>815</v>
      </c>
      <c r="I56" s="6"/>
      <c r="J56" s="6" t="s">
        <v>816</v>
      </c>
      <c r="K56" s="14" t="str">
        <f t="shared" si="3"/>
        <v>https://w3id.org/uom/Ohm</v>
      </c>
      <c r="L56" s="13" t="s">
        <v>258</v>
      </c>
      <c r="M56" s="23">
        <f>countif(Quantities!A:A,L56)</f>
        <v>1</v>
      </c>
      <c r="N56" s="24" t="b">
        <f t="shared" si="4"/>
        <v>1</v>
      </c>
      <c r="O56" s="6" t="s">
        <v>817</v>
      </c>
      <c r="P56" s="22" t="b">
        <f t="shared" si="5"/>
        <v>1</v>
      </c>
      <c r="Q56" s="22" t="b">
        <f t="shared" si="8"/>
        <v>1</v>
      </c>
      <c r="R56" s="22">
        <f>countif('v2022'!F:F,F56)</f>
        <v>1</v>
      </c>
      <c r="S56" s="22">
        <f>countif('v2018'!F:F,F56)</f>
        <v>1</v>
      </c>
      <c r="T56" s="22">
        <f>countif('v2014'!F:F,F56)</f>
        <v>1</v>
      </c>
      <c r="U56" s="22">
        <f>countif('v2010'!F:F,F56)</f>
        <v>1</v>
      </c>
      <c r="V56" s="22">
        <f>countif('v2006'!F:F,F56)</f>
        <v>1</v>
      </c>
      <c r="W56" s="22">
        <f>countif('v2002'!F:F,F56)</f>
        <v>1</v>
      </c>
      <c r="X56" s="22">
        <f>countif('v1998'!F:F,F56)</f>
        <v>1</v>
      </c>
    </row>
    <row r="57">
      <c r="A57" s="21" t="str">
        <f t="shared" si="7"/>
        <v>classical electron radius</v>
      </c>
      <c r="B57" s="6" t="s">
        <v>818</v>
      </c>
      <c r="D57" s="13" t="s">
        <v>819</v>
      </c>
      <c r="E57" s="13" t="s">
        <v>571</v>
      </c>
      <c r="F57" s="22" t="str">
        <f t="shared" si="9"/>
        <v>ClassicalElectronRadius</v>
      </c>
      <c r="G57" s="6" t="s">
        <v>819</v>
      </c>
      <c r="H57" s="6" t="s">
        <v>820</v>
      </c>
      <c r="I57" s="6"/>
      <c r="J57" s="6" t="s">
        <v>571</v>
      </c>
      <c r="K57" s="14" t="str">
        <f t="shared" si="3"/>
        <v>https://w3id.org/uom/m</v>
      </c>
      <c r="L57" s="13" t="s">
        <v>259</v>
      </c>
      <c r="M57" s="23">
        <f>countif(Quantities!A:A,L57)</f>
        <v>1</v>
      </c>
      <c r="N57" s="24" t="b">
        <f t="shared" si="4"/>
        <v>1</v>
      </c>
      <c r="O57" s="6" t="s">
        <v>821</v>
      </c>
      <c r="P57" s="22" t="b">
        <f t="shared" si="5"/>
        <v>1</v>
      </c>
      <c r="Q57" s="22" t="b">
        <f t="shared" si="8"/>
        <v>1</v>
      </c>
      <c r="R57" s="22">
        <f>countif('v2022'!F:F,F57)</f>
        <v>1</v>
      </c>
      <c r="S57" s="22">
        <f>countif('v2018'!F:F,F57)</f>
        <v>1</v>
      </c>
      <c r="T57" s="22">
        <f>countif('v2014'!F:F,F57)</f>
        <v>1</v>
      </c>
      <c r="U57" s="22">
        <f>countif('v2010'!F:F,F57)</f>
        <v>1</v>
      </c>
      <c r="V57" s="22">
        <f>countif('v2006'!F:F,F57)</f>
        <v>1</v>
      </c>
      <c r="W57" s="22">
        <f>countif('v2002'!F:F,F57)</f>
        <v>1</v>
      </c>
      <c r="X57" s="22">
        <f>countif('v1998'!F:F,F57)</f>
        <v>1</v>
      </c>
    </row>
    <row r="58">
      <c r="A58" s="21" t="str">
        <f t="shared" si="7"/>
        <v>Compton wavelength</v>
      </c>
      <c r="B58" s="6" t="s">
        <v>822</v>
      </c>
      <c r="C58" s="6"/>
      <c r="D58" s="13" t="s">
        <v>823</v>
      </c>
      <c r="E58" s="13" t="s">
        <v>571</v>
      </c>
      <c r="F58" s="22" t="str">
        <f t="shared" si="9"/>
        <v>ComptonWavelength</v>
      </c>
      <c r="G58" s="6" t="s">
        <v>823</v>
      </c>
      <c r="H58" s="6" t="s">
        <v>824</v>
      </c>
      <c r="I58" s="6"/>
      <c r="J58" s="6" t="s">
        <v>571</v>
      </c>
      <c r="K58" s="14" t="str">
        <f t="shared" si="3"/>
        <v>https://w3id.org/uom/m</v>
      </c>
      <c r="L58" s="13" t="s">
        <v>260</v>
      </c>
      <c r="M58" s="23">
        <f>countif(Quantities!A:A,L58)</f>
        <v>1</v>
      </c>
      <c r="N58" s="24" t="b">
        <f t="shared" si="4"/>
        <v>1</v>
      </c>
      <c r="O58" s="6" t="s">
        <v>825</v>
      </c>
      <c r="P58" s="22" t="b">
        <f t="shared" si="5"/>
        <v>1</v>
      </c>
      <c r="Q58" s="22" t="b">
        <f t="shared" si="8"/>
        <v>1</v>
      </c>
      <c r="R58" s="22">
        <f>countif('v2022'!F:F,F58)</f>
        <v>1</v>
      </c>
      <c r="S58" s="22">
        <f>countif('v2018'!F:F,F58)</f>
        <v>1</v>
      </c>
      <c r="T58" s="22">
        <f>countif('v2014'!F:F,F58)</f>
        <v>1</v>
      </c>
      <c r="U58" s="22">
        <f>countif('v2010'!F:F,F58)</f>
        <v>1</v>
      </c>
      <c r="V58" s="22">
        <f>countif('v2006'!F:F,F58)</f>
        <v>1</v>
      </c>
      <c r="W58" s="22">
        <f>countif('v2002'!F:F,F58)</f>
        <v>1</v>
      </c>
      <c r="X58" s="22">
        <f>countif('v1998'!F:F,F58)</f>
        <v>1</v>
      </c>
    </row>
    <row r="59">
      <c r="A59" s="21" t="str">
        <f t="shared" si="7"/>
        <v>conductance quantum</v>
      </c>
      <c r="B59" s="6" t="s">
        <v>826</v>
      </c>
      <c r="C59" s="6"/>
      <c r="D59" s="13" t="s">
        <v>827</v>
      </c>
      <c r="E59" s="13" t="s">
        <v>828</v>
      </c>
      <c r="F59" s="22" t="str">
        <f t="shared" si="9"/>
        <v>ConductanceQuantum</v>
      </c>
      <c r="G59" s="6" t="s">
        <v>827</v>
      </c>
      <c r="H59" s="6" t="s">
        <v>829</v>
      </c>
      <c r="I59" s="6"/>
      <c r="J59" s="6" t="s">
        <v>828</v>
      </c>
      <c r="K59" s="14" t="str">
        <f t="shared" si="3"/>
        <v>https://w3id.org/uom/S</v>
      </c>
      <c r="L59" s="13" t="s">
        <v>262</v>
      </c>
      <c r="M59" s="23">
        <f>countif(Quantities!A:A,L59)</f>
        <v>1</v>
      </c>
      <c r="N59" s="24" t="b">
        <f t="shared" si="4"/>
        <v>1</v>
      </c>
      <c r="O59" s="6" t="s">
        <v>830</v>
      </c>
      <c r="P59" s="22" t="b">
        <f t="shared" si="5"/>
        <v>1</v>
      </c>
      <c r="Q59" s="22" t="b">
        <f>sum(S59:X59)&gt;0</f>
        <v>1</v>
      </c>
      <c r="R59" s="22">
        <f>countif('v2022'!F:F,F59)</f>
        <v>1</v>
      </c>
      <c r="S59" s="22">
        <f>countif('v2018'!F:F,F59)</f>
        <v>1</v>
      </c>
      <c r="T59" s="22">
        <f>countif('v2014'!F:F,F59)</f>
        <v>1</v>
      </c>
      <c r="U59" s="22">
        <f>countif('v2010'!F:F,F59)</f>
        <v>1</v>
      </c>
      <c r="V59" s="22">
        <f>countif('v2006'!F:F,F59)</f>
        <v>1</v>
      </c>
      <c r="W59" s="22">
        <f>countif('v2002'!F:F,F59)</f>
        <v>1</v>
      </c>
      <c r="X59" s="22">
        <f>countif('v1998'!F:F,F59)</f>
        <v>1</v>
      </c>
    </row>
    <row r="60">
      <c r="A60" s="21" t="str">
        <f t="shared" si="7"/>
        <v>conventional value of ampere-90</v>
      </c>
      <c r="B60" s="6" t="s">
        <v>831</v>
      </c>
      <c r="C60" s="6"/>
      <c r="D60" s="13" t="s">
        <v>832</v>
      </c>
      <c r="E60" s="13" t="s">
        <v>661</v>
      </c>
      <c r="F60" s="22" t="str">
        <f t="shared" si="9"/>
        <v>ConventionalValueOfAmpere-90</v>
      </c>
      <c r="G60" s="6" t="s">
        <v>832</v>
      </c>
      <c r="H60" s="6" t="s">
        <v>833</v>
      </c>
      <c r="I60" s="6"/>
      <c r="J60" s="6" t="s">
        <v>661</v>
      </c>
      <c r="K60" s="14" t="str">
        <f t="shared" si="3"/>
        <v>https://w3id.org/uom/A</v>
      </c>
      <c r="L60" s="13" t="s">
        <v>263</v>
      </c>
      <c r="M60" s="23">
        <f>countif(Quantities!A:A,L60)</f>
        <v>1</v>
      </c>
      <c r="N60" s="24" t="b">
        <f t="shared" si="4"/>
        <v>1</v>
      </c>
      <c r="P60" s="22" t="b">
        <f t="shared" si="5"/>
        <v>0</v>
      </c>
      <c r="Q60" s="22" t="b">
        <f t="shared" ref="Q60:Q85" si="10">sum(S59:X60)&gt;0</f>
        <v>1</v>
      </c>
      <c r="R60" s="22">
        <f>countif('v2022'!F:F,F60)</f>
        <v>1</v>
      </c>
      <c r="S60" s="22">
        <f>countif('v2018'!F:F,F60)</f>
        <v>1</v>
      </c>
      <c r="T60" s="22">
        <f>countif('v2014'!F:F,F60)</f>
        <v>0</v>
      </c>
      <c r="U60" s="22">
        <f>countif('v2010'!F:F,F60)</f>
        <v>0</v>
      </c>
      <c r="V60" s="22">
        <f>countif('v2006'!F:F,F60)</f>
        <v>0</v>
      </c>
      <c r="W60" s="22">
        <f>countif('v2002'!F:F,F60)</f>
        <v>0</v>
      </c>
      <c r="X60" s="22">
        <f>countif('v1998'!F:F,F60)</f>
        <v>0</v>
      </c>
    </row>
    <row r="61">
      <c r="A61" s="21" t="str">
        <f t="shared" si="7"/>
        <v>conventional value of coulomb-90</v>
      </c>
      <c r="B61" s="6" t="s">
        <v>834</v>
      </c>
      <c r="C61" s="6"/>
      <c r="D61" s="13" t="s">
        <v>835</v>
      </c>
      <c r="E61" s="13" t="s">
        <v>649</v>
      </c>
      <c r="F61" s="22" t="str">
        <f t="shared" si="9"/>
        <v>ConventionalValueOfCoulomb-90</v>
      </c>
      <c r="G61" s="6" t="s">
        <v>835</v>
      </c>
      <c r="H61" s="6" t="s">
        <v>836</v>
      </c>
      <c r="I61" s="6"/>
      <c r="J61" s="6" t="s">
        <v>649</v>
      </c>
      <c r="K61" s="14" t="str">
        <f t="shared" si="3"/>
        <v>https://w3id.org/uom/C</v>
      </c>
      <c r="L61" s="13" t="s">
        <v>264</v>
      </c>
      <c r="M61" s="23">
        <f>countif(Quantities!A:A,L61)</f>
        <v>1</v>
      </c>
      <c r="N61" s="24" t="b">
        <f t="shared" si="4"/>
        <v>1</v>
      </c>
      <c r="P61" s="22" t="b">
        <f t="shared" si="5"/>
        <v>0</v>
      </c>
      <c r="Q61" s="22" t="b">
        <f t="shared" si="10"/>
        <v>1</v>
      </c>
      <c r="R61" s="22">
        <f>countif('v2022'!F:F,F61)</f>
        <v>1</v>
      </c>
      <c r="S61" s="22">
        <f>countif('v2018'!F:F,F61)</f>
        <v>1</v>
      </c>
      <c r="T61" s="22">
        <f>countif('v2014'!F:F,F61)</f>
        <v>0</v>
      </c>
      <c r="U61" s="22">
        <f>countif('v2010'!F:F,F61)</f>
        <v>0</v>
      </c>
      <c r="V61" s="22">
        <f>countif('v2006'!F:F,F61)</f>
        <v>0</v>
      </c>
      <c r="W61" s="22">
        <f>countif('v2002'!F:F,F61)</f>
        <v>0</v>
      </c>
      <c r="X61" s="22">
        <f>countif('v1998'!F:F,F61)</f>
        <v>0</v>
      </c>
    </row>
    <row r="62">
      <c r="A62" s="21" t="str">
        <f t="shared" si="7"/>
        <v>conventional value of farad-90</v>
      </c>
      <c r="B62" s="6" t="s">
        <v>837</v>
      </c>
      <c r="C62" s="6"/>
      <c r="D62" s="13" t="s">
        <v>838</v>
      </c>
      <c r="E62" s="13" t="s">
        <v>839</v>
      </c>
      <c r="F62" s="22" t="str">
        <f t="shared" si="9"/>
        <v>ConventionalValueOfFarad-90</v>
      </c>
      <c r="G62" s="6" t="s">
        <v>838</v>
      </c>
      <c r="H62" s="6" t="s">
        <v>840</v>
      </c>
      <c r="I62" s="6"/>
      <c r="J62" s="6" t="s">
        <v>839</v>
      </c>
      <c r="K62" s="14" t="str">
        <f t="shared" si="3"/>
        <v>https://w3id.org/uom/F</v>
      </c>
      <c r="L62" s="13" t="s">
        <v>265</v>
      </c>
      <c r="M62" s="23">
        <f>countif(Quantities!A:A,L62)</f>
        <v>1</v>
      </c>
      <c r="N62" s="24" t="b">
        <f t="shared" si="4"/>
        <v>1</v>
      </c>
      <c r="P62" s="22" t="b">
        <f t="shared" si="5"/>
        <v>0</v>
      </c>
      <c r="Q62" s="22" t="b">
        <f t="shared" si="10"/>
        <v>1</v>
      </c>
      <c r="R62" s="22">
        <f>countif('v2022'!F:F,F62)</f>
        <v>1</v>
      </c>
      <c r="S62" s="22">
        <f>countif('v2018'!F:F,F62)</f>
        <v>1</v>
      </c>
      <c r="T62" s="22">
        <f>countif('v2014'!F:F,F62)</f>
        <v>0</v>
      </c>
      <c r="U62" s="22">
        <f>countif('v2010'!F:F,F62)</f>
        <v>0</v>
      </c>
      <c r="V62" s="22">
        <f>countif('v2006'!F:F,F62)</f>
        <v>0</v>
      </c>
      <c r="W62" s="22">
        <f>countif('v2002'!F:F,F62)</f>
        <v>0</v>
      </c>
      <c r="X62" s="22">
        <f>countif('v1998'!F:F,F62)</f>
        <v>0</v>
      </c>
    </row>
    <row r="63">
      <c r="A63" s="21" t="str">
        <f t="shared" si="7"/>
        <v>conventional value of henry-90</v>
      </c>
      <c r="B63" s="6" t="s">
        <v>841</v>
      </c>
      <c r="D63" s="13" t="s">
        <v>842</v>
      </c>
      <c r="E63" s="13" t="s">
        <v>843</v>
      </c>
      <c r="F63" s="22" t="str">
        <f t="shared" si="9"/>
        <v>ConventionalValueOfHenry-90</v>
      </c>
      <c r="G63" s="6" t="s">
        <v>842</v>
      </c>
      <c r="H63" s="6" t="s">
        <v>844</v>
      </c>
      <c r="I63" s="6"/>
      <c r="J63" s="6" t="s">
        <v>843</v>
      </c>
      <c r="K63" s="14" t="str">
        <f t="shared" si="3"/>
        <v>https://w3id.org/uom/H</v>
      </c>
      <c r="L63" s="13" t="s">
        <v>266</v>
      </c>
      <c r="M63" s="23">
        <f>countif(Quantities!A:A,L63)</f>
        <v>1</v>
      </c>
      <c r="N63" s="24" t="b">
        <f t="shared" si="4"/>
        <v>1</v>
      </c>
      <c r="P63" s="22" t="b">
        <f t="shared" si="5"/>
        <v>0</v>
      </c>
      <c r="Q63" s="22" t="b">
        <f t="shared" si="10"/>
        <v>1</v>
      </c>
      <c r="R63" s="22">
        <f>countif('v2022'!F:F,F63)</f>
        <v>1</v>
      </c>
      <c r="S63" s="22">
        <f>countif('v2018'!F:F,F63)</f>
        <v>1</v>
      </c>
      <c r="T63" s="22">
        <f>countif('v2014'!F:F,F63)</f>
        <v>0</v>
      </c>
      <c r="U63" s="22">
        <f>countif('v2010'!F:F,F63)</f>
        <v>0</v>
      </c>
      <c r="V63" s="22">
        <f>countif('v2006'!F:F,F63)</f>
        <v>0</v>
      </c>
      <c r="W63" s="22">
        <f>countif('v2002'!F:F,F63)</f>
        <v>0</v>
      </c>
      <c r="X63" s="22">
        <f>countif('v1998'!F:F,F63)</f>
        <v>0</v>
      </c>
    </row>
    <row r="64">
      <c r="A64" s="21" t="str">
        <f t="shared" si="7"/>
        <v>conventional value of Josephson constant</v>
      </c>
      <c r="B64" s="6" t="s">
        <v>845</v>
      </c>
      <c r="D64" s="13" t="s">
        <v>846</v>
      </c>
      <c r="E64" s="13" t="s">
        <v>847</v>
      </c>
      <c r="F64" s="22" t="str">
        <f t="shared" si="9"/>
        <v>ConventionalValueOfJosephsonConstant</v>
      </c>
      <c r="G64" s="6" t="s">
        <v>846</v>
      </c>
      <c r="H64" s="6" t="s">
        <v>848</v>
      </c>
      <c r="I64" s="6"/>
      <c r="J64" s="6" t="s">
        <v>849</v>
      </c>
      <c r="K64" s="14" t="str">
        <f t="shared" si="3"/>
        <v>https://w3id.org/uom/Hz.V-1</v>
      </c>
      <c r="L64" s="13" t="s">
        <v>267</v>
      </c>
      <c r="M64" s="23">
        <f>countif(Quantities!A:A,L64)</f>
        <v>1</v>
      </c>
      <c r="N64" s="24" t="b">
        <f t="shared" si="4"/>
        <v>1</v>
      </c>
      <c r="O64" s="6" t="s">
        <v>850</v>
      </c>
      <c r="P64" s="22" t="b">
        <f t="shared" si="5"/>
        <v>1</v>
      </c>
      <c r="Q64" s="22" t="b">
        <f t="shared" si="10"/>
        <v>1</v>
      </c>
      <c r="R64" s="22">
        <f>countif('v2022'!F:F,F64)</f>
        <v>1</v>
      </c>
      <c r="S64" s="22">
        <f>countif('v2018'!F:F,F64)</f>
        <v>1</v>
      </c>
      <c r="T64" s="22">
        <f>countif('v2014'!F:F,F64)</f>
        <v>1</v>
      </c>
      <c r="U64" s="22">
        <f>countif('v2010'!F:F,F64)</f>
        <v>1</v>
      </c>
      <c r="V64" s="22">
        <f>countif('v2006'!F:F,F64)</f>
        <v>1</v>
      </c>
      <c r="W64" s="22">
        <f>countif('v2002'!F:F,F64)</f>
        <v>1</v>
      </c>
      <c r="X64" s="22">
        <f>countif('v1998'!F:F,F64)</f>
        <v>1</v>
      </c>
    </row>
    <row r="65">
      <c r="A65" s="21" t="str">
        <f t="shared" si="7"/>
        <v>conventional value of ohm-90</v>
      </c>
      <c r="B65" s="6" t="s">
        <v>851</v>
      </c>
      <c r="D65" s="13" t="s">
        <v>852</v>
      </c>
      <c r="E65" s="13" t="s">
        <v>814</v>
      </c>
      <c r="F65" s="22" t="str">
        <f t="shared" si="9"/>
        <v>ConventionalValueOfOhm-90</v>
      </c>
      <c r="G65" s="6" t="s">
        <v>852</v>
      </c>
      <c r="H65" s="6" t="s">
        <v>853</v>
      </c>
      <c r="I65" s="6"/>
      <c r="J65" s="6" t="s">
        <v>816</v>
      </c>
      <c r="K65" s="14" t="str">
        <f t="shared" si="3"/>
        <v>https://w3id.org/uom/Ohm</v>
      </c>
      <c r="L65" s="13" t="s">
        <v>268</v>
      </c>
      <c r="M65" s="23">
        <f>countif(Quantities!A:A,L65)</f>
        <v>1</v>
      </c>
      <c r="N65" s="24" t="b">
        <f t="shared" si="4"/>
        <v>1</v>
      </c>
      <c r="P65" s="22" t="b">
        <f t="shared" si="5"/>
        <v>0</v>
      </c>
      <c r="Q65" s="22" t="b">
        <f t="shared" si="10"/>
        <v>1</v>
      </c>
      <c r="R65" s="22">
        <f>countif('v2022'!F:F,F65)</f>
        <v>1</v>
      </c>
      <c r="S65" s="22">
        <f>countif('v2018'!F:F,F65)</f>
        <v>1</v>
      </c>
      <c r="T65" s="22">
        <f>countif('v2014'!F:F,F65)</f>
        <v>0</v>
      </c>
      <c r="U65" s="22">
        <f>countif('v2010'!F:F,F65)</f>
        <v>0</v>
      </c>
      <c r="V65" s="22">
        <f>countif('v2006'!F:F,F65)</f>
        <v>0</v>
      </c>
      <c r="W65" s="22">
        <f>countif('v2002'!F:F,F65)</f>
        <v>0</v>
      </c>
      <c r="X65" s="22">
        <f>countif('v1998'!F:F,F65)</f>
        <v>0</v>
      </c>
    </row>
    <row r="66">
      <c r="A66" s="21" t="str">
        <f t="shared" si="7"/>
        <v>conventional value of volt-90</v>
      </c>
      <c r="B66" s="6" t="s">
        <v>854</v>
      </c>
      <c r="D66" s="13" t="s">
        <v>855</v>
      </c>
      <c r="E66" s="13" t="s">
        <v>237</v>
      </c>
      <c r="F66" s="22" t="str">
        <f t="shared" si="9"/>
        <v>ConventionalValueOfVolt-90</v>
      </c>
      <c r="G66" s="6" t="s">
        <v>855</v>
      </c>
      <c r="H66" s="6" t="s">
        <v>856</v>
      </c>
      <c r="I66" s="6"/>
      <c r="J66" s="6" t="s">
        <v>237</v>
      </c>
      <c r="K66" s="14" t="str">
        <f t="shared" si="3"/>
        <v>https://w3id.org/uom/V</v>
      </c>
      <c r="L66" s="13" t="s">
        <v>269</v>
      </c>
      <c r="M66" s="23">
        <f>countif(Quantities!A:A,L66)</f>
        <v>1</v>
      </c>
      <c r="N66" s="24" t="b">
        <f t="shared" si="4"/>
        <v>1</v>
      </c>
      <c r="P66" s="22" t="b">
        <f t="shared" si="5"/>
        <v>0</v>
      </c>
      <c r="Q66" s="22" t="b">
        <f t="shared" si="10"/>
        <v>1</v>
      </c>
      <c r="R66" s="22">
        <f>countif('v2022'!F:F,F66)</f>
        <v>1</v>
      </c>
      <c r="S66" s="22">
        <f>countif('v2018'!F:F,F66)</f>
        <v>1</v>
      </c>
      <c r="T66" s="22">
        <f>countif('v2014'!F:F,F66)</f>
        <v>0</v>
      </c>
      <c r="U66" s="22">
        <f>countif('v2010'!F:F,F66)</f>
        <v>0</v>
      </c>
      <c r="V66" s="22">
        <f>countif('v2006'!F:F,F66)</f>
        <v>0</v>
      </c>
      <c r="W66" s="22">
        <f>countif('v2002'!F:F,F66)</f>
        <v>0</v>
      </c>
      <c r="X66" s="22">
        <f>countif('v1998'!F:F,F66)</f>
        <v>0</v>
      </c>
    </row>
    <row r="67">
      <c r="A67" s="21" t="str">
        <f t="shared" si="7"/>
        <v>conventional value of von Klitzing constant</v>
      </c>
      <c r="B67" s="6" t="s">
        <v>857</v>
      </c>
      <c r="D67" s="13" t="s">
        <v>858</v>
      </c>
      <c r="E67" s="13" t="s">
        <v>814</v>
      </c>
      <c r="F67" s="22" t="str">
        <f t="shared" si="9"/>
        <v>ConventionalValueOfVonKlitzingConstant</v>
      </c>
      <c r="G67" s="6" t="s">
        <v>859</v>
      </c>
      <c r="H67" s="6" t="s">
        <v>860</v>
      </c>
      <c r="I67" s="6"/>
      <c r="J67" s="6" t="s">
        <v>816</v>
      </c>
      <c r="K67" s="14" t="str">
        <f t="shared" si="3"/>
        <v>https://w3id.org/uom/Ohm</v>
      </c>
      <c r="L67" s="13" t="s">
        <v>270</v>
      </c>
      <c r="M67" s="23">
        <f>countif(Quantities!A:A,L67)</f>
        <v>1</v>
      </c>
      <c r="N67" s="24" t="b">
        <f t="shared" si="4"/>
        <v>1</v>
      </c>
      <c r="O67" s="6" t="s">
        <v>861</v>
      </c>
      <c r="P67" s="22" t="b">
        <f t="shared" si="5"/>
        <v>1</v>
      </c>
      <c r="Q67" s="22" t="b">
        <f t="shared" si="10"/>
        <v>1</v>
      </c>
      <c r="R67" s="22">
        <f>countif('v2022'!F:F,F67)</f>
        <v>1</v>
      </c>
      <c r="S67" s="22">
        <f>countif('v2018'!F:F,F67)</f>
        <v>1</v>
      </c>
      <c r="T67" s="22">
        <f>countif('v2014'!F:F,F67)</f>
        <v>1</v>
      </c>
      <c r="U67" s="22">
        <f>countif('v2010'!F:F,F67)</f>
        <v>1</v>
      </c>
      <c r="V67" s="22">
        <f>countif('v2006'!F:F,F67)</f>
        <v>1</v>
      </c>
      <c r="W67" s="22">
        <f>countif('v2002'!F:F,F67)</f>
        <v>1</v>
      </c>
      <c r="X67" s="22">
        <f>countif('v1998'!F:F,F67)</f>
        <v>1</v>
      </c>
    </row>
    <row r="68">
      <c r="A68" s="21" t="str">
        <f t="shared" si="7"/>
        <v>conventional value of watt-90</v>
      </c>
      <c r="B68" s="6" t="s">
        <v>862</v>
      </c>
      <c r="D68" s="13" t="s">
        <v>863</v>
      </c>
      <c r="E68" s="13" t="s">
        <v>864</v>
      </c>
      <c r="F68" s="22" t="str">
        <f t="shared" si="9"/>
        <v>ConventionalValueOfWatt-90</v>
      </c>
      <c r="G68" s="6" t="s">
        <v>863</v>
      </c>
      <c r="H68" s="6" t="s">
        <v>865</v>
      </c>
      <c r="I68" s="6"/>
      <c r="J68" s="6" t="s">
        <v>864</v>
      </c>
      <c r="K68" s="14" t="str">
        <f t="shared" si="3"/>
        <v>https://w3id.org/uom/W</v>
      </c>
      <c r="L68" s="13" t="s">
        <v>271</v>
      </c>
      <c r="M68" s="23">
        <f>countif(Quantities!A:A,L68)</f>
        <v>1</v>
      </c>
      <c r="N68" s="24" t="b">
        <f t="shared" si="4"/>
        <v>1</v>
      </c>
      <c r="P68" s="22" t="b">
        <f t="shared" si="5"/>
        <v>0</v>
      </c>
      <c r="Q68" s="22" t="b">
        <f t="shared" si="10"/>
        <v>1</v>
      </c>
      <c r="R68" s="22">
        <f>countif('v2022'!F:F,F68)</f>
        <v>1</v>
      </c>
      <c r="S68" s="22">
        <f>countif('v2018'!F:F,F68)</f>
        <v>1</v>
      </c>
      <c r="T68" s="22">
        <f>countif('v2014'!F:F,F68)</f>
        <v>0</v>
      </c>
      <c r="U68" s="22">
        <f>countif('v2010'!F:F,F68)</f>
        <v>0</v>
      </c>
      <c r="V68" s="22">
        <f>countif('v2006'!F:F,F68)</f>
        <v>0</v>
      </c>
      <c r="W68" s="22">
        <f>countif('v2002'!F:F,F68)</f>
        <v>0</v>
      </c>
      <c r="X68" s="22">
        <f>countif('v1998'!F:F,F68)</f>
        <v>0</v>
      </c>
    </row>
    <row r="69">
      <c r="A69" s="13" t="s">
        <v>866</v>
      </c>
      <c r="B69" s="6" t="s">
        <v>867</v>
      </c>
      <c r="E69" s="13" t="s">
        <v>571</v>
      </c>
      <c r="F69" s="22" t="str">
        <f t="shared" si="9"/>
        <v>CuXUnit</v>
      </c>
      <c r="G69" s="6" t="s">
        <v>866</v>
      </c>
      <c r="H69" s="6" t="s">
        <v>868</v>
      </c>
      <c r="I69" s="6"/>
      <c r="J69" s="6" t="s">
        <v>571</v>
      </c>
      <c r="K69" s="14" t="str">
        <f t="shared" si="3"/>
        <v>https://w3id.org/uom/m</v>
      </c>
      <c r="L69" s="13" t="s">
        <v>272</v>
      </c>
      <c r="M69" s="23">
        <f>countif(Quantities!A:A,L69)</f>
        <v>1</v>
      </c>
      <c r="N69" s="24" t="b">
        <f t="shared" si="4"/>
        <v>1</v>
      </c>
      <c r="O69" s="6" t="s">
        <v>869</v>
      </c>
      <c r="P69" s="22" t="b">
        <f t="shared" si="5"/>
        <v>1</v>
      </c>
      <c r="Q69" s="22" t="b">
        <f t="shared" si="10"/>
        <v>1</v>
      </c>
      <c r="R69" s="22">
        <f>countif('v2022'!F:F,F69)</f>
        <v>1</v>
      </c>
      <c r="S69" s="22">
        <f>countif('v2018'!F:F,F69)</f>
        <v>1</v>
      </c>
      <c r="T69" s="22">
        <f>countif('v2014'!F:F,F69)</f>
        <v>1</v>
      </c>
      <c r="U69" s="22">
        <f>countif('v2010'!F:F,F69)</f>
        <v>1</v>
      </c>
      <c r="V69" s="22">
        <f>countif('v2006'!F:F,F69)</f>
        <v>1</v>
      </c>
      <c r="W69" s="22">
        <f>countif('v2002'!F:F,F69)</f>
        <v>1</v>
      </c>
      <c r="X69" s="22">
        <f>countif('v1998'!F:F,F69)</f>
        <v>1</v>
      </c>
    </row>
    <row r="70">
      <c r="A70" s="21" t="str">
        <f t="shared" ref="A70:A90" si="11">D70</f>
        <v>deuteron-electron mag. mom. ratio</v>
      </c>
      <c r="B70" s="6" t="s">
        <v>870</v>
      </c>
      <c r="D70" s="13" t="s">
        <v>871</v>
      </c>
      <c r="F70" s="22" t="str">
        <f t="shared" si="9"/>
        <v>DeuteronElectronMagneticMomentRatio</v>
      </c>
      <c r="G70" s="6" t="s">
        <v>872</v>
      </c>
      <c r="H70" s="6" t="s">
        <v>873</v>
      </c>
      <c r="I70" s="6"/>
      <c r="J70" s="6"/>
      <c r="K70" s="13" t="str">
        <f t="shared" si="3"/>
        <v/>
      </c>
      <c r="L70" s="13" t="s">
        <v>273</v>
      </c>
      <c r="M70" s="23">
        <f>countif(Quantities!A:A,L70)</f>
        <v>1</v>
      </c>
      <c r="N70" s="24" t="b">
        <f t="shared" si="4"/>
        <v>1</v>
      </c>
      <c r="O70" s="6" t="s">
        <v>874</v>
      </c>
      <c r="P70" s="22" t="b">
        <f t="shared" si="5"/>
        <v>1</v>
      </c>
      <c r="Q70" s="22" t="b">
        <f t="shared" si="10"/>
        <v>1</v>
      </c>
      <c r="R70" s="22">
        <f>countif('v2022'!F:F,F70)</f>
        <v>1</v>
      </c>
      <c r="S70" s="22">
        <f>countif('v2018'!F:F,F70)</f>
        <v>1</v>
      </c>
      <c r="T70" s="22">
        <f>countif('v2014'!F:F,F70)</f>
        <v>1</v>
      </c>
      <c r="U70" s="22">
        <f>countif('v2010'!F:F,F70)</f>
        <v>1</v>
      </c>
      <c r="V70" s="22">
        <f>countif('v2006'!F:F,F70)</f>
        <v>1</v>
      </c>
      <c r="W70" s="22">
        <f>countif('v2002'!F:F,F70)</f>
        <v>1</v>
      </c>
      <c r="X70" s="22">
        <f>countif('v1998'!F:F,F70)</f>
        <v>1</v>
      </c>
    </row>
    <row r="71">
      <c r="A71" s="21" t="str">
        <f t="shared" si="11"/>
        <v>deuteron-electron mass ratio</v>
      </c>
      <c r="B71" s="6" t="s">
        <v>875</v>
      </c>
      <c r="D71" s="13" t="s">
        <v>876</v>
      </c>
      <c r="F71" s="22" t="str">
        <f t="shared" si="9"/>
        <v>DeuteronElectronMassRatio</v>
      </c>
      <c r="G71" s="6" t="s">
        <v>877</v>
      </c>
      <c r="H71" s="6" t="s">
        <v>878</v>
      </c>
      <c r="I71" s="6"/>
      <c r="J71" s="6"/>
      <c r="K71" s="13" t="str">
        <f t="shared" si="3"/>
        <v/>
      </c>
      <c r="L71" s="13" t="s">
        <v>274</v>
      </c>
      <c r="M71" s="23">
        <f>countif(Quantities!A:A,L71)</f>
        <v>1</v>
      </c>
      <c r="N71" s="24" t="b">
        <f t="shared" si="4"/>
        <v>1</v>
      </c>
      <c r="O71" s="6" t="s">
        <v>879</v>
      </c>
      <c r="P71" s="22" t="b">
        <f t="shared" si="5"/>
        <v>1</v>
      </c>
      <c r="Q71" s="22" t="b">
        <f t="shared" si="10"/>
        <v>1</v>
      </c>
      <c r="R71" s="22">
        <f>countif('v2022'!F:F,F71)</f>
        <v>1</v>
      </c>
      <c r="S71" s="22">
        <f>countif('v2018'!F:F,F71)</f>
        <v>1</v>
      </c>
      <c r="T71" s="22">
        <f>countif('v2014'!F:F,F71)</f>
        <v>1</v>
      </c>
      <c r="U71" s="22">
        <f>countif('v2010'!F:F,F71)</f>
        <v>1</v>
      </c>
      <c r="V71" s="22">
        <f>countif('v2006'!F:F,F71)</f>
        <v>1</v>
      </c>
      <c r="W71" s="22">
        <f>countif('v2002'!F:F,F71)</f>
        <v>1</v>
      </c>
      <c r="X71" s="22">
        <f>countif('v1998'!F:F,F71)</f>
        <v>1</v>
      </c>
    </row>
    <row r="72">
      <c r="A72" s="21" t="str">
        <f t="shared" si="11"/>
        <v>deuteron g factor</v>
      </c>
      <c r="B72" s="6" t="s">
        <v>880</v>
      </c>
      <c r="D72" s="13" t="s">
        <v>881</v>
      </c>
      <c r="F72" s="22" t="str">
        <f t="shared" si="9"/>
        <v>DeuteronGFactor</v>
      </c>
      <c r="G72" s="6" t="s">
        <v>881</v>
      </c>
      <c r="H72" s="6" t="s">
        <v>882</v>
      </c>
      <c r="I72" s="6"/>
      <c r="J72" s="6"/>
      <c r="K72" s="13" t="str">
        <f t="shared" si="3"/>
        <v/>
      </c>
      <c r="L72" s="13" t="s">
        <v>275</v>
      </c>
      <c r="M72" s="23">
        <f>countif(Quantities!A:A,L72)</f>
        <v>1</v>
      </c>
      <c r="N72" s="24" t="b">
        <f t="shared" si="4"/>
        <v>1</v>
      </c>
      <c r="O72" s="6" t="s">
        <v>883</v>
      </c>
      <c r="P72" s="22" t="b">
        <f t="shared" si="5"/>
        <v>1</v>
      </c>
      <c r="Q72" s="22" t="b">
        <f t="shared" si="10"/>
        <v>1</v>
      </c>
      <c r="R72" s="22">
        <f>countif('v2022'!F:F,F72)</f>
        <v>1</v>
      </c>
      <c r="S72" s="22">
        <f>countif('v2018'!F:F,F72)</f>
        <v>1</v>
      </c>
      <c r="T72" s="22">
        <f>countif('v2014'!F:F,F72)</f>
        <v>1</v>
      </c>
      <c r="U72" s="22">
        <f>countif('v2010'!F:F,F72)</f>
        <v>1</v>
      </c>
      <c r="V72" s="22">
        <f>countif('v2006'!F:F,F72)</f>
        <v>1</v>
      </c>
      <c r="W72" s="22">
        <f>countif('v2002'!F:F,F72)</f>
        <v>0</v>
      </c>
      <c r="X72" s="22">
        <f>countif('v1998'!F:F,F72)</f>
        <v>0</v>
      </c>
    </row>
    <row r="73">
      <c r="A73" s="21" t="str">
        <f t="shared" si="11"/>
        <v>deuteron mag. mom.</v>
      </c>
      <c r="B73" s="6" t="s">
        <v>884</v>
      </c>
      <c r="D73" s="13" t="s">
        <v>885</v>
      </c>
      <c r="E73" s="13" t="s">
        <v>714</v>
      </c>
      <c r="F73" s="22" t="str">
        <f t="shared" si="9"/>
        <v>DeuteronMagneticMoment</v>
      </c>
      <c r="G73" s="6" t="s">
        <v>886</v>
      </c>
      <c r="H73" s="6" t="s">
        <v>887</v>
      </c>
      <c r="I73" s="6"/>
      <c r="J73" s="6" t="s">
        <v>717</v>
      </c>
      <c r="K73" s="14" t="str">
        <f t="shared" si="3"/>
        <v>https://w3id.org/uom/J.T-1</v>
      </c>
      <c r="L73" s="13" t="s">
        <v>276</v>
      </c>
      <c r="M73" s="23">
        <f>countif(Quantities!A:A,L73)</f>
        <v>1</v>
      </c>
      <c r="N73" s="24" t="b">
        <f t="shared" si="4"/>
        <v>1</v>
      </c>
      <c r="O73" s="6" t="s">
        <v>888</v>
      </c>
      <c r="P73" s="22" t="b">
        <f t="shared" si="5"/>
        <v>1</v>
      </c>
      <c r="Q73" s="22" t="b">
        <f t="shared" si="10"/>
        <v>1</v>
      </c>
      <c r="R73" s="22">
        <f>countif('v2022'!F:F,F73)</f>
        <v>1</v>
      </c>
      <c r="S73" s="22">
        <f>countif('v2018'!F:F,F73)</f>
        <v>1</v>
      </c>
      <c r="T73" s="22">
        <f>countif('v2014'!F:F,F73)</f>
        <v>1</v>
      </c>
      <c r="U73" s="22">
        <f>countif('v2010'!F:F,F73)</f>
        <v>1</v>
      </c>
      <c r="V73" s="22">
        <f>countif('v2006'!F:F,F73)</f>
        <v>1</v>
      </c>
      <c r="W73" s="22">
        <f>countif('v2002'!F:F,F73)</f>
        <v>1</v>
      </c>
      <c r="X73" s="22">
        <f>countif('v1998'!F:F,F73)</f>
        <v>1</v>
      </c>
    </row>
    <row r="74">
      <c r="A74" s="21" t="str">
        <f t="shared" si="11"/>
        <v>deuteron mag. mom. to Bohr magneton ratio</v>
      </c>
      <c r="B74" s="6" t="s">
        <v>889</v>
      </c>
      <c r="D74" s="13" t="s">
        <v>890</v>
      </c>
      <c r="F74" s="22" t="str">
        <f t="shared" si="9"/>
        <v>DeuteronMagneticMomentToBohrMagnetonRatio</v>
      </c>
      <c r="G74" s="6" t="s">
        <v>891</v>
      </c>
      <c r="H74" s="6" t="s">
        <v>892</v>
      </c>
      <c r="I74" s="6"/>
      <c r="J74" s="6"/>
      <c r="K74" s="13" t="str">
        <f t="shared" si="3"/>
        <v/>
      </c>
      <c r="L74" s="13" t="s">
        <v>277</v>
      </c>
      <c r="M74" s="23">
        <f>countif(Quantities!A:A,L74)</f>
        <v>1</v>
      </c>
      <c r="N74" s="24" t="b">
        <f t="shared" si="4"/>
        <v>1</v>
      </c>
      <c r="O74" s="6" t="s">
        <v>893</v>
      </c>
      <c r="P74" s="22" t="b">
        <f t="shared" si="5"/>
        <v>1</v>
      </c>
      <c r="Q74" s="22" t="b">
        <f t="shared" si="10"/>
        <v>1</v>
      </c>
      <c r="R74" s="22">
        <f>countif('v2022'!F:F,F74)</f>
        <v>1</v>
      </c>
      <c r="S74" s="22">
        <f>countif('v2018'!F:F,F74)</f>
        <v>1</v>
      </c>
      <c r="T74" s="22">
        <f>countif('v2014'!F:F,F74)</f>
        <v>1</v>
      </c>
      <c r="U74" s="22">
        <f>countif('v2010'!F:F,F74)</f>
        <v>1</v>
      </c>
      <c r="V74" s="22">
        <f>countif('v2006'!F:F,F74)</f>
        <v>1</v>
      </c>
      <c r="W74" s="22">
        <f>countif('v2002'!F:F,F74)</f>
        <v>1</v>
      </c>
      <c r="X74" s="22">
        <f>countif('v1998'!F:F,F74)</f>
        <v>1</v>
      </c>
    </row>
    <row r="75">
      <c r="A75" s="21" t="str">
        <f t="shared" si="11"/>
        <v>deuteron mag. mom. to nuclear magneton ratio</v>
      </c>
      <c r="B75" s="6" t="s">
        <v>894</v>
      </c>
      <c r="D75" s="13" t="s">
        <v>895</v>
      </c>
      <c r="F75" s="22" t="str">
        <f t="shared" si="9"/>
        <v>DeuteronMagneticMomentToNuclearMagnetonRatio</v>
      </c>
      <c r="G75" s="6" t="s">
        <v>896</v>
      </c>
      <c r="H75" s="6" t="s">
        <v>897</v>
      </c>
      <c r="I75" s="6"/>
      <c r="J75" s="6"/>
      <c r="K75" s="13" t="str">
        <f t="shared" si="3"/>
        <v/>
      </c>
      <c r="L75" s="13" t="s">
        <v>278</v>
      </c>
      <c r="M75" s="23">
        <f>countif(Quantities!A:A,L75)</f>
        <v>1</v>
      </c>
      <c r="N75" s="24" t="b">
        <f t="shared" si="4"/>
        <v>1</v>
      </c>
      <c r="O75" s="6" t="s">
        <v>898</v>
      </c>
      <c r="P75" s="22" t="b">
        <f t="shared" si="5"/>
        <v>1</v>
      </c>
      <c r="Q75" s="22" t="b">
        <f t="shared" si="10"/>
        <v>1</v>
      </c>
      <c r="R75" s="22">
        <f>countif('v2022'!F:F,F75)</f>
        <v>1</v>
      </c>
      <c r="S75" s="22">
        <f>countif('v2018'!F:F,F75)</f>
        <v>1</v>
      </c>
      <c r="T75" s="22">
        <f>countif('v2014'!F:F,F75)</f>
        <v>1</v>
      </c>
      <c r="U75" s="22">
        <f>countif('v2010'!F:F,F75)</f>
        <v>1</v>
      </c>
      <c r="V75" s="22">
        <f>countif('v2006'!F:F,F75)</f>
        <v>1</v>
      </c>
      <c r="W75" s="22">
        <f>countif('v2002'!F:F,F75)</f>
        <v>1</v>
      </c>
      <c r="X75" s="22">
        <f>countif('v1998'!F:F,F75)</f>
        <v>1</v>
      </c>
    </row>
    <row r="76">
      <c r="A76" s="21" t="str">
        <f t="shared" si="11"/>
        <v>deuteron mass</v>
      </c>
      <c r="B76" s="6" t="s">
        <v>899</v>
      </c>
      <c r="D76" s="13" t="s">
        <v>900</v>
      </c>
      <c r="E76" s="13" t="s">
        <v>538</v>
      </c>
      <c r="F76" s="22" t="str">
        <f t="shared" si="9"/>
        <v>DeuteronMass</v>
      </c>
      <c r="G76" s="6" t="s">
        <v>900</v>
      </c>
      <c r="H76" s="6" t="s">
        <v>901</v>
      </c>
      <c r="I76" s="6"/>
      <c r="J76" s="6" t="s">
        <v>538</v>
      </c>
      <c r="K76" s="14" t="str">
        <f t="shared" si="3"/>
        <v>https://w3id.org/uom/kg</v>
      </c>
      <c r="L76" s="13" t="s">
        <v>279</v>
      </c>
      <c r="M76" s="23">
        <f>countif(Quantities!A:A,L76)</f>
        <v>1</v>
      </c>
      <c r="N76" s="24" t="b">
        <f t="shared" si="4"/>
        <v>1</v>
      </c>
      <c r="O76" s="6" t="s">
        <v>902</v>
      </c>
      <c r="P76" s="22" t="b">
        <f t="shared" si="5"/>
        <v>1</v>
      </c>
      <c r="Q76" s="22" t="b">
        <f t="shared" si="10"/>
        <v>1</v>
      </c>
      <c r="R76" s="22">
        <f>countif('v2022'!F:F,F76)</f>
        <v>1</v>
      </c>
      <c r="S76" s="22">
        <f>countif('v2018'!F:F,F76)</f>
        <v>1</v>
      </c>
      <c r="T76" s="22">
        <f>countif('v2014'!F:F,F76)</f>
        <v>1</v>
      </c>
      <c r="U76" s="22">
        <f>countif('v2010'!F:F,F76)</f>
        <v>1</v>
      </c>
      <c r="V76" s="22">
        <f>countif('v2006'!F:F,F76)</f>
        <v>1</v>
      </c>
      <c r="W76" s="22">
        <f>countif('v2002'!F:F,F76)</f>
        <v>1</v>
      </c>
      <c r="X76" s="22">
        <f>countif('v1998'!F:F,F76)</f>
        <v>1</v>
      </c>
    </row>
    <row r="77">
      <c r="A77" s="21" t="str">
        <f t="shared" si="11"/>
        <v>deuteron mass energy equivalent</v>
      </c>
      <c r="B77" s="6" t="s">
        <v>903</v>
      </c>
      <c r="D77" s="13" t="s">
        <v>904</v>
      </c>
      <c r="E77" s="13" t="s">
        <v>543</v>
      </c>
      <c r="F77" s="22" t="str">
        <f t="shared" si="9"/>
        <v>DeuteronMassEnergyEquivalent</v>
      </c>
      <c r="G77" s="6" t="s">
        <v>904</v>
      </c>
      <c r="H77" s="6" t="s">
        <v>905</v>
      </c>
      <c r="I77" s="6"/>
      <c r="J77" s="6" t="s">
        <v>543</v>
      </c>
      <c r="K77" s="14" t="str">
        <f t="shared" si="3"/>
        <v>https://w3id.org/uom/J</v>
      </c>
      <c r="L77" s="13" t="s">
        <v>279</v>
      </c>
      <c r="M77" s="23">
        <f>countif(Quantities!A:A,L77)</f>
        <v>1</v>
      </c>
      <c r="N77" s="24" t="b">
        <f t="shared" si="4"/>
        <v>0</v>
      </c>
      <c r="O77" s="6" t="s">
        <v>906</v>
      </c>
      <c r="P77" s="22" t="b">
        <f t="shared" si="5"/>
        <v>1</v>
      </c>
      <c r="Q77" s="22" t="b">
        <f t="shared" si="10"/>
        <v>1</v>
      </c>
      <c r="R77" s="22">
        <f>countif('v2022'!F:F,F77)</f>
        <v>1</v>
      </c>
      <c r="S77" s="22">
        <f>countif('v2018'!F:F,F77)</f>
        <v>1</v>
      </c>
      <c r="T77" s="22">
        <f>countif('v2014'!F:F,F77)</f>
        <v>1</v>
      </c>
      <c r="U77" s="22">
        <f>countif('v2010'!F:F,F77)</f>
        <v>1</v>
      </c>
      <c r="V77" s="22">
        <f>countif('v2006'!F:F,F77)</f>
        <v>1</v>
      </c>
      <c r="W77" s="22">
        <f>countif('v2002'!F:F,F77)</f>
        <v>1</v>
      </c>
      <c r="X77" s="22">
        <f>countif('v1998'!F:F,F77)</f>
        <v>1</v>
      </c>
    </row>
    <row r="78">
      <c r="A78" s="21" t="str">
        <f t="shared" si="11"/>
        <v>deuteron mass energy equivalent in MeV</v>
      </c>
      <c r="B78" s="6" t="s">
        <v>907</v>
      </c>
      <c r="D78" s="13" t="s">
        <v>908</v>
      </c>
      <c r="E78" s="13" t="s">
        <v>548</v>
      </c>
      <c r="F78" s="22" t="str">
        <f t="shared" si="9"/>
        <v>DeuteronMassEnergyEquivalentInMeV</v>
      </c>
      <c r="G78" s="6" t="s">
        <v>908</v>
      </c>
      <c r="H78" s="6" t="s">
        <v>905</v>
      </c>
      <c r="J78" s="13" t="s">
        <v>548</v>
      </c>
      <c r="K78" s="14" t="str">
        <f t="shared" si="3"/>
        <v>https://w3id.org/uom/MeV</v>
      </c>
      <c r="L78" s="13" t="s">
        <v>279</v>
      </c>
      <c r="M78" s="23">
        <f>countif(Quantities!A:A,L78)</f>
        <v>1</v>
      </c>
      <c r="N78" s="24" t="b">
        <f t="shared" si="4"/>
        <v>0</v>
      </c>
      <c r="O78" s="6" t="s">
        <v>909</v>
      </c>
      <c r="P78" s="22" t="b">
        <f t="shared" si="5"/>
        <v>1</v>
      </c>
      <c r="Q78" s="22" t="b">
        <f t="shared" si="10"/>
        <v>1</v>
      </c>
      <c r="R78" s="22">
        <f>countif('v2022'!F:F,F78)</f>
        <v>1</v>
      </c>
      <c r="S78" s="22">
        <f>countif('v2018'!F:F,F78)</f>
        <v>1</v>
      </c>
      <c r="T78" s="22">
        <f>countif('v2014'!F:F,F78)</f>
        <v>1</v>
      </c>
      <c r="U78" s="22">
        <f>countif('v2010'!F:F,F78)</f>
        <v>1</v>
      </c>
      <c r="V78" s="22">
        <f>countif('v2006'!F:F,F78)</f>
        <v>1</v>
      </c>
      <c r="W78" s="22">
        <f>countif('v2002'!F:F,F78)</f>
        <v>1</v>
      </c>
      <c r="X78" s="22">
        <f>countif('v1998'!F:F,F78)</f>
        <v>1</v>
      </c>
    </row>
    <row r="79">
      <c r="A79" s="21" t="str">
        <f t="shared" si="11"/>
        <v>deuteron mass in u</v>
      </c>
      <c r="B79" s="6" t="s">
        <v>910</v>
      </c>
      <c r="D79" s="13" t="s">
        <v>911</v>
      </c>
      <c r="E79" s="13" t="s">
        <v>553</v>
      </c>
      <c r="F79" s="22" t="str">
        <f t="shared" si="9"/>
        <v>DeuteronMassInAtomicMassUnit</v>
      </c>
      <c r="G79" s="6" t="s">
        <v>911</v>
      </c>
      <c r="H79" s="6" t="s">
        <v>901</v>
      </c>
      <c r="I79" s="6"/>
      <c r="J79" s="6" t="s">
        <v>553</v>
      </c>
      <c r="K79" s="14" t="str">
        <f t="shared" si="3"/>
        <v>https://w3id.org/uom/u</v>
      </c>
      <c r="L79" s="13" t="s">
        <v>279</v>
      </c>
      <c r="M79" s="23">
        <f>countif(Quantities!A:A,L79)</f>
        <v>1</v>
      </c>
      <c r="N79" s="24" t="b">
        <f t="shared" si="4"/>
        <v>0</v>
      </c>
      <c r="O79" s="6" t="s">
        <v>912</v>
      </c>
      <c r="P79" s="22" t="b">
        <f t="shared" si="5"/>
        <v>1</v>
      </c>
      <c r="Q79" s="22" t="b">
        <f t="shared" si="10"/>
        <v>1</v>
      </c>
      <c r="R79" s="22">
        <f>countif('v2022'!F:F,F79)</f>
        <v>1</v>
      </c>
      <c r="S79" s="22">
        <f>countif('v2018'!F:F,F79)</f>
        <v>1</v>
      </c>
      <c r="T79" s="22">
        <f>countif('v2014'!F:F,F79)</f>
        <v>1</v>
      </c>
      <c r="U79" s="22">
        <f>countif('v2010'!F:F,F79)</f>
        <v>1</v>
      </c>
      <c r="V79" s="22">
        <f>countif('v2006'!F:F,F79)</f>
        <v>1</v>
      </c>
      <c r="W79" s="22">
        <f>countif('v2002'!F:F,F79)</f>
        <v>1</v>
      </c>
      <c r="X79" s="22">
        <f>countif('v1998'!F:F,F79)</f>
        <v>1</v>
      </c>
    </row>
    <row r="80">
      <c r="A80" s="21" t="str">
        <f t="shared" si="11"/>
        <v>deuteron molar mass</v>
      </c>
      <c r="B80" s="6" t="s">
        <v>913</v>
      </c>
      <c r="D80" s="13" t="s">
        <v>914</v>
      </c>
      <c r="E80" s="13" t="s">
        <v>557</v>
      </c>
      <c r="F80" s="22" t="str">
        <f t="shared" si="9"/>
        <v>DeuteronMolarMass</v>
      </c>
      <c r="G80" s="6" t="s">
        <v>914</v>
      </c>
      <c r="H80" s="6" t="s">
        <v>915</v>
      </c>
      <c r="I80" s="6"/>
      <c r="J80" s="6" t="s">
        <v>559</v>
      </c>
      <c r="K80" s="14" t="str">
        <f t="shared" si="3"/>
        <v>https://w3id.org/uom/kg.mol-1</v>
      </c>
      <c r="L80" s="13" t="s">
        <v>280</v>
      </c>
      <c r="M80" s="23">
        <f>countif(Quantities!A:A,L80)</f>
        <v>1</v>
      </c>
      <c r="N80" s="24" t="b">
        <f t="shared" si="4"/>
        <v>1</v>
      </c>
      <c r="O80" s="6" t="s">
        <v>916</v>
      </c>
      <c r="P80" s="22" t="b">
        <f t="shared" si="5"/>
        <v>1</v>
      </c>
      <c r="Q80" s="22" t="b">
        <f t="shared" si="10"/>
        <v>1</v>
      </c>
      <c r="R80" s="22">
        <f>countif('v2022'!F:F,F80)</f>
        <v>1</v>
      </c>
      <c r="S80" s="22">
        <f>countif('v2018'!F:F,F80)</f>
        <v>1</v>
      </c>
      <c r="T80" s="22">
        <f>countif('v2014'!F:F,F80)</f>
        <v>1</v>
      </c>
      <c r="U80" s="22">
        <f>countif('v2010'!F:F,F80)</f>
        <v>1</v>
      </c>
      <c r="V80" s="22">
        <f>countif('v2006'!F:F,F80)</f>
        <v>1</v>
      </c>
      <c r="W80" s="22">
        <f>countif('v2002'!F:F,F80)</f>
        <v>1</v>
      </c>
      <c r="X80" s="22">
        <f>countif('v1998'!F:F,F80)</f>
        <v>1</v>
      </c>
    </row>
    <row r="81">
      <c r="A81" s="21" t="str">
        <f t="shared" si="11"/>
        <v>deuteron-neutron mag. mom. ratio</v>
      </c>
      <c r="B81" s="6" t="s">
        <v>917</v>
      </c>
      <c r="D81" s="13" t="s">
        <v>918</v>
      </c>
      <c r="F81" s="22" t="str">
        <f t="shared" si="9"/>
        <v>DeuteronNeutronMagneticMomentRatio</v>
      </c>
      <c r="G81" s="6" t="s">
        <v>919</v>
      </c>
      <c r="H81" s="6" t="s">
        <v>920</v>
      </c>
      <c r="I81" s="6"/>
      <c r="J81" s="6"/>
      <c r="K81" s="13" t="str">
        <f t="shared" si="3"/>
        <v/>
      </c>
      <c r="L81" s="13" t="s">
        <v>281</v>
      </c>
      <c r="M81" s="23">
        <f>countif(Quantities!A:A,L81)</f>
        <v>1</v>
      </c>
      <c r="N81" s="24" t="b">
        <f t="shared" si="4"/>
        <v>1</v>
      </c>
      <c r="O81" s="6" t="s">
        <v>921</v>
      </c>
      <c r="P81" s="22" t="b">
        <f t="shared" si="5"/>
        <v>1</v>
      </c>
      <c r="Q81" s="22" t="b">
        <f t="shared" si="10"/>
        <v>1</v>
      </c>
      <c r="R81" s="22">
        <f>countif('v2022'!F:F,F81)</f>
        <v>1</v>
      </c>
      <c r="S81" s="22">
        <f>countif('v2018'!F:F,F81)</f>
        <v>1</v>
      </c>
      <c r="T81" s="22">
        <f>countif('v2014'!F:F,F81)</f>
        <v>1</v>
      </c>
      <c r="U81" s="22">
        <f>countif('v2010'!F:F,F81)</f>
        <v>1</v>
      </c>
      <c r="V81" s="22">
        <f>countif('v2006'!F:F,F81)</f>
        <v>1</v>
      </c>
      <c r="W81" s="22">
        <f>countif('v2002'!F:F,F81)</f>
        <v>1</v>
      </c>
      <c r="X81" s="22">
        <f>countif('v1998'!F:F,F81)</f>
        <v>1</v>
      </c>
    </row>
    <row r="82">
      <c r="A82" s="21" t="str">
        <f t="shared" si="11"/>
        <v>deuteron-proton mag. mom. ratio</v>
      </c>
      <c r="B82" s="6" t="s">
        <v>922</v>
      </c>
      <c r="D82" s="13" t="s">
        <v>923</v>
      </c>
      <c r="F82" s="22" t="str">
        <f t="shared" si="9"/>
        <v>DeuteronProtonMagneticMomentRatio</v>
      </c>
      <c r="G82" s="6" t="s">
        <v>924</v>
      </c>
      <c r="H82" s="6" t="s">
        <v>925</v>
      </c>
      <c r="I82" s="6"/>
      <c r="J82" s="6"/>
      <c r="K82" s="13" t="str">
        <f t="shared" si="3"/>
        <v/>
      </c>
      <c r="L82" s="13" t="s">
        <v>282</v>
      </c>
      <c r="M82" s="23">
        <f>countif(Quantities!A:A,L82)</f>
        <v>1</v>
      </c>
      <c r="N82" s="24" t="b">
        <f t="shared" si="4"/>
        <v>1</v>
      </c>
      <c r="O82" s="6" t="s">
        <v>926</v>
      </c>
      <c r="P82" s="22" t="b">
        <f t="shared" si="5"/>
        <v>1</v>
      </c>
      <c r="Q82" s="22" t="b">
        <f t="shared" si="10"/>
        <v>1</v>
      </c>
      <c r="R82" s="22">
        <f>countif('v2022'!F:F,F82)</f>
        <v>1</v>
      </c>
      <c r="S82" s="22">
        <f>countif('v2018'!F:F,F82)</f>
        <v>1</v>
      </c>
      <c r="T82" s="22">
        <f>countif('v2014'!F:F,F82)</f>
        <v>1</v>
      </c>
      <c r="U82" s="22">
        <f>countif('v2010'!F:F,F82)</f>
        <v>1</v>
      </c>
      <c r="V82" s="22">
        <f>countif('v2006'!F:F,F82)</f>
        <v>1</v>
      </c>
      <c r="W82" s="22">
        <f>countif('v2002'!F:F,F82)</f>
        <v>1</v>
      </c>
      <c r="X82" s="22">
        <f>countif('v1998'!F:F,F82)</f>
        <v>1</v>
      </c>
    </row>
    <row r="83">
      <c r="A83" s="21" t="str">
        <f t="shared" si="11"/>
        <v>deuteron-proton mass ratio</v>
      </c>
      <c r="B83" s="6" t="s">
        <v>927</v>
      </c>
      <c r="D83" s="13" t="s">
        <v>928</v>
      </c>
      <c r="F83" s="22" t="str">
        <f t="shared" si="9"/>
        <v>DeuteronProtonMassRatio</v>
      </c>
      <c r="G83" s="6" t="s">
        <v>929</v>
      </c>
      <c r="H83" s="6" t="s">
        <v>930</v>
      </c>
      <c r="I83" s="6"/>
      <c r="J83" s="6"/>
      <c r="K83" s="13" t="str">
        <f t="shared" si="3"/>
        <v/>
      </c>
      <c r="L83" s="13" t="s">
        <v>283</v>
      </c>
      <c r="M83" s="23">
        <f>countif(Quantities!A:A,L83)</f>
        <v>1</v>
      </c>
      <c r="N83" s="24" t="b">
        <f t="shared" si="4"/>
        <v>1</v>
      </c>
      <c r="O83" s="6" t="s">
        <v>931</v>
      </c>
      <c r="P83" s="22" t="b">
        <f t="shared" si="5"/>
        <v>1</v>
      </c>
      <c r="Q83" s="22" t="b">
        <f t="shared" si="10"/>
        <v>1</v>
      </c>
      <c r="R83" s="22">
        <f>countif('v2022'!F:F,F83)</f>
        <v>1</v>
      </c>
      <c r="S83" s="22">
        <f>countif('v2018'!F:F,F83)</f>
        <v>1</v>
      </c>
      <c r="T83" s="22">
        <f>countif('v2014'!F:F,F83)</f>
        <v>1</v>
      </c>
      <c r="U83" s="22">
        <f>countif('v2010'!F:F,F83)</f>
        <v>1</v>
      </c>
      <c r="V83" s="22">
        <f>countif('v2006'!F:F,F83)</f>
        <v>1</v>
      </c>
      <c r="W83" s="22">
        <f>countif('v2002'!F:F,F83)</f>
        <v>1</v>
      </c>
      <c r="X83" s="22">
        <f>countif('v1998'!F:F,F83)</f>
        <v>1</v>
      </c>
    </row>
    <row r="84">
      <c r="A84" s="21" t="str">
        <f t="shared" si="11"/>
        <v>deuteron relative atomic mass</v>
      </c>
      <c r="B84" s="6" t="s">
        <v>932</v>
      </c>
      <c r="C84" s="6"/>
      <c r="D84" s="13" t="s">
        <v>933</v>
      </c>
      <c r="F84" s="22" t="str">
        <f t="shared" si="9"/>
        <v>DeuteronRelativeAtomicMass</v>
      </c>
      <c r="G84" s="6" t="s">
        <v>933</v>
      </c>
      <c r="H84" s="6" t="s">
        <v>934</v>
      </c>
      <c r="K84" s="13" t="str">
        <f t="shared" si="3"/>
        <v/>
      </c>
      <c r="L84" s="13" t="s">
        <v>284</v>
      </c>
      <c r="M84" s="23">
        <f>countif(Quantities!A:A,L84)</f>
        <v>1</v>
      </c>
      <c r="N84" s="24" t="b">
        <f t="shared" si="4"/>
        <v>1</v>
      </c>
      <c r="P84" s="22" t="b">
        <f t="shared" si="5"/>
        <v>0</v>
      </c>
      <c r="Q84" s="22" t="b">
        <f t="shared" si="10"/>
        <v>1</v>
      </c>
      <c r="R84" s="22">
        <f>countif('v2022'!F:F,F84)</f>
        <v>1</v>
      </c>
      <c r="S84" s="22">
        <f>countif('v2018'!F:F,F84)</f>
        <v>1</v>
      </c>
      <c r="T84" s="22">
        <f>countif('v2014'!F:F,F84)</f>
        <v>0</v>
      </c>
      <c r="U84" s="22">
        <f>countif('v2010'!F:F,F84)</f>
        <v>0</v>
      </c>
      <c r="V84" s="22">
        <f>countif('v2006'!F:F,F84)</f>
        <v>0</v>
      </c>
      <c r="W84" s="22">
        <f>countif('v2002'!F:F,F84)</f>
        <v>0</v>
      </c>
      <c r="X84" s="22">
        <f>countif('v1998'!F:F,F84)</f>
        <v>0</v>
      </c>
    </row>
    <row r="85">
      <c r="A85" s="21" t="str">
        <f t="shared" si="11"/>
        <v>deuteron rms charge radius</v>
      </c>
      <c r="B85" s="6" t="s">
        <v>935</v>
      </c>
      <c r="D85" s="13" t="s">
        <v>936</v>
      </c>
      <c r="E85" s="13" t="s">
        <v>571</v>
      </c>
      <c r="F85" s="22" t="str">
        <f t="shared" si="9"/>
        <v>DeuteronRmsChargeRadius</v>
      </c>
      <c r="G85" s="6" t="s">
        <v>936</v>
      </c>
      <c r="H85" s="6" t="s">
        <v>937</v>
      </c>
      <c r="I85" s="6"/>
      <c r="J85" s="6" t="s">
        <v>571</v>
      </c>
      <c r="K85" s="14" t="str">
        <f t="shared" si="3"/>
        <v>https://w3id.org/uom/m</v>
      </c>
      <c r="L85" s="13" t="s">
        <v>285</v>
      </c>
      <c r="M85" s="23">
        <f>countif(Quantities!A:A,L85)</f>
        <v>1</v>
      </c>
      <c r="N85" s="24" t="b">
        <f t="shared" si="4"/>
        <v>1</v>
      </c>
      <c r="O85" s="6" t="s">
        <v>938</v>
      </c>
      <c r="P85" s="22" t="b">
        <f t="shared" si="5"/>
        <v>1</v>
      </c>
      <c r="Q85" s="22" t="b">
        <f t="shared" si="10"/>
        <v>1</v>
      </c>
      <c r="R85" s="22">
        <f>countif('v2022'!F:F,F85)</f>
        <v>1</v>
      </c>
      <c r="S85" s="22">
        <f>countif('v2018'!F:F,F85)</f>
        <v>1</v>
      </c>
      <c r="T85" s="22">
        <f>countif('v2014'!F:F,F85)</f>
        <v>1</v>
      </c>
      <c r="U85" s="22">
        <f>countif('v2010'!F:F,F85)</f>
        <v>1</v>
      </c>
      <c r="V85" s="22">
        <f>countif('v2006'!F:F,F85)</f>
        <v>1</v>
      </c>
      <c r="W85" s="22">
        <f>countif('v2002'!F:F,F85)</f>
        <v>1</v>
      </c>
      <c r="X85" s="22">
        <f>countif('v1998'!F:F,F85)</f>
        <v>0</v>
      </c>
    </row>
    <row r="86">
      <c r="A86" s="21" t="str">
        <f t="shared" si="11"/>
        <v>electron charge to mass quotient</v>
      </c>
      <c r="B86" s="6" t="s">
        <v>939</v>
      </c>
      <c r="D86" s="13" t="s">
        <v>940</v>
      </c>
      <c r="E86" s="13" t="s">
        <v>941</v>
      </c>
      <c r="F86" s="22" t="str">
        <f t="shared" si="9"/>
        <v>ElectronChargeToMassQuotient</v>
      </c>
      <c r="G86" s="6" t="s">
        <v>940</v>
      </c>
      <c r="H86" s="6" t="s">
        <v>942</v>
      </c>
      <c r="I86" s="6"/>
      <c r="J86" s="6" t="s">
        <v>943</v>
      </c>
      <c r="K86" s="14" t="str">
        <f t="shared" si="3"/>
        <v>https://w3id.org/uom/C.kg-1</v>
      </c>
      <c r="L86" s="13" t="s">
        <v>287</v>
      </c>
      <c r="M86" s="23">
        <f>countif(Quantities!A:A,L86)</f>
        <v>1</v>
      </c>
      <c r="N86" s="24" t="b">
        <f t="shared" si="4"/>
        <v>1</v>
      </c>
      <c r="O86" s="6" t="s">
        <v>944</v>
      </c>
      <c r="P86" s="22" t="b">
        <f t="shared" si="5"/>
        <v>1</v>
      </c>
      <c r="Q86" s="22" t="b">
        <f>sum(S86:X86)&gt;0</f>
        <v>1</v>
      </c>
      <c r="R86" s="22">
        <f>countif('v2022'!F:F,F86)</f>
        <v>1</v>
      </c>
      <c r="S86" s="22">
        <f>countif('v2018'!F:F,F86)</f>
        <v>1</v>
      </c>
      <c r="T86" s="22">
        <f>countif('v2014'!F:F,F86)</f>
        <v>1</v>
      </c>
      <c r="U86" s="22">
        <f>countif('v2010'!F:F,F86)</f>
        <v>1</v>
      </c>
      <c r="V86" s="22">
        <f>countif('v2006'!F:F,F86)</f>
        <v>1</v>
      </c>
      <c r="W86" s="22">
        <f>countif('v2002'!F:F,F86)</f>
        <v>1</v>
      </c>
      <c r="X86" s="22">
        <f>countif('v1998'!F:F,F86)</f>
        <v>1</v>
      </c>
    </row>
    <row r="87">
      <c r="A87" s="21" t="str">
        <f t="shared" si="11"/>
        <v>electron-deuteron mag. mom. ratio</v>
      </c>
      <c r="B87" s="6" t="s">
        <v>945</v>
      </c>
      <c r="D87" s="13" t="s">
        <v>946</v>
      </c>
      <c r="F87" s="22" t="str">
        <f t="shared" si="9"/>
        <v>ElectronDeuteronMagneticMomentRatio</v>
      </c>
      <c r="G87" s="6" t="s">
        <v>947</v>
      </c>
      <c r="H87" s="6" t="s">
        <v>948</v>
      </c>
      <c r="I87" s="6"/>
      <c r="J87" s="6"/>
      <c r="K87" s="13" t="str">
        <f t="shared" si="3"/>
        <v/>
      </c>
      <c r="L87" s="13" t="s">
        <v>288</v>
      </c>
      <c r="M87" s="23">
        <f>countif(Quantities!A:A,L87)</f>
        <v>1</v>
      </c>
      <c r="N87" s="24" t="b">
        <f t="shared" si="4"/>
        <v>1</v>
      </c>
      <c r="O87" s="6" t="s">
        <v>949</v>
      </c>
      <c r="P87" s="22" t="b">
        <f t="shared" si="5"/>
        <v>1</v>
      </c>
      <c r="Q87" s="22" t="b">
        <f t="shared" ref="Q87:Q195" si="12">sum(S86:X87)&gt;0</f>
        <v>1</v>
      </c>
      <c r="R87" s="22">
        <f>countif('v2022'!F:F,F87)</f>
        <v>1</v>
      </c>
      <c r="S87" s="22">
        <f>countif('v2018'!F:F,F87)</f>
        <v>1</v>
      </c>
      <c r="T87" s="22">
        <f>countif('v2014'!F:F,F87)</f>
        <v>1</v>
      </c>
      <c r="U87" s="22">
        <f>countif('v2010'!F:F,F87)</f>
        <v>1</v>
      </c>
      <c r="V87" s="22">
        <f>countif('v2006'!F:F,F87)</f>
        <v>1</v>
      </c>
      <c r="W87" s="22">
        <f>countif('v2002'!F:F,F87)</f>
        <v>1</v>
      </c>
      <c r="X87" s="22">
        <f>countif('v1998'!F:F,F87)</f>
        <v>1</v>
      </c>
    </row>
    <row r="88">
      <c r="A88" s="21" t="str">
        <f t="shared" si="11"/>
        <v>electron-deuteron mass ratio</v>
      </c>
      <c r="B88" s="6" t="s">
        <v>950</v>
      </c>
      <c r="D88" s="13" t="s">
        <v>951</v>
      </c>
      <c r="F88" s="22" t="str">
        <f t="shared" si="9"/>
        <v>ElectronDeuteronMassRatio</v>
      </c>
      <c r="G88" s="6" t="s">
        <v>952</v>
      </c>
      <c r="H88" s="6" t="s">
        <v>953</v>
      </c>
      <c r="I88" s="6"/>
      <c r="J88" s="6"/>
      <c r="K88" s="13" t="str">
        <f t="shared" si="3"/>
        <v/>
      </c>
      <c r="L88" s="13" t="s">
        <v>289</v>
      </c>
      <c r="M88" s="23">
        <f>countif(Quantities!A:A,L88)</f>
        <v>1</v>
      </c>
      <c r="N88" s="24" t="b">
        <f t="shared" si="4"/>
        <v>1</v>
      </c>
      <c r="O88" s="6" t="s">
        <v>954</v>
      </c>
      <c r="P88" s="22" t="b">
        <f t="shared" si="5"/>
        <v>1</v>
      </c>
      <c r="Q88" s="22" t="b">
        <f t="shared" si="12"/>
        <v>1</v>
      </c>
      <c r="R88" s="22">
        <f>countif('v2022'!F:F,F88)</f>
        <v>1</v>
      </c>
      <c r="S88" s="22">
        <f>countif('v2018'!F:F,F88)</f>
        <v>1</v>
      </c>
      <c r="T88" s="22">
        <f>countif('v2014'!F:F,F88)</f>
        <v>1</v>
      </c>
      <c r="U88" s="22">
        <f>countif('v2010'!F:F,F88)</f>
        <v>1</v>
      </c>
      <c r="V88" s="22">
        <f>countif('v2006'!F:F,F88)</f>
        <v>1</v>
      </c>
      <c r="W88" s="22">
        <f>countif('v2002'!F:F,F88)</f>
        <v>1</v>
      </c>
      <c r="X88" s="22">
        <f>countif('v1998'!F:F,F88)</f>
        <v>1</v>
      </c>
    </row>
    <row r="89">
      <c r="A89" s="21" t="str">
        <f t="shared" si="11"/>
        <v>electron g factor</v>
      </c>
      <c r="B89" s="6" t="s">
        <v>955</v>
      </c>
      <c r="D89" s="13" t="s">
        <v>956</v>
      </c>
      <c r="F89" s="22" t="str">
        <f t="shared" si="9"/>
        <v>ElectronGFactor</v>
      </c>
      <c r="G89" s="6" t="s">
        <v>956</v>
      </c>
      <c r="H89" s="6" t="s">
        <v>957</v>
      </c>
      <c r="I89" s="6"/>
      <c r="J89" s="6"/>
      <c r="K89" s="13" t="str">
        <f t="shared" si="3"/>
        <v/>
      </c>
      <c r="L89" s="13" t="s">
        <v>290</v>
      </c>
      <c r="M89" s="23">
        <f>countif(Quantities!A:A,L89)</f>
        <v>1</v>
      </c>
      <c r="N89" s="24" t="b">
        <f t="shared" si="4"/>
        <v>1</v>
      </c>
      <c r="O89" s="6" t="s">
        <v>958</v>
      </c>
      <c r="P89" s="22" t="b">
        <f t="shared" si="5"/>
        <v>1</v>
      </c>
      <c r="Q89" s="22" t="b">
        <f t="shared" si="12"/>
        <v>1</v>
      </c>
      <c r="R89" s="22">
        <f>countif('v2022'!F:F,F89)</f>
        <v>1</v>
      </c>
      <c r="S89" s="22">
        <f>countif('v2018'!F:F,F89)</f>
        <v>1</v>
      </c>
      <c r="T89" s="22">
        <f>countif('v2014'!F:F,F89)</f>
        <v>1</v>
      </c>
      <c r="U89" s="22">
        <f>countif('v2010'!F:F,F89)</f>
        <v>1</v>
      </c>
      <c r="V89" s="22">
        <f>countif('v2006'!F:F,F89)</f>
        <v>1</v>
      </c>
      <c r="W89" s="22">
        <f>countif('v2002'!F:F,F89)</f>
        <v>1</v>
      </c>
      <c r="X89" s="22">
        <f>countif('v1998'!F:F,F89)</f>
        <v>1</v>
      </c>
    </row>
    <row r="90">
      <c r="A90" s="21" t="str">
        <f t="shared" si="11"/>
        <v>electron gyromag. ratio</v>
      </c>
      <c r="B90" s="6" t="s">
        <v>959</v>
      </c>
      <c r="D90" s="13" t="s">
        <v>960</v>
      </c>
      <c r="E90" s="13" t="s">
        <v>961</v>
      </c>
      <c r="F90" s="22" t="str">
        <f t="shared" si="9"/>
        <v>ElectronGyromagneticRatio</v>
      </c>
      <c r="G90" s="6" t="s">
        <v>962</v>
      </c>
      <c r="H90" s="6" t="s">
        <v>963</v>
      </c>
      <c r="I90" s="6"/>
      <c r="J90" s="6" t="s">
        <v>964</v>
      </c>
      <c r="K90" s="14" t="str">
        <f t="shared" si="3"/>
        <v>https://w3id.org/uom/s-1.T-1</v>
      </c>
      <c r="L90" s="13" t="s">
        <v>291</v>
      </c>
      <c r="M90" s="23">
        <f>countif(Quantities!A:A,L90)</f>
        <v>1</v>
      </c>
      <c r="N90" s="24" t="b">
        <f t="shared" si="4"/>
        <v>1</v>
      </c>
      <c r="O90" s="6" t="s">
        <v>965</v>
      </c>
      <c r="P90" s="22" t="b">
        <f t="shared" si="5"/>
        <v>1</v>
      </c>
      <c r="Q90" s="22" t="b">
        <f t="shared" si="12"/>
        <v>1</v>
      </c>
      <c r="R90" s="22">
        <f>countif('v2022'!F:F,F90)</f>
        <v>1</v>
      </c>
      <c r="S90" s="22">
        <f>countif('v2018'!F:F,F90)</f>
        <v>1</v>
      </c>
      <c r="T90" s="22">
        <f>countif('v2014'!F:F,F90)</f>
        <v>1</v>
      </c>
      <c r="U90" s="22">
        <f>countif('v2010'!F:F,F90)</f>
        <v>1</v>
      </c>
      <c r="V90" s="22">
        <f>countif('v2006'!F:F,F90)</f>
        <v>1</v>
      </c>
      <c r="W90" s="22">
        <f>countif('v2002'!F:F,F90)</f>
        <v>1</v>
      </c>
      <c r="X90" s="22">
        <f>countif('v1998'!F:F,F90)</f>
        <v>1</v>
      </c>
    </row>
    <row r="91">
      <c r="A91" s="6" t="s">
        <v>966</v>
      </c>
      <c r="B91" s="6" t="s">
        <v>967</v>
      </c>
      <c r="D91" s="13" t="s">
        <v>968</v>
      </c>
      <c r="E91" s="13" t="s">
        <v>969</v>
      </c>
      <c r="F91" s="22" t="str">
        <f t="shared" si="9"/>
        <v>ElectronGyromagneticRatioOver2Pi</v>
      </c>
      <c r="G91" s="6" t="s">
        <v>970</v>
      </c>
      <c r="H91" s="6" t="s">
        <v>971</v>
      </c>
      <c r="I91" s="6"/>
      <c r="J91" s="6" t="s">
        <v>972</v>
      </c>
      <c r="K91" s="14" t="str">
        <f t="shared" si="3"/>
        <v>https://w3id.org/uom/MHz.T-1</v>
      </c>
      <c r="L91" s="6" t="s">
        <v>291</v>
      </c>
      <c r="M91" s="23">
        <f>countif(Quantities!A:A,L91)</f>
        <v>1</v>
      </c>
      <c r="N91" s="24" t="b">
        <f t="shared" si="4"/>
        <v>0</v>
      </c>
      <c r="O91" s="6" t="s">
        <v>973</v>
      </c>
      <c r="P91" s="22" t="b">
        <f t="shared" si="5"/>
        <v>1</v>
      </c>
      <c r="Q91" s="22" t="b">
        <f t="shared" si="12"/>
        <v>1</v>
      </c>
      <c r="R91" s="22">
        <f>countif('v2022'!F:F,F91)</f>
        <v>1</v>
      </c>
      <c r="S91" s="22">
        <f>countif('v2018'!F:F,F91)</f>
        <v>1</v>
      </c>
      <c r="T91" s="22">
        <f>countif('v2014'!F:F,F91)</f>
        <v>1</v>
      </c>
      <c r="U91" s="22">
        <f>countif('v2010'!F:F,F91)</f>
        <v>1</v>
      </c>
      <c r="V91" s="22">
        <f>countif('v2006'!F:F,F91)</f>
        <v>1</v>
      </c>
      <c r="W91" s="22">
        <f>countif('v2002'!F:F,F91)</f>
        <v>1</v>
      </c>
      <c r="X91" s="22">
        <f>countif('v1998'!F:F,F91)</f>
        <v>1</v>
      </c>
    </row>
    <row r="92">
      <c r="A92" s="21" t="str">
        <f t="shared" ref="A92:A200" si="13">D92</f>
        <v>electron-helion mass ratio</v>
      </c>
      <c r="B92" s="6" t="s">
        <v>974</v>
      </c>
      <c r="D92" s="13" t="s">
        <v>975</v>
      </c>
      <c r="F92" s="22" t="str">
        <f t="shared" si="9"/>
        <v>Electron-HelionMassRatio</v>
      </c>
      <c r="G92" s="6" t="s">
        <v>976</v>
      </c>
      <c r="H92" s="6" t="s">
        <v>977</v>
      </c>
      <c r="K92" s="13" t="str">
        <f t="shared" si="3"/>
        <v/>
      </c>
      <c r="L92" s="18" t="s">
        <v>292</v>
      </c>
      <c r="M92" s="23">
        <f>countif(Quantities!A:A,L92)</f>
        <v>1</v>
      </c>
      <c r="N92" s="24" t="b">
        <f t="shared" si="4"/>
        <v>0</v>
      </c>
      <c r="P92" s="22" t="b">
        <f t="shared" si="5"/>
        <v>0</v>
      </c>
      <c r="Q92" s="22" t="b">
        <f t="shared" si="12"/>
        <v>1</v>
      </c>
      <c r="R92" s="22">
        <f>countif('v2022'!F:F,F92)</f>
        <v>1</v>
      </c>
      <c r="S92" s="22">
        <f>countif('v2018'!F:F,F92)</f>
        <v>1</v>
      </c>
      <c r="T92" s="22">
        <f>countif('v2014'!F:F,F92)</f>
        <v>1</v>
      </c>
      <c r="U92" s="22">
        <f>countif('v2010'!F:F,F92)</f>
        <v>1</v>
      </c>
      <c r="V92" s="22">
        <f>countif('v2006'!F:F,F92)</f>
        <v>0</v>
      </c>
      <c r="W92" s="22">
        <f>countif('v2002'!F:F,F92)</f>
        <v>0</v>
      </c>
      <c r="X92" s="22">
        <f>countif('v1998'!F:F,F92)</f>
        <v>0</v>
      </c>
    </row>
    <row r="93">
      <c r="A93" s="21" t="str">
        <f t="shared" si="13"/>
        <v>electron mag. mom.</v>
      </c>
      <c r="B93" s="6" t="s">
        <v>978</v>
      </c>
      <c r="D93" s="13" t="s">
        <v>979</v>
      </c>
      <c r="E93" s="13" t="s">
        <v>714</v>
      </c>
      <c r="F93" s="22" t="str">
        <f t="shared" si="9"/>
        <v>ElectronMagneticMoment</v>
      </c>
      <c r="G93" s="6" t="s">
        <v>980</v>
      </c>
      <c r="H93" s="6" t="s">
        <v>981</v>
      </c>
      <c r="I93" s="6"/>
      <c r="J93" s="6" t="s">
        <v>717</v>
      </c>
      <c r="K93" s="14" t="str">
        <f t="shared" si="3"/>
        <v>https://w3id.org/uom/J.T-1</v>
      </c>
      <c r="L93" s="13" t="s">
        <v>293</v>
      </c>
      <c r="M93" s="23">
        <f>countif(Quantities!A:A,L93)</f>
        <v>1</v>
      </c>
      <c r="N93" s="24" t="b">
        <f t="shared" si="4"/>
        <v>1</v>
      </c>
      <c r="O93" s="6" t="s">
        <v>982</v>
      </c>
      <c r="P93" s="22" t="b">
        <f t="shared" si="5"/>
        <v>1</v>
      </c>
      <c r="Q93" s="22" t="b">
        <f t="shared" si="12"/>
        <v>1</v>
      </c>
      <c r="R93" s="22">
        <f>countif('v2022'!F:F,F93)</f>
        <v>1</v>
      </c>
      <c r="S93" s="22">
        <f>countif('v2018'!F:F,F93)</f>
        <v>1</v>
      </c>
      <c r="T93" s="22">
        <f>countif('v2014'!F:F,F93)</f>
        <v>1</v>
      </c>
      <c r="U93" s="22">
        <f>countif('v2010'!F:F,F93)</f>
        <v>1</v>
      </c>
      <c r="V93" s="22">
        <f>countif('v2006'!F:F,F93)</f>
        <v>1</v>
      </c>
      <c r="W93" s="22">
        <f>countif('v2002'!F:F,F93)</f>
        <v>1</v>
      </c>
      <c r="X93" s="22">
        <f>countif('v1998'!F:F,F93)</f>
        <v>1</v>
      </c>
    </row>
    <row r="94">
      <c r="A94" s="21" t="str">
        <f t="shared" si="13"/>
        <v>electron mag. mom. anomaly</v>
      </c>
      <c r="B94" s="6" t="s">
        <v>983</v>
      </c>
      <c r="C94" s="6"/>
      <c r="D94" s="13" t="s">
        <v>984</v>
      </c>
      <c r="F94" s="22" t="str">
        <f t="shared" si="9"/>
        <v>ElectronMagneticMomentAnomaly</v>
      </c>
      <c r="G94" s="6" t="s">
        <v>985</v>
      </c>
      <c r="H94" s="6" t="s">
        <v>986</v>
      </c>
      <c r="I94" s="6"/>
      <c r="J94" s="6"/>
      <c r="K94" s="13" t="str">
        <f t="shared" si="3"/>
        <v/>
      </c>
      <c r="L94" s="13" t="s">
        <v>294</v>
      </c>
      <c r="M94" s="23">
        <f>countif(Quantities!A:A,L94)</f>
        <v>1</v>
      </c>
      <c r="N94" s="24" t="b">
        <f t="shared" si="4"/>
        <v>1</v>
      </c>
      <c r="O94" s="6" t="s">
        <v>987</v>
      </c>
      <c r="P94" s="22" t="b">
        <f t="shared" si="5"/>
        <v>1</v>
      </c>
      <c r="Q94" s="22" t="b">
        <f t="shared" si="12"/>
        <v>1</v>
      </c>
      <c r="R94" s="22">
        <f>countif('v2022'!F:F,F94)</f>
        <v>1</v>
      </c>
      <c r="S94" s="22">
        <f>countif('v2018'!F:F,F94)</f>
        <v>1</v>
      </c>
      <c r="T94" s="22">
        <f>countif('v2014'!F:F,F94)</f>
        <v>1</v>
      </c>
      <c r="U94" s="22">
        <f>countif('v2010'!F:F,F94)</f>
        <v>1</v>
      </c>
      <c r="V94" s="22">
        <f>countif('v2006'!F:F,F94)</f>
        <v>1</v>
      </c>
      <c r="W94" s="22">
        <f>countif('v2002'!F:F,F94)</f>
        <v>1</v>
      </c>
      <c r="X94" s="22">
        <f>countif('v1998'!F:F,F94)</f>
        <v>1</v>
      </c>
    </row>
    <row r="95">
      <c r="A95" s="21" t="str">
        <f t="shared" si="13"/>
        <v>electron mag. mom. to Bohr magneton ratio</v>
      </c>
      <c r="B95" s="6" t="s">
        <v>988</v>
      </c>
      <c r="D95" s="13" t="s">
        <v>989</v>
      </c>
      <c r="F95" s="22" t="str">
        <f t="shared" si="9"/>
        <v>ElectronMagneticMomentToBohrMagnetonRatio</v>
      </c>
      <c r="G95" s="6" t="s">
        <v>990</v>
      </c>
      <c r="H95" s="6" t="s">
        <v>991</v>
      </c>
      <c r="I95" s="6"/>
      <c r="J95" s="6"/>
      <c r="K95" s="13" t="str">
        <f t="shared" si="3"/>
        <v/>
      </c>
      <c r="L95" s="13" t="s">
        <v>295</v>
      </c>
      <c r="M95" s="23">
        <f>countif(Quantities!A:A,L95)</f>
        <v>1</v>
      </c>
      <c r="N95" s="24" t="b">
        <f t="shared" si="4"/>
        <v>1</v>
      </c>
      <c r="O95" s="6" t="s">
        <v>992</v>
      </c>
      <c r="P95" s="22" t="b">
        <f t="shared" si="5"/>
        <v>1</v>
      </c>
      <c r="Q95" s="22" t="b">
        <f t="shared" si="12"/>
        <v>1</v>
      </c>
      <c r="R95" s="22">
        <f>countif('v2022'!F:F,F95)</f>
        <v>1</v>
      </c>
      <c r="S95" s="22">
        <f>countif('v2018'!F:F,F95)</f>
        <v>1</v>
      </c>
      <c r="T95" s="22">
        <f>countif('v2014'!F:F,F95)</f>
        <v>1</v>
      </c>
      <c r="U95" s="22">
        <f>countif('v2010'!F:F,F95)</f>
        <v>1</v>
      </c>
      <c r="V95" s="22">
        <f>countif('v2006'!F:F,F95)</f>
        <v>1</v>
      </c>
      <c r="W95" s="22">
        <f>countif('v2002'!F:F,F95)</f>
        <v>1</v>
      </c>
      <c r="X95" s="22">
        <f>countif('v1998'!F:F,F95)</f>
        <v>1</v>
      </c>
    </row>
    <row r="96">
      <c r="A96" s="21" t="str">
        <f t="shared" si="13"/>
        <v>electron mag. mom. to nuclear magneton ratio</v>
      </c>
      <c r="B96" s="6" t="s">
        <v>993</v>
      </c>
      <c r="D96" s="13" t="s">
        <v>994</v>
      </c>
      <c r="F96" s="22" t="str">
        <f t="shared" si="9"/>
        <v>ElectronMagneticMomentToNuclearMagnetonRatio</v>
      </c>
      <c r="G96" s="6" t="s">
        <v>995</v>
      </c>
      <c r="H96" s="6" t="s">
        <v>996</v>
      </c>
      <c r="I96" s="6"/>
      <c r="J96" s="6"/>
      <c r="K96" s="13" t="str">
        <f t="shared" si="3"/>
        <v/>
      </c>
      <c r="L96" s="13" t="s">
        <v>296</v>
      </c>
      <c r="M96" s="23">
        <f>countif(Quantities!A:A,L96)</f>
        <v>1</v>
      </c>
      <c r="N96" s="24" t="b">
        <f t="shared" si="4"/>
        <v>1</v>
      </c>
      <c r="O96" s="6" t="s">
        <v>997</v>
      </c>
      <c r="P96" s="22" t="b">
        <f t="shared" si="5"/>
        <v>1</v>
      </c>
      <c r="Q96" s="22" t="b">
        <f t="shared" si="12"/>
        <v>1</v>
      </c>
      <c r="R96" s="22">
        <f>countif('v2022'!F:F,F96)</f>
        <v>1</v>
      </c>
      <c r="S96" s="22">
        <f>countif('v2018'!F:F,F96)</f>
        <v>1</v>
      </c>
      <c r="T96" s="22">
        <f>countif('v2014'!F:F,F96)</f>
        <v>1</v>
      </c>
      <c r="U96" s="22">
        <f>countif('v2010'!F:F,F96)</f>
        <v>1</v>
      </c>
      <c r="V96" s="22">
        <f>countif('v2006'!F:F,F96)</f>
        <v>1</v>
      </c>
      <c r="W96" s="22">
        <f>countif('v2002'!F:F,F96)</f>
        <v>1</v>
      </c>
      <c r="X96" s="22">
        <f>countif('v1998'!F:F,F96)</f>
        <v>1</v>
      </c>
    </row>
    <row r="97">
      <c r="A97" s="21" t="str">
        <f t="shared" si="13"/>
        <v>electron mass</v>
      </c>
      <c r="B97" s="6" t="s">
        <v>998</v>
      </c>
      <c r="D97" s="13" t="s">
        <v>999</v>
      </c>
      <c r="E97" s="13" t="s">
        <v>538</v>
      </c>
      <c r="F97" s="22" t="str">
        <f t="shared" si="9"/>
        <v>ElectronMass</v>
      </c>
      <c r="G97" s="6" t="s">
        <v>999</v>
      </c>
      <c r="H97" s="6" t="s">
        <v>1000</v>
      </c>
      <c r="I97" s="6" t="s">
        <v>1001</v>
      </c>
      <c r="J97" s="6" t="s">
        <v>538</v>
      </c>
      <c r="K97" s="14" t="str">
        <f t="shared" si="3"/>
        <v>https://w3id.org/uom/kg</v>
      </c>
      <c r="L97" s="13" t="s">
        <v>167</v>
      </c>
      <c r="M97" s="23">
        <f>countif(Quantities!A:A,L97)</f>
        <v>1</v>
      </c>
      <c r="N97" s="24" t="b">
        <f t="shared" si="4"/>
        <v>1</v>
      </c>
      <c r="O97" s="6" t="s">
        <v>1002</v>
      </c>
      <c r="P97" s="22" t="b">
        <f t="shared" si="5"/>
        <v>1</v>
      </c>
      <c r="Q97" s="22" t="b">
        <f t="shared" si="12"/>
        <v>1</v>
      </c>
      <c r="R97" s="22">
        <f>countif('v2022'!F:F,F97)</f>
        <v>1</v>
      </c>
      <c r="S97" s="22">
        <f>countif('v2018'!F:F,F97)</f>
        <v>1</v>
      </c>
      <c r="T97" s="22">
        <f>countif('v2014'!F:F,F97)</f>
        <v>1</v>
      </c>
      <c r="U97" s="22">
        <f>countif('v2010'!F:F,F97)</f>
        <v>1</v>
      </c>
      <c r="V97" s="22">
        <f>countif('v2006'!F:F,F97)</f>
        <v>1</v>
      </c>
      <c r="W97" s="22">
        <f>countif('v2002'!F:F,F97)</f>
        <v>1</v>
      </c>
      <c r="X97" s="22">
        <f>countif('v1998'!F:F,F97)</f>
        <v>1</v>
      </c>
    </row>
    <row r="98">
      <c r="A98" s="21" t="str">
        <f t="shared" si="13"/>
        <v>electron mass energy equivalent</v>
      </c>
      <c r="B98" s="6" t="s">
        <v>1003</v>
      </c>
      <c r="D98" s="13" t="s">
        <v>1004</v>
      </c>
      <c r="E98" s="13" t="s">
        <v>543</v>
      </c>
      <c r="F98" s="22" t="str">
        <f t="shared" si="9"/>
        <v>ElectronMassEnergyEquivalent</v>
      </c>
      <c r="G98" s="6" t="s">
        <v>1004</v>
      </c>
      <c r="H98" s="6" t="s">
        <v>1005</v>
      </c>
      <c r="I98" s="6"/>
      <c r="J98" s="6" t="s">
        <v>543</v>
      </c>
      <c r="K98" s="14" t="str">
        <f t="shared" si="3"/>
        <v>https://w3id.org/uom/J</v>
      </c>
      <c r="L98" s="13" t="s">
        <v>167</v>
      </c>
      <c r="M98" s="23">
        <f>countif(Quantities!A:A,L98)</f>
        <v>1</v>
      </c>
      <c r="N98" s="24" t="b">
        <f t="shared" si="4"/>
        <v>0</v>
      </c>
      <c r="O98" s="6" t="s">
        <v>1006</v>
      </c>
      <c r="P98" s="22" t="b">
        <f t="shared" si="5"/>
        <v>1</v>
      </c>
      <c r="Q98" s="22" t="b">
        <f t="shared" si="12"/>
        <v>1</v>
      </c>
      <c r="R98" s="22">
        <f>countif('v2022'!F:F,F98)</f>
        <v>1</v>
      </c>
      <c r="S98" s="22">
        <f>countif('v2018'!F:F,F98)</f>
        <v>1</v>
      </c>
      <c r="T98" s="22">
        <f>countif('v2014'!F:F,F98)</f>
        <v>1</v>
      </c>
      <c r="U98" s="22">
        <f>countif('v2010'!F:F,F98)</f>
        <v>1</v>
      </c>
      <c r="V98" s="22">
        <f>countif('v2006'!F:F,F98)</f>
        <v>1</v>
      </c>
      <c r="W98" s="22">
        <f>countif('v2002'!F:F,F98)</f>
        <v>1</v>
      </c>
      <c r="X98" s="22">
        <f>countif('v1998'!F:F,F98)</f>
        <v>1</v>
      </c>
    </row>
    <row r="99">
      <c r="A99" s="21" t="str">
        <f t="shared" si="13"/>
        <v>electron mass energy equivalent in MeV</v>
      </c>
      <c r="B99" s="6" t="s">
        <v>1007</v>
      </c>
      <c r="D99" s="13" t="s">
        <v>1008</v>
      </c>
      <c r="E99" s="13" t="s">
        <v>548</v>
      </c>
      <c r="F99" s="22" t="str">
        <f t="shared" si="9"/>
        <v>ElectronMassEnergyEquivalentInMeV</v>
      </c>
      <c r="G99" s="6" t="s">
        <v>1008</v>
      </c>
      <c r="H99" s="6" t="s">
        <v>1005</v>
      </c>
      <c r="I99" s="6"/>
      <c r="J99" s="6" t="s">
        <v>548</v>
      </c>
      <c r="K99" s="14" t="str">
        <f t="shared" si="3"/>
        <v>https://w3id.org/uom/MeV</v>
      </c>
      <c r="L99" s="13" t="s">
        <v>167</v>
      </c>
      <c r="M99" s="23">
        <f>countif(Quantities!A:A,L99)</f>
        <v>1</v>
      </c>
      <c r="N99" s="24" t="b">
        <f t="shared" si="4"/>
        <v>0</v>
      </c>
      <c r="O99" s="6" t="s">
        <v>1009</v>
      </c>
      <c r="P99" s="22" t="b">
        <f t="shared" si="5"/>
        <v>1</v>
      </c>
      <c r="Q99" s="22" t="b">
        <f t="shared" si="12"/>
        <v>1</v>
      </c>
      <c r="R99" s="22">
        <f>countif('v2022'!F:F,F99)</f>
        <v>1</v>
      </c>
      <c r="S99" s="22">
        <f>countif('v2018'!F:F,F99)</f>
        <v>1</v>
      </c>
      <c r="T99" s="22">
        <f>countif('v2014'!F:F,F99)</f>
        <v>1</v>
      </c>
      <c r="U99" s="22">
        <f>countif('v2010'!F:F,F99)</f>
        <v>1</v>
      </c>
      <c r="V99" s="22">
        <f>countif('v2006'!F:F,F99)</f>
        <v>1</v>
      </c>
      <c r="W99" s="22">
        <f>countif('v2002'!F:F,F99)</f>
        <v>1</v>
      </c>
      <c r="X99" s="22">
        <f>countif('v1998'!F:F,F99)</f>
        <v>1</v>
      </c>
    </row>
    <row r="100">
      <c r="A100" s="21" t="str">
        <f t="shared" si="13"/>
        <v>electron mass in u</v>
      </c>
      <c r="B100" s="6" t="s">
        <v>1010</v>
      </c>
      <c r="D100" s="13" t="s">
        <v>1011</v>
      </c>
      <c r="E100" s="13" t="s">
        <v>553</v>
      </c>
      <c r="F100" s="22" t="str">
        <f t="shared" si="9"/>
        <v>ElectronMassInAtomicMassUnit</v>
      </c>
      <c r="G100" s="6" t="s">
        <v>1011</v>
      </c>
      <c r="H100" s="6" t="s">
        <v>1000</v>
      </c>
      <c r="I100" s="6"/>
      <c r="J100" s="6" t="s">
        <v>553</v>
      </c>
      <c r="K100" s="14" t="str">
        <f t="shared" si="3"/>
        <v>https://w3id.org/uom/u</v>
      </c>
      <c r="L100" s="13" t="s">
        <v>167</v>
      </c>
      <c r="M100" s="23">
        <f>countif(Quantities!A:A,L100)</f>
        <v>1</v>
      </c>
      <c r="N100" s="24" t="b">
        <f t="shared" si="4"/>
        <v>0</v>
      </c>
      <c r="O100" s="6" t="s">
        <v>1012</v>
      </c>
      <c r="P100" s="22" t="b">
        <f t="shared" si="5"/>
        <v>1</v>
      </c>
      <c r="Q100" s="22" t="b">
        <f t="shared" si="12"/>
        <v>1</v>
      </c>
      <c r="R100" s="22">
        <f>countif('v2022'!F:F,F100)</f>
        <v>1</v>
      </c>
      <c r="S100" s="22">
        <f>countif('v2018'!F:F,F100)</f>
        <v>1</v>
      </c>
      <c r="T100" s="22">
        <f>countif('v2014'!F:F,F100)</f>
        <v>1</v>
      </c>
      <c r="U100" s="22">
        <f>countif('v2010'!F:F,F100)</f>
        <v>1</v>
      </c>
      <c r="V100" s="22">
        <f>countif('v2006'!F:F,F100)</f>
        <v>1</v>
      </c>
      <c r="W100" s="22">
        <f>countif('v2002'!F:F,F100)</f>
        <v>1</v>
      </c>
      <c r="X100" s="22">
        <f>countif('v1998'!F:F,F100)</f>
        <v>1</v>
      </c>
    </row>
    <row r="101">
      <c r="A101" s="21" t="str">
        <f t="shared" si="13"/>
        <v>electron molar mass</v>
      </c>
      <c r="B101" s="6" t="s">
        <v>1013</v>
      </c>
      <c r="D101" s="13" t="s">
        <v>1014</v>
      </c>
      <c r="E101" s="13" t="s">
        <v>557</v>
      </c>
      <c r="F101" s="22" t="str">
        <f t="shared" si="9"/>
        <v>ElectronMolarMass</v>
      </c>
      <c r="G101" s="6" t="s">
        <v>1014</v>
      </c>
      <c r="H101" s="6" t="s">
        <v>1015</v>
      </c>
      <c r="I101" s="6"/>
      <c r="J101" s="6" t="s">
        <v>559</v>
      </c>
      <c r="K101" s="14" t="str">
        <f t="shared" si="3"/>
        <v>https://w3id.org/uom/kg.mol-1</v>
      </c>
      <c r="L101" s="13" t="s">
        <v>297</v>
      </c>
      <c r="M101" s="23">
        <f>countif(Quantities!A:A,L101)</f>
        <v>1</v>
      </c>
      <c r="N101" s="24" t="b">
        <f t="shared" si="4"/>
        <v>1</v>
      </c>
      <c r="O101" s="6" t="s">
        <v>1016</v>
      </c>
      <c r="P101" s="22" t="b">
        <f t="shared" si="5"/>
        <v>1</v>
      </c>
      <c r="Q101" s="22" t="b">
        <f t="shared" si="12"/>
        <v>1</v>
      </c>
      <c r="R101" s="22">
        <f>countif('v2022'!F:F,F101)</f>
        <v>1</v>
      </c>
      <c r="S101" s="22">
        <f>countif('v2018'!F:F,F101)</f>
        <v>1</v>
      </c>
      <c r="T101" s="22">
        <f>countif('v2014'!F:F,F101)</f>
        <v>1</v>
      </c>
      <c r="U101" s="22">
        <f>countif('v2010'!F:F,F101)</f>
        <v>1</v>
      </c>
      <c r="V101" s="22">
        <f>countif('v2006'!F:F,F101)</f>
        <v>1</v>
      </c>
      <c r="W101" s="22">
        <f>countif('v2002'!F:F,F101)</f>
        <v>1</v>
      </c>
      <c r="X101" s="22">
        <f>countif('v1998'!F:F,F101)</f>
        <v>1</v>
      </c>
    </row>
    <row r="102">
      <c r="A102" s="21" t="str">
        <f t="shared" si="13"/>
        <v>electron-muon mag. mom. ratio</v>
      </c>
      <c r="B102" s="6" t="s">
        <v>1017</v>
      </c>
      <c r="D102" s="13" t="s">
        <v>1018</v>
      </c>
      <c r="F102" s="22" t="str">
        <f t="shared" si="9"/>
        <v>ElectronMuonMagneticMomentRatio</v>
      </c>
      <c r="G102" s="6" t="s">
        <v>1019</v>
      </c>
      <c r="H102" s="6" t="s">
        <v>1020</v>
      </c>
      <c r="I102" s="6"/>
      <c r="J102" s="6"/>
      <c r="K102" s="13" t="str">
        <f t="shared" si="3"/>
        <v/>
      </c>
      <c r="L102" s="13" t="s">
        <v>298</v>
      </c>
      <c r="M102" s="23">
        <f>countif(Quantities!A:A,L102)</f>
        <v>1</v>
      </c>
      <c r="N102" s="24" t="b">
        <f t="shared" si="4"/>
        <v>1</v>
      </c>
      <c r="O102" s="6" t="s">
        <v>1021</v>
      </c>
      <c r="P102" s="22" t="b">
        <f t="shared" si="5"/>
        <v>1</v>
      </c>
      <c r="Q102" s="22" t="b">
        <f t="shared" si="12"/>
        <v>1</v>
      </c>
      <c r="R102" s="22">
        <f>countif('v2022'!F:F,F102)</f>
        <v>1</v>
      </c>
      <c r="S102" s="22">
        <f>countif('v2018'!F:F,F102)</f>
        <v>1</v>
      </c>
      <c r="T102" s="22">
        <f>countif('v2014'!F:F,F102)</f>
        <v>1</v>
      </c>
      <c r="U102" s="22">
        <f>countif('v2010'!F:F,F102)</f>
        <v>1</v>
      </c>
      <c r="V102" s="22">
        <f>countif('v2006'!F:F,F102)</f>
        <v>1</v>
      </c>
      <c r="W102" s="22">
        <f>countif('v2002'!F:F,F102)</f>
        <v>1</v>
      </c>
      <c r="X102" s="22">
        <f>countif('v1998'!F:F,F102)</f>
        <v>1</v>
      </c>
    </row>
    <row r="103">
      <c r="A103" s="21" t="str">
        <f t="shared" si="13"/>
        <v>electron-muon mass ratio</v>
      </c>
      <c r="B103" s="6" t="s">
        <v>1022</v>
      </c>
      <c r="D103" s="13" t="s">
        <v>1023</v>
      </c>
      <c r="F103" s="22" t="str">
        <f t="shared" si="9"/>
        <v>ElectronMuonMassRatio</v>
      </c>
      <c r="G103" s="6" t="s">
        <v>1024</v>
      </c>
      <c r="H103" s="6" t="s">
        <v>1025</v>
      </c>
      <c r="I103" s="6"/>
      <c r="J103" s="6"/>
      <c r="K103" s="13" t="str">
        <f t="shared" si="3"/>
        <v/>
      </c>
      <c r="L103" s="13" t="s">
        <v>299</v>
      </c>
      <c r="M103" s="23">
        <f>countif(Quantities!A:A,L103)</f>
        <v>1</v>
      </c>
      <c r="N103" s="24" t="b">
        <f t="shared" si="4"/>
        <v>1</v>
      </c>
      <c r="O103" s="6" t="s">
        <v>1026</v>
      </c>
      <c r="P103" s="22" t="b">
        <f t="shared" si="5"/>
        <v>1</v>
      </c>
      <c r="Q103" s="22" t="b">
        <f t="shared" si="12"/>
        <v>1</v>
      </c>
      <c r="R103" s="22">
        <f>countif('v2022'!F:F,F103)</f>
        <v>1</v>
      </c>
      <c r="S103" s="22">
        <f>countif('v2018'!F:F,F103)</f>
        <v>1</v>
      </c>
      <c r="T103" s="22">
        <f>countif('v2014'!F:F,F103)</f>
        <v>1</v>
      </c>
      <c r="U103" s="22">
        <f>countif('v2010'!F:F,F103)</f>
        <v>1</v>
      </c>
      <c r="V103" s="22">
        <f>countif('v2006'!F:F,F103)</f>
        <v>1</v>
      </c>
      <c r="W103" s="22">
        <f>countif('v2002'!F:F,F103)</f>
        <v>1</v>
      </c>
      <c r="X103" s="22">
        <f>countif('v1998'!F:F,F103)</f>
        <v>1</v>
      </c>
    </row>
    <row r="104">
      <c r="A104" s="21" t="str">
        <f t="shared" si="13"/>
        <v>electron-neutron mag. mom. ratio</v>
      </c>
      <c r="B104" s="6" t="s">
        <v>1027</v>
      </c>
      <c r="D104" s="13" t="s">
        <v>1028</v>
      </c>
      <c r="F104" s="22" t="str">
        <f t="shared" si="9"/>
        <v>ElectronNeutronMagneticMomentRatio</v>
      </c>
      <c r="G104" s="6" t="s">
        <v>1029</v>
      </c>
      <c r="H104" s="6" t="s">
        <v>1030</v>
      </c>
      <c r="I104" s="6"/>
      <c r="J104" s="6"/>
      <c r="K104" s="13" t="str">
        <f t="shared" si="3"/>
        <v/>
      </c>
      <c r="L104" s="13" t="s">
        <v>300</v>
      </c>
      <c r="M104" s="23">
        <f>countif(Quantities!A:A,L104)</f>
        <v>1</v>
      </c>
      <c r="N104" s="24" t="b">
        <f t="shared" si="4"/>
        <v>1</v>
      </c>
      <c r="O104" s="6" t="s">
        <v>1031</v>
      </c>
      <c r="P104" s="22" t="b">
        <f t="shared" si="5"/>
        <v>1</v>
      </c>
      <c r="Q104" s="22" t="b">
        <f t="shared" si="12"/>
        <v>1</v>
      </c>
      <c r="R104" s="22">
        <f>countif('v2022'!F:F,F104)</f>
        <v>1</v>
      </c>
      <c r="S104" s="22">
        <f>countif('v2018'!F:F,F104)</f>
        <v>1</v>
      </c>
      <c r="T104" s="22">
        <f>countif('v2014'!F:F,F104)</f>
        <v>1</v>
      </c>
      <c r="U104" s="22">
        <f>countif('v2010'!F:F,F104)</f>
        <v>1</v>
      </c>
      <c r="V104" s="22">
        <f>countif('v2006'!F:F,F104)</f>
        <v>1</v>
      </c>
      <c r="W104" s="22">
        <f>countif('v2002'!F:F,F104)</f>
        <v>1</v>
      </c>
      <c r="X104" s="22">
        <f>countif('v1998'!F:F,F104)</f>
        <v>1</v>
      </c>
    </row>
    <row r="105">
      <c r="A105" s="21" t="str">
        <f t="shared" si="13"/>
        <v>electron-neutron mass ratio</v>
      </c>
      <c r="B105" s="6" t="s">
        <v>1032</v>
      </c>
      <c r="D105" s="13" t="s">
        <v>1033</v>
      </c>
      <c r="F105" s="22" t="str">
        <f t="shared" si="9"/>
        <v>ElectronNeutronMassRatio</v>
      </c>
      <c r="G105" s="6" t="s">
        <v>1034</v>
      </c>
      <c r="H105" s="6" t="s">
        <v>1035</v>
      </c>
      <c r="I105" s="6"/>
      <c r="J105" s="6"/>
      <c r="K105" s="13" t="str">
        <f t="shared" si="3"/>
        <v/>
      </c>
      <c r="L105" s="13" t="s">
        <v>301</v>
      </c>
      <c r="M105" s="23">
        <f>countif(Quantities!A:A,L105)</f>
        <v>1</v>
      </c>
      <c r="N105" s="24" t="b">
        <f t="shared" si="4"/>
        <v>1</v>
      </c>
      <c r="O105" s="6" t="s">
        <v>1036</v>
      </c>
      <c r="P105" s="22" t="b">
        <f t="shared" si="5"/>
        <v>1</v>
      </c>
      <c r="Q105" s="22" t="b">
        <f t="shared" si="12"/>
        <v>1</v>
      </c>
      <c r="R105" s="22">
        <f>countif('v2022'!F:F,F105)</f>
        <v>1</v>
      </c>
      <c r="S105" s="22">
        <f>countif('v2018'!F:F,F105)</f>
        <v>1</v>
      </c>
      <c r="T105" s="22">
        <f>countif('v2014'!F:F,F105)</f>
        <v>1</v>
      </c>
      <c r="U105" s="22">
        <f>countif('v2010'!F:F,F105)</f>
        <v>1</v>
      </c>
      <c r="V105" s="22">
        <f>countif('v2006'!F:F,F105)</f>
        <v>1</v>
      </c>
      <c r="W105" s="22">
        <f>countif('v2002'!F:F,F105)</f>
        <v>1</v>
      </c>
      <c r="X105" s="22">
        <f>countif('v1998'!F:F,F105)</f>
        <v>1</v>
      </c>
    </row>
    <row r="106">
      <c r="A106" s="21" t="str">
        <f t="shared" si="13"/>
        <v>electron-proton mag. mom. ratio</v>
      </c>
      <c r="B106" s="6" t="s">
        <v>1037</v>
      </c>
      <c r="D106" s="13" t="s">
        <v>1038</v>
      </c>
      <c r="F106" s="22" t="str">
        <f t="shared" si="9"/>
        <v>ElectronProtonMagneticMomentRatio</v>
      </c>
      <c r="G106" s="6" t="s">
        <v>1039</v>
      </c>
      <c r="H106" s="6" t="s">
        <v>1040</v>
      </c>
      <c r="I106" s="6"/>
      <c r="J106" s="6"/>
      <c r="K106" s="13" t="str">
        <f t="shared" si="3"/>
        <v/>
      </c>
      <c r="L106" s="13" t="s">
        <v>302</v>
      </c>
      <c r="M106" s="23">
        <f>countif(Quantities!A:A,L106)</f>
        <v>1</v>
      </c>
      <c r="N106" s="24" t="b">
        <f t="shared" si="4"/>
        <v>1</v>
      </c>
      <c r="O106" s="6" t="s">
        <v>1041</v>
      </c>
      <c r="P106" s="22" t="b">
        <f t="shared" si="5"/>
        <v>1</v>
      </c>
      <c r="Q106" s="22" t="b">
        <f t="shared" si="12"/>
        <v>1</v>
      </c>
      <c r="R106" s="22">
        <f>countif('v2022'!F:F,F106)</f>
        <v>1</v>
      </c>
      <c r="S106" s="22">
        <f>countif('v2018'!F:F,F106)</f>
        <v>1</v>
      </c>
      <c r="T106" s="22">
        <f>countif('v2014'!F:F,F106)</f>
        <v>1</v>
      </c>
      <c r="U106" s="22">
        <f>countif('v2010'!F:F,F106)</f>
        <v>1</v>
      </c>
      <c r="V106" s="22">
        <f>countif('v2006'!F:F,F106)</f>
        <v>1</v>
      </c>
      <c r="W106" s="22">
        <f>countif('v2002'!F:F,F106)</f>
        <v>1</v>
      </c>
      <c r="X106" s="22">
        <f>countif('v1998'!F:F,F106)</f>
        <v>1</v>
      </c>
    </row>
    <row r="107">
      <c r="A107" s="21" t="str">
        <f t="shared" si="13"/>
        <v>electron-proton mass ratio</v>
      </c>
      <c r="B107" s="6" t="s">
        <v>1042</v>
      </c>
      <c r="D107" s="13" t="s">
        <v>1043</v>
      </c>
      <c r="F107" s="22" t="str">
        <f t="shared" si="9"/>
        <v>ElectronProtonMassRatio</v>
      </c>
      <c r="G107" s="6" t="s">
        <v>1044</v>
      </c>
      <c r="H107" s="6" t="s">
        <v>1045</v>
      </c>
      <c r="I107" s="6"/>
      <c r="J107" s="6"/>
      <c r="K107" s="13" t="str">
        <f t="shared" si="3"/>
        <v/>
      </c>
      <c r="L107" s="13" t="s">
        <v>303</v>
      </c>
      <c r="M107" s="23">
        <f>countif(Quantities!A:A,L107)</f>
        <v>1</v>
      </c>
      <c r="N107" s="24" t="b">
        <f t="shared" si="4"/>
        <v>1</v>
      </c>
      <c r="O107" s="6" t="s">
        <v>1046</v>
      </c>
      <c r="P107" s="22" t="b">
        <f t="shared" si="5"/>
        <v>1</v>
      </c>
      <c r="Q107" s="22" t="b">
        <f t="shared" si="12"/>
        <v>1</v>
      </c>
      <c r="R107" s="22">
        <f>countif('v2022'!F:F,F107)</f>
        <v>1</v>
      </c>
      <c r="S107" s="22">
        <f>countif('v2018'!F:F,F107)</f>
        <v>1</v>
      </c>
      <c r="T107" s="22">
        <f>countif('v2014'!F:F,F107)</f>
        <v>1</v>
      </c>
      <c r="U107" s="22">
        <f>countif('v2010'!F:F,F107)</f>
        <v>1</v>
      </c>
      <c r="V107" s="22">
        <f>countif('v2006'!F:F,F107)</f>
        <v>1</v>
      </c>
      <c r="W107" s="22">
        <f>countif('v2002'!F:F,F107)</f>
        <v>1</v>
      </c>
      <c r="X107" s="22">
        <f>countif('v1998'!F:F,F107)</f>
        <v>1</v>
      </c>
    </row>
    <row r="108">
      <c r="A108" s="21" t="str">
        <f t="shared" si="13"/>
        <v>electron relative atomic mass</v>
      </c>
      <c r="B108" s="6" t="s">
        <v>1047</v>
      </c>
      <c r="C108" s="6"/>
      <c r="D108" s="13" t="s">
        <v>1048</v>
      </c>
      <c r="F108" s="22" t="str">
        <f t="shared" si="9"/>
        <v>ElectronRelativeAtomicMass</v>
      </c>
      <c r="G108" s="6" t="s">
        <v>1048</v>
      </c>
      <c r="H108" s="6" t="s">
        <v>1049</v>
      </c>
      <c r="K108" s="13" t="str">
        <f t="shared" si="3"/>
        <v/>
      </c>
      <c r="L108" s="13" t="s">
        <v>304</v>
      </c>
      <c r="M108" s="23">
        <f>countif(Quantities!A:A,L108)</f>
        <v>1</v>
      </c>
      <c r="N108" s="24" t="b">
        <f t="shared" si="4"/>
        <v>1</v>
      </c>
      <c r="P108" s="22" t="b">
        <f t="shared" si="5"/>
        <v>0</v>
      </c>
      <c r="Q108" s="22" t="b">
        <f t="shared" si="12"/>
        <v>1</v>
      </c>
      <c r="R108" s="22">
        <f>countif('v2022'!F:F,F108)</f>
        <v>1</v>
      </c>
      <c r="S108" s="22">
        <f>countif('v2018'!F:F,F108)</f>
        <v>1</v>
      </c>
      <c r="T108" s="22">
        <f>countif('v2014'!F:F,F108)</f>
        <v>0</v>
      </c>
      <c r="U108" s="22">
        <f>countif('v2010'!F:F,F108)</f>
        <v>0</v>
      </c>
      <c r="V108" s="22">
        <f>countif('v2006'!F:F,F108)</f>
        <v>0</v>
      </c>
      <c r="W108" s="22">
        <f>countif('v2002'!F:F,F108)</f>
        <v>0</v>
      </c>
      <c r="X108" s="22">
        <f>countif('v1998'!F:F,F108)</f>
        <v>0</v>
      </c>
    </row>
    <row r="109">
      <c r="A109" s="21" t="str">
        <f t="shared" si="13"/>
        <v>electron-tau mass ratio</v>
      </c>
      <c r="B109" s="6" t="s">
        <v>1050</v>
      </c>
      <c r="D109" s="13" t="s">
        <v>1051</v>
      </c>
      <c r="F109" s="22" t="str">
        <f t="shared" si="9"/>
        <v>ElectronTauMassRatio</v>
      </c>
      <c r="G109" s="6" t="s">
        <v>1051</v>
      </c>
      <c r="H109" s="6" t="s">
        <v>1052</v>
      </c>
      <c r="I109" s="6"/>
      <c r="J109" s="6"/>
      <c r="K109" s="13" t="str">
        <f t="shared" si="3"/>
        <v/>
      </c>
      <c r="L109" s="13" t="s">
        <v>305</v>
      </c>
      <c r="M109" s="23">
        <f>countif(Quantities!A:A,L109)</f>
        <v>1</v>
      </c>
      <c r="N109" s="24" t="b">
        <f t="shared" si="4"/>
        <v>1</v>
      </c>
      <c r="O109" s="6" t="s">
        <v>1053</v>
      </c>
      <c r="P109" s="22" t="b">
        <f t="shared" si="5"/>
        <v>1</v>
      </c>
      <c r="Q109" s="22" t="b">
        <f t="shared" si="12"/>
        <v>1</v>
      </c>
      <c r="R109" s="22">
        <f>countif('v2022'!F:F,F109)</f>
        <v>1</v>
      </c>
      <c r="S109" s="22">
        <f>countif('v2018'!F:F,F109)</f>
        <v>1</v>
      </c>
      <c r="T109" s="22">
        <f>countif('v2014'!F:F,F109)</f>
        <v>1</v>
      </c>
      <c r="U109" s="22">
        <f>countif('v2010'!F:F,F109)</f>
        <v>1</v>
      </c>
      <c r="V109" s="22">
        <f>countif('v2006'!F:F,F109)</f>
        <v>1</v>
      </c>
      <c r="W109" s="22">
        <f>countif('v2002'!F:F,F109)</f>
        <v>1</v>
      </c>
      <c r="X109" s="22">
        <f>countif('v1998'!F:F,F109)</f>
        <v>1</v>
      </c>
    </row>
    <row r="110">
      <c r="A110" s="21" t="str">
        <f t="shared" si="13"/>
        <v>electron to alpha particle mass ratio</v>
      </c>
      <c r="B110" s="6" t="s">
        <v>1054</v>
      </c>
      <c r="D110" s="13" t="s">
        <v>1055</v>
      </c>
      <c r="F110" s="22" t="str">
        <f t="shared" si="9"/>
        <v>ElectronToAlphaParticleMassRatio</v>
      </c>
      <c r="G110" s="6" t="s">
        <v>1055</v>
      </c>
      <c r="H110" s="6" t="s">
        <v>1056</v>
      </c>
      <c r="I110" s="6"/>
      <c r="J110" s="6"/>
      <c r="K110" s="13" t="str">
        <f t="shared" si="3"/>
        <v/>
      </c>
      <c r="L110" s="13" t="s">
        <v>306</v>
      </c>
      <c r="M110" s="23">
        <f>countif(Quantities!A:A,L110)</f>
        <v>1</v>
      </c>
      <c r="N110" s="24" t="b">
        <f t="shared" si="4"/>
        <v>1</v>
      </c>
      <c r="O110" s="6" t="s">
        <v>1057</v>
      </c>
      <c r="P110" s="22" t="b">
        <f t="shared" si="5"/>
        <v>1</v>
      </c>
      <c r="Q110" s="22" t="b">
        <f t="shared" si="12"/>
        <v>1</v>
      </c>
      <c r="R110" s="22">
        <f>countif('v2022'!F:F,F110)</f>
        <v>1</v>
      </c>
      <c r="S110" s="22">
        <f>countif('v2018'!F:F,F110)</f>
        <v>1</v>
      </c>
      <c r="T110" s="22">
        <f>countif('v2014'!F:F,F110)</f>
        <v>1</v>
      </c>
      <c r="U110" s="22">
        <f>countif('v2010'!F:F,F110)</f>
        <v>1</v>
      </c>
      <c r="V110" s="22">
        <f>countif('v2006'!F:F,F110)</f>
        <v>1</v>
      </c>
      <c r="W110" s="22">
        <f>countif('v2002'!F:F,F110)</f>
        <v>1</v>
      </c>
      <c r="X110" s="22">
        <f>countif('v1998'!F:F,F110)</f>
        <v>1</v>
      </c>
    </row>
    <row r="111">
      <c r="A111" s="21" t="str">
        <f t="shared" si="13"/>
        <v>electron to shielded helion mag. mom. ratio</v>
      </c>
      <c r="B111" s="6" t="s">
        <v>1058</v>
      </c>
      <c r="D111" s="13" t="s">
        <v>1059</v>
      </c>
      <c r="F111" s="22" t="str">
        <f t="shared" si="9"/>
        <v>ElectronToShieldedHelionMagneticMomentRatio</v>
      </c>
      <c r="G111" s="6" t="s">
        <v>1060</v>
      </c>
      <c r="H111" s="6" t="s">
        <v>1061</v>
      </c>
      <c r="I111" s="6"/>
      <c r="J111" s="6"/>
      <c r="K111" s="13" t="str">
        <f t="shared" si="3"/>
        <v/>
      </c>
      <c r="L111" s="13" t="s">
        <v>307</v>
      </c>
      <c r="M111" s="23">
        <f>countif(Quantities!A:A,L111)</f>
        <v>1</v>
      </c>
      <c r="N111" s="24" t="b">
        <f t="shared" si="4"/>
        <v>1</v>
      </c>
      <c r="O111" s="6" t="s">
        <v>1062</v>
      </c>
      <c r="P111" s="22" t="b">
        <f t="shared" si="5"/>
        <v>1</v>
      </c>
      <c r="Q111" s="22" t="b">
        <f t="shared" si="12"/>
        <v>1</v>
      </c>
      <c r="R111" s="22">
        <f>countif('v2022'!F:F,F111)</f>
        <v>1</v>
      </c>
      <c r="S111" s="22">
        <f>countif('v2018'!F:F,F111)</f>
        <v>1</v>
      </c>
      <c r="T111" s="22">
        <f>countif('v2014'!F:F,F111)</f>
        <v>1</v>
      </c>
      <c r="U111" s="22">
        <f>countif('v2010'!F:F,F111)</f>
        <v>1</v>
      </c>
      <c r="V111" s="22">
        <f>countif('v2006'!F:F,F111)</f>
        <v>1</v>
      </c>
      <c r="W111" s="22">
        <f>countif('v2002'!F:F,F111)</f>
        <v>1</v>
      </c>
      <c r="X111" s="22">
        <f>countif('v1998'!F:F,F111)</f>
        <v>1</v>
      </c>
    </row>
    <row r="112">
      <c r="A112" s="21" t="str">
        <f t="shared" si="13"/>
        <v>electron to shielded proton mag. mom. ratio</v>
      </c>
      <c r="B112" s="6" t="s">
        <v>1063</v>
      </c>
      <c r="D112" s="13" t="s">
        <v>1064</v>
      </c>
      <c r="F112" s="22" t="str">
        <f t="shared" si="9"/>
        <v>ElectronToShieldedProtonMagneticMomentRatio</v>
      </c>
      <c r="G112" s="6" t="s">
        <v>1065</v>
      </c>
      <c r="H112" s="6" t="s">
        <v>1066</v>
      </c>
      <c r="I112" s="6"/>
      <c r="J112" s="6"/>
      <c r="K112" s="13" t="str">
        <f t="shared" si="3"/>
        <v/>
      </c>
      <c r="L112" s="13" t="s">
        <v>308</v>
      </c>
      <c r="M112" s="23">
        <f>countif(Quantities!A:A,L112)</f>
        <v>1</v>
      </c>
      <c r="N112" s="24" t="b">
        <f t="shared" si="4"/>
        <v>1</v>
      </c>
      <c r="O112" s="6" t="s">
        <v>1067</v>
      </c>
      <c r="P112" s="22" t="b">
        <f t="shared" si="5"/>
        <v>1</v>
      </c>
      <c r="Q112" s="22" t="b">
        <f t="shared" si="12"/>
        <v>1</v>
      </c>
      <c r="R112" s="22">
        <f>countif('v2022'!F:F,F112)</f>
        <v>1</v>
      </c>
      <c r="S112" s="22">
        <f>countif('v2018'!F:F,F112)</f>
        <v>1</v>
      </c>
      <c r="T112" s="22">
        <f>countif('v2014'!F:F,F112)</f>
        <v>1</v>
      </c>
      <c r="U112" s="22">
        <f>countif('v2010'!F:F,F112)</f>
        <v>1</v>
      </c>
      <c r="V112" s="22">
        <f>countif('v2006'!F:F,F112)</f>
        <v>1</v>
      </c>
      <c r="W112" s="22">
        <f>countif('v2002'!F:F,F112)</f>
        <v>1</v>
      </c>
      <c r="X112" s="22">
        <f>countif('v1998'!F:F,F112)</f>
        <v>1</v>
      </c>
    </row>
    <row r="113">
      <c r="A113" s="21" t="str">
        <f t="shared" si="13"/>
        <v>electron-triton mass ratio</v>
      </c>
      <c r="B113" s="6" t="s">
        <v>1068</v>
      </c>
      <c r="D113" s="13" t="s">
        <v>1069</v>
      </c>
      <c r="F113" s="22" t="str">
        <f t="shared" si="9"/>
        <v>Electron-TritonMassRatio</v>
      </c>
      <c r="G113" s="6" t="s">
        <v>1070</v>
      </c>
      <c r="H113" s="6" t="s">
        <v>1071</v>
      </c>
      <c r="K113" s="13" t="str">
        <f t="shared" si="3"/>
        <v/>
      </c>
      <c r="L113" s="13" t="s">
        <v>309</v>
      </c>
      <c r="M113" s="23">
        <f>countif(Quantities!A:A,L113)</f>
        <v>1</v>
      </c>
      <c r="N113" s="24" t="b">
        <f t="shared" si="4"/>
        <v>1</v>
      </c>
      <c r="P113" s="22" t="b">
        <f t="shared" si="5"/>
        <v>0</v>
      </c>
      <c r="Q113" s="22" t="b">
        <f t="shared" si="12"/>
        <v>1</v>
      </c>
      <c r="R113" s="22">
        <f>countif('v2022'!F:F,F113)</f>
        <v>1</v>
      </c>
      <c r="S113" s="22">
        <f>countif('v2018'!F:F,F113)</f>
        <v>1</v>
      </c>
      <c r="T113" s="22">
        <f>countif('v2014'!F:F,F113)</f>
        <v>1</v>
      </c>
      <c r="U113" s="22">
        <f>countif('v2010'!F:F,F113)</f>
        <v>1</v>
      </c>
      <c r="V113" s="22">
        <f>countif('v2006'!F:F,F113)</f>
        <v>0</v>
      </c>
      <c r="W113" s="22">
        <f>countif('v2002'!F:F,F113)</f>
        <v>0</v>
      </c>
      <c r="X113" s="22">
        <f>countif('v1998'!F:F,F113)</f>
        <v>0</v>
      </c>
    </row>
    <row r="114">
      <c r="A114" s="21" t="str">
        <f t="shared" si="13"/>
        <v>electron volt</v>
      </c>
      <c r="B114" s="6" t="s">
        <v>1072</v>
      </c>
      <c r="D114" s="13" t="s">
        <v>1073</v>
      </c>
      <c r="E114" s="13" t="s">
        <v>543</v>
      </c>
      <c r="F114" s="22" t="str">
        <f t="shared" si="9"/>
        <v>ElectronVolt</v>
      </c>
      <c r="G114" s="6" t="s">
        <v>1074</v>
      </c>
      <c r="H114" s="6" t="s">
        <v>1075</v>
      </c>
      <c r="I114" s="6"/>
      <c r="J114" s="6" t="s">
        <v>543</v>
      </c>
      <c r="K114" s="14" t="str">
        <f t="shared" si="3"/>
        <v>https://w3id.org/uom/J</v>
      </c>
      <c r="L114" s="13" t="s">
        <v>47</v>
      </c>
      <c r="M114" s="23">
        <f>countif(Quantities!A:A,L114)</f>
        <v>1</v>
      </c>
      <c r="N114" s="24" t="b">
        <f t="shared" si="4"/>
        <v>1</v>
      </c>
      <c r="P114" s="22" t="b">
        <f t="shared" si="5"/>
        <v>0</v>
      </c>
      <c r="Q114" s="22" t="b">
        <f t="shared" si="12"/>
        <v>1</v>
      </c>
      <c r="R114" s="22">
        <f>countif('v2022'!F:F,F114)</f>
        <v>1</v>
      </c>
      <c r="S114" s="22">
        <f>countif('v2018'!F:F,F114)</f>
        <v>1</v>
      </c>
      <c r="T114" s="22">
        <f>countif('v2014'!F:F,F114)</f>
        <v>1</v>
      </c>
      <c r="U114" s="22">
        <f>countif('v2010'!F:F,F114)</f>
        <v>1</v>
      </c>
      <c r="V114" s="22">
        <f>countif('v2006'!F:F,F114)</f>
        <v>1</v>
      </c>
      <c r="W114" s="22">
        <f>countif('v2002'!F:F,F114)</f>
        <v>1</v>
      </c>
      <c r="X114" s="22">
        <f>countif('v1998'!F:F,F114)</f>
        <v>1</v>
      </c>
    </row>
    <row r="115">
      <c r="A115" s="21" t="str">
        <f t="shared" si="13"/>
        <v>electron volt-atomic mass unit relationship</v>
      </c>
      <c r="B115" s="6" t="s">
        <v>1076</v>
      </c>
      <c r="C115" s="6" t="s">
        <v>1077</v>
      </c>
      <c r="D115" s="13" t="s">
        <v>1078</v>
      </c>
      <c r="E115" s="13" t="s">
        <v>553</v>
      </c>
      <c r="F115" s="22" t="str">
        <f t="shared" si="9"/>
        <v>ElectronVoltAtomicMassUnitRelationship</v>
      </c>
      <c r="G115" s="6" t="s">
        <v>1079</v>
      </c>
      <c r="H115" s="6" t="s">
        <v>1080</v>
      </c>
      <c r="I115" s="6"/>
      <c r="J115" s="6" t="s">
        <v>553</v>
      </c>
      <c r="K115" s="14" t="str">
        <f t="shared" si="3"/>
        <v>https://w3id.org/uom/u</v>
      </c>
      <c r="L115" s="13" t="s">
        <v>310</v>
      </c>
      <c r="M115" s="23">
        <f>countif(Quantities!A:A,L115)</f>
        <v>1</v>
      </c>
      <c r="N115" s="24" t="b">
        <f t="shared" si="4"/>
        <v>1</v>
      </c>
      <c r="O115" s="6" t="s">
        <v>1081</v>
      </c>
      <c r="P115" s="22" t="b">
        <f t="shared" si="5"/>
        <v>1</v>
      </c>
      <c r="Q115" s="22" t="b">
        <f t="shared" si="12"/>
        <v>1</v>
      </c>
      <c r="R115" s="22">
        <f>countif('v2022'!F:F,F115)</f>
        <v>1</v>
      </c>
      <c r="S115" s="22">
        <f>countif('v2018'!F:F,F115)</f>
        <v>1</v>
      </c>
      <c r="T115" s="22">
        <f>countif('v2014'!F:F,F115)</f>
        <v>1</v>
      </c>
      <c r="U115" s="22">
        <f>countif('v2010'!F:F,F115)</f>
        <v>1</v>
      </c>
      <c r="V115" s="22">
        <f>countif('v2006'!F:F,F115)</f>
        <v>1</v>
      </c>
      <c r="W115" s="22">
        <f>countif('v2002'!F:F,F115)</f>
        <v>1</v>
      </c>
      <c r="X115" s="22">
        <f>countif('v1998'!F:F,F115)</f>
        <v>1</v>
      </c>
    </row>
    <row r="116">
      <c r="A116" s="21" t="str">
        <f t="shared" si="13"/>
        <v>electron volt-hartree relationship</v>
      </c>
      <c r="B116" s="6" t="s">
        <v>1082</v>
      </c>
      <c r="C116" s="6" t="s">
        <v>1083</v>
      </c>
      <c r="D116" s="13" t="s">
        <v>1084</v>
      </c>
      <c r="E116" s="13" t="s">
        <v>593</v>
      </c>
      <c r="F116" s="22" t="str">
        <f t="shared" si="9"/>
        <v>ElectronVoltHartreeRelationship</v>
      </c>
      <c r="G116" s="6" t="s">
        <v>1085</v>
      </c>
      <c r="H116" s="6" t="s">
        <v>1086</v>
      </c>
      <c r="I116" s="6"/>
      <c r="J116" s="6" t="s">
        <v>596</v>
      </c>
      <c r="K116" s="13" t="str">
        <f t="shared" si="3"/>
        <v/>
      </c>
      <c r="L116" s="13" t="s">
        <v>311</v>
      </c>
      <c r="M116" s="23">
        <f>countif(Quantities!A:A,L116)</f>
        <v>1</v>
      </c>
      <c r="N116" s="24" t="b">
        <f t="shared" si="4"/>
        <v>1</v>
      </c>
      <c r="O116" s="6" t="s">
        <v>1087</v>
      </c>
      <c r="P116" s="22" t="b">
        <f t="shared" si="5"/>
        <v>1</v>
      </c>
      <c r="Q116" s="22" t="b">
        <f t="shared" si="12"/>
        <v>1</v>
      </c>
      <c r="R116" s="22">
        <f>countif('v2022'!F:F,F116)</f>
        <v>1</v>
      </c>
      <c r="S116" s="22">
        <f>countif('v2018'!F:F,F116)</f>
        <v>1</v>
      </c>
      <c r="T116" s="22">
        <f>countif('v2014'!F:F,F116)</f>
        <v>1</v>
      </c>
      <c r="U116" s="22">
        <f>countif('v2010'!F:F,F116)</f>
        <v>1</v>
      </c>
      <c r="V116" s="22">
        <f>countif('v2006'!F:F,F116)</f>
        <v>1</v>
      </c>
      <c r="W116" s="22">
        <f>countif('v2002'!F:F,F116)</f>
        <v>1</v>
      </c>
      <c r="X116" s="22">
        <f>countif('v1998'!F:F,F116)</f>
        <v>1</v>
      </c>
    </row>
    <row r="117">
      <c r="A117" s="21" t="str">
        <f t="shared" si="13"/>
        <v>electron volt-hertz relationship</v>
      </c>
      <c r="B117" s="6" t="s">
        <v>1088</v>
      </c>
      <c r="C117" s="6" t="s">
        <v>1089</v>
      </c>
      <c r="D117" s="13" t="s">
        <v>1090</v>
      </c>
      <c r="E117" s="13" t="s">
        <v>600</v>
      </c>
      <c r="F117" s="22" t="str">
        <f t="shared" si="9"/>
        <v>ElectronVoltHertzRelationship</v>
      </c>
      <c r="G117" s="6" t="s">
        <v>1091</v>
      </c>
      <c r="H117" s="6" t="s">
        <v>1092</v>
      </c>
      <c r="I117" s="6"/>
      <c r="J117" s="6" t="s">
        <v>600</v>
      </c>
      <c r="K117" s="14" t="str">
        <f t="shared" si="3"/>
        <v>https://w3id.org/uom/Hz</v>
      </c>
      <c r="L117" s="13" t="s">
        <v>312</v>
      </c>
      <c r="M117" s="23">
        <f>countif(Quantities!A:A,L117)</f>
        <v>1</v>
      </c>
      <c r="N117" s="24" t="b">
        <f t="shared" si="4"/>
        <v>1</v>
      </c>
      <c r="O117" s="6" t="s">
        <v>1093</v>
      </c>
      <c r="P117" s="22" t="b">
        <f t="shared" si="5"/>
        <v>1</v>
      </c>
      <c r="Q117" s="22" t="b">
        <f t="shared" si="12"/>
        <v>1</v>
      </c>
      <c r="R117" s="22">
        <f>countif('v2022'!F:F,F117)</f>
        <v>1</v>
      </c>
      <c r="S117" s="22">
        <f>countif('v2018'!F:F,F117)</f>
        <v>1</v>
      </c>
      <c r="T117" s="22">
        <f>countif('v2014'!F:F,F117)</f>
        <v>1</v>
      </c>
      <c r="U117" s="22">
        <f>countif('v2010'!F:F,F117)</f>
        <v>1</v>
      </c>
      <c r="V117" s="22">
        <f>countif('v2006'!F:F,F117)</f>
        <v>1</v>
      </c>
      <c r="W117" s="22">
        <f>countif('v2002'!F:F,F117)</f>
        <v>1</v>
      </c>
      <c r="X117" s="22">
        <f>countif('v1998'!F:F,F117)</f>
        <v>1</v>
      </c>
    </row>
    <row r="118">
      <c r="A118" s="21" t="str">
        <f t="shared" si="13"/>
        <v>electron volt-inverse meter relationship</v>
      </c>
      <c r="B118" s="6" t="s">
        <v>1094</v>
      </c>
      <c r="C118" s="6" t="s">
        <v>1095</v>
      </c>
      <c r="D118" s="13" t="s">
        <v>1096</v>
      </c>
      <c r="E118" s="13" t="s">
        <v>606</v>
      </c>
      <c r="F118" s="22" t="str">
        <f t="shared" si="9"/>
        <v>ElectronVoltInverseMeterRelationship</v>
      </c>
      <c r="G118" s="6" t="s">
        <v>1097</v>
      </c>
      <c r="H118" s="6" t="s">
        <v>1098</v>
      </c>
      <c r="I118" s="6"/>
      <c r="J118" s="6" t="s">
        <v>609</v>
      </c>
      <c r="K118" s="14" t="str">
        <f t="shared" si="3"/>
        <v>https://w3id.org/uom/m-1</v>
      </c>
      <c r="L118" s="13" t="s">
        <v>313</v>
      </c>
      <c r="M118" s="23">
        <f>countif(Quantities!A:A,L118)</f>
        <v>1</v>
      </c>
      <c r="N118" s="24" t="b">
        <f t="shared" si="4"/>
        <v>1</v>
      </c>
      <c r="O118" s="6" t="s">
        <v>1099</v>
      </c>
      <c r="P118" s="22" t="b">
        <f t="shared" si="5"/>
        <v>1</v>
      </c>
      <c r="Q118" s="22" t="b">
        <f t="shared" si="12"/>
        <v>1</v>
      </c>
      <c r="R118" s="22">
        <f>countif('v2022'!F:F,F118)</f>
        <v>1</v>
      </c>
      <c r="S118" s="22">
        <f>countif('v2018'!F:F,F118)</f>
        <v>1</v>
      </c>
      <c r="T118" s="22">
        <f>countif('v2014'!F:F,F118)</f>
        <v>1</v>
      </c>
      <c r="U118" s="22">
        <f>countif('v2010'!F:F,F118)</f>
        <v>1</v>
      </c>
      <c r="V118" s="22">
        <f>countif('v2006'!F:F,F118)</f>
        <v>1</v>
      </c>
      <c r="W118" s="22">
        <f>countif('v2002'!F:F,F118)</f>
        <v>1</v>
      </c>
      <c r="X118" s="22">
        <f>countif('v1998'!F:F,F118)</f>
        <v>1</v>
      </c>
    </row>
    <row r="119">
      <c r="A119" s="21" t="str">
        <f t="shared" si="13"/>
        <v>electron volt-joule relationship</v>
      </c>
      <c r="B119" s="6" t="s">
        <v>1100</v>
      </c>
      <c r="C119" s="6" t="s">
        <v>1101</v>
      </c>
      <c r="D119" s="13" t="s">
        <v>1102</v>
      </c>
      <c r="E119" s="13" t="s">
        <v>543</v>
      </c>
      <c r="F119" s="22" t="str">
        <f t="shared" si="9"/>
        <v>ElectronVoltJouleRelationship</v>
      </c>
      <c r="G119" s="6" t="s">
        <v>1103</v>
      </c>
      <c r="H119" s="6" t="s">
        <v>1104</v>
      </c>
      <c r="I119" s="6"/>
      <c r="J119" s="6" t="s">
        <v>543</v>
      </c>
      <c r="K119" s="14" t="str">
        <f t="shared" si="3"/>
        <v>https://w3id.org/uom/J</v>
      </c>
      <c r="L119" s="13" t="s">
        <v>314</v>
      </c>
      <c r="M119" s="23">
        <f>countif(Quantities!A:A,L119)</f>
        <v>1</v>
      </c>
      <c r="N119" s="24" t="b">
        <f t="shared" si="4"/>
        <v>1</v>
      </c>
      <c r="O119" s="6" t="s">
        <v>1105</v>
      </c>
      <c r="P119" s="22" t="b">
        <f t="shared" si="5"/>
        <v>1</v>
      </c>
      <c r="Q119" s="22" t="b">
        <f t="shared" si="12"/>
        <v>1</v>
      </c>
      <c r="R119" s="22">
        <f>countif('v2022'!F:F,F119)</f>
        <v>1</v>
      </c>
      <c r="S119" s="22">
        <f>countif('v2018'!F:F,F119)</f>
        <v>1</v>
      </c>
      <c r="T119" s="22">
        <f>countif('v2014'!F:F,F119)</f>
        <v>1</v>
      </c>
      <c r="U119" s="22">
        <f>countif('v2010'!F:F,F119)</f>
        <v>1</v>
      </c>
      <c r="V119" s="22">
        <f>countif('v2006'!F:F,F119)</f>
        <v>1</v>
      </c>
      <c r="W119" s="22">
        <f>countif('v2002'!F:F,F119)</f>
        <v>1</v>
      </c>
      <c r="X119" s="22">
        <f>countif('v1998'!F:F,F119)</f>
        <v>1</v>
      </c>
    </row>
    <row r="120">
      <c r="A120" s="21" t="str">
        <f t="shared" si="13"/>
        <v>electron volt-kelvin relationship</v>
      </c>
      <c r="B120" s="6" t="s">
        <v>1106</v>
      </c>
      <c r="C120" s="6" t="s">
        <v>1107</v>
      </c>
      <c r="D120" s="13" t="s">
        <v>1108</v>
      </c>
      <c r="E120" s="13" t="s">
        <v>618</v>
      </c>
      <c r="F120" s="22" t="str">
        <f t="shared" si="9"/>
        <v>ElectronVoltKelvinRelationship</v>
      </c>
      <c r="G120" s="6" t="s">
        <v>1109</v>
      </c>
      <c r="H120" s="6" t="s">
        <v>1110</v>
      </c>
      <c r="I120" s="6"/>
      <c r="J120" s="6" t="s">
        <v>618</v>
      </c>
      <c r="K120" s="14" t="str">
        <f t="shared" si="3"/>
        <v>https://w3id.org/uom/K</v>
      </c>
      <c r="L120" s="13" t="s">
        <v>315</v>
      </c>
      <c r="M120" s="23">
        <f>countif(Quantities!A:A,L120)</f>
        <v>1</v>
      </c>
      <c r="N120" s="24" t="b">
        <f t="shared" si="4"/>
        <v>1</v>
      </c>
      <c r="O120" s="6" t="s">
        <v>1111</v>
      </c>
      <c r="P120" s="22" t="b">
        <f t="shared" si="5"/>
        <v>1</v>
      </c>
      <c r="Q120" s="22" t="b">
        <f t="shared" si="12"/>
        <v>1</v>
      </c>
      <c r="R120" s="22">
        <f>countif('v2022'!F:F,F120)</f>
        <v>1</v>
      </c>
      <c r="S120" s="22">
        <f>countif('v2018'!F:F,F120)</f>
        <v>1</v>
      </c>
      <c r="T120" s="22">
        <f>countif('v2014'!F:F,F120)</f>
        <v>1</v>
      </c>
      <c r="U120" s="22">
        <f>countif('v2010'!F:F,F120)</f>
        <v>1</v>
      </c>
      <c r="V120" s="22">
        <f>countif('v2006'!F:F,F120)</f>
        <v>1</v>
      </c>
      <c r="W120" s="22">
        <f>countif('v2002'!F:F,F120)</f>
        <v>1</v>
      </c>
      <c r="X120" s="22">
        <f>countif('v1998'!F:F,F120)</f>
        <v>1</v>
      </c>
    </row>
    <row r="121">
      <c r="A121" s="21" t="str">
        <f t="shared" si="13"/>
        <v>electron volt-kilogram relationship</v>
      </c>
      <c r="B121" s="6" t="s">
        <v>1112</v>
      </c>
      <c r="C121" s="6" t="s">
        <v>1113</v>
      </c>
      <c r="D121" s="13" t="s">
        <v>1114</v>
      </c>
      <c r="E121" s="13" t="s">
        <v>538</v>
      </c>
      <c r="F121" s="22" t="str">
        <f t="shared" si="9"/>
        <v>ElectronVoltKilogramRelationship</v>
      </c>
      <c r="G121" s="6" t="s">
        <v>1115</v>
      </c>
      <c r="H121" s="6" t="s">
        <v>1116</v>
      </c>
      <c r="I121" s="6"/>
      <c r="J121" s="6" t="s">
        <v>538</v>
      </c>
      <c r="K121" s="14" t="str">
        <f t="shared" si="3"/>
        <v>https://w3id.org/uom/kg</v>
      </c>
      <c r="L121" s="13" t="s">
        <v>316</v>
      </c>
      <c r="M121" s="23">
        <f>countif(Quantities!A:A,L121)</f>
        <v>1</v>
      </c>
      <c r="N121" s="24" t="b">
        <f t="shared" si="4"/>
        <v>1</v>
      </c>
      <c r="O121" s="6" t="s">
        <v>1117</v>
      </c>
      <c r="P121" s="22" t="b">
        <f t="shared" si="5"/>
        <v>1</v>
      </c>
      <c r="Q121" s="22" t="b">
        <f t="shared" si="12"/>
        <v>1</v>
      </c>
      <c r="R121" s="22">
        <f>countif('v2022'!F:F,F121)</f>
        <v>1</v>
      </c>
      <c r="S121" s="22">
        <f>countif('v2018'!F:F,F121)</f>
        <v>1</v>
      </c>
      <c r="T121" s="22">
        <f>countif('v2014'!F:F,F121)</f>
        <v>1</v>
      </c>
      <c r="U121" s="22">
        <f>countif('v2010'!F:F,F121)</f>
        <v>1</v>
      </c>
      <c r="V121" s="22">
        <f>countif('v2006'!F:F,F121)</f>
        <v>1</v>
      </c>
      <c r="W121" s="22">
        <f>countif('v2002'!F:F,F121)</f>
        <v>1</v>
      </c>
      <c r="X121" s="22">
        <f>countif('v1998'!F:F,F121)</f>
        <v>1</v>
      </c>
    </row>
    <row r="122">
      <c r="A122" s="21" t="str">
        <f t="shared" si="13"/>
        <v>elementary charge</v>
      </c>
      <c r="B122" s="6" t="s">
        <v>171</v>
      </c>
      <c r="C122" s="6"/>
      <c r="D122" s="13" t="s">
        <v>1118</v>
      </c>
      <c r="E122" s="13" t="s">
        <v>649</v>
      </c>
      <c r="F122" s="22" t="str">
        <f t="shared" si="9"/>
        <v>ElementaryCharge</v>
      </c>
      <c r="G122" s="6" t="s">
        <v>1118</v>
      </c>
      <c r="H122" s="6" t="s">
        <v>1119</v>
      </c>
      <c r="I122" s="6"/>
      <c r="J122" s="6" t="s">
        <v>649</v>
      </c>
      <c r="K122" s="14" t="str">
        <f t="shared" si="3"/>
        <v>https://w3id.org/uom/C</v>
      </c>
      <c r="L122" s="13" t="s">
        <v>170</v>
      </c>
      <c r="M122" s="23">
        <f>countif(Quantities!A:A,L122)</f>
        <v>1</v>
      </c>
      <c r="N122" s="24" t="b">
        <f t="shared" si="4"/>
        <v>1</v>
      </c>
      <c r="O122" s="6" t="s">
        <v>1120</v>
      </c>
      <c r="P122" s="22" t="b">
        <f t="shared" si="5"/>
        <v>1</v>
      </c>
      <c r="Q122" s="22" t="b">
        <f t="shared" si="12"/>
        <v>1</v>
      </c>
      <c r="R122" s="22">
        <f>countif('v2022'!F:F,F122)</f>
        <v>1</v>
      </c>
      <c r="S122" s="22">
        <f>countif('v2018'!F:F,F122)</f>
        <v>1</v>
      </c>
      <c r="T122" s="22">
        <f>countif('v2014'!F:F,F122)</f>
        <v>1</v>
      </c>
      <c r="U122" s="22">
        <f>countif('v2010'!F:F,F122)</f>
        <v>1</v>
      </c>
      <c r="V122" s="22">
        <f>countif('v2006'!F:F,F122)</f>
        <v>0</v>
      </c>
      <c r="W122" s="22">
        <f>countif('v2002'!F:F,F122)</f>
        <v>0</v>
      </c>
      <c r="X122" s="22">
        <f>countif('v1998'!F:F,F122)</f>
        <v>0</v>
      </c>
    </row>
    <row r="123">
      <c r="A123" s="21" t="str">
        <f t="shared" si="13"/>
        <v>elementary charge over h-bar</v>
      </c>
      <c r="B123" s="6" t="s">
        <v>1121</v>
      </c>
      <c r="C123" s="6" t="s">
        <v>1122</v>
      </c>
      <c r="D123" s="13" t="s">
        <v>1123</v>
      </c>
      <c r="E123" s="13" t="s">
        <v>1124</v>
      </c>
      <c r="F123" s="22" t="str">
        <f t="shared" si="9"/>
        <v>ElementaryChargeOverH</v>
      </c>
      <c r="G123" s="6" t="s">
        <v>1123</v>
      </c>
      <c r="H123" s="6" t="s">
        <v>1125</v>
      </c>
      <c r="I123" s="6"/>
      <c r="J123" s="6" t="s">
        <v>1126</v>
      </c>
      <c r="K123" s="14" t="str">
        <f t="shared" si="3"/>
        <v>https://w3id.org/uom/A.J-1</v>
      </c>
      <c r="L123" s="13" t="s">
        <v>317</v>
      </c>
      <c r="M123" s="23">
        <f>countif(Quantities!A:A,L123)</f>
        <v>1</v>
      </c>
      <c r="N123" s="24" t="b">
        <f t="shared" si="4"/>
        <v>1</v>
      </c>
      <c r="O123" s="6" t="s">
        <v>1127</v>
      </c>
      <c r="P123" s="22" t="b">
        <f t="shared" si="5"/>
        <v>1</v>
      </c>
      <c r="Q123" s="22" t="b">
        <f t="shared" si="12"/>
        <v>1</v>
      </c>
      <c r="R123" s="22">
        <f>countif('v2022'!F:F,F123)</f>
        <v>1</v>
      </c>
      <c r="S123" s="22">
        <f>countif('v2018'!F:F,F123)</f>
        <v>1</v>
      </c>
      <c r="T123" s="22">
        <f>countif('v2014'!F:F,F123)</f>
        <v>1</v>
      </c>
      <c r="U123" s="22">
        <f>countif('v2010'!F:F,F123)</f>
        <v>1</v>
      </c>
      <c r="V123" s="22">
        <f>countif('v2006'!F:F,F123)</f>
        <v>1</v>
      </c>
      <c r="W123" s="22">
        <f>countif('v2002'!F:F,F123)</f>
        <v>1</v>
      </c>
      <c r="X123" s="22">
        <f>countif('v1998'!F:F,F123)</f>
        <v>1</v>
      </c>
    </row>
    <row r="124">
      <c r="A124" s="21" t="str">
        <f t="shared" si="13"/>
        <v>Faraday constant</v>
      </c>
      <c r="B124" s="6" t="s">
        <v>1128</v>
      </c>
      <c r="D124" s="13" t="s">
        <v>1129</v>
      </c>
      <c r="E124" s="13" t="s">
        <v>1130</v>
      </c>
      <c r="F124" s="22" t="str">
        <f t="shared" si="9"/>
        <v>FaradayConstant</v>
      </c>
      <c r="G124" s="6" t="s">
        <v>1129</v>
      </c>
      <c r="H124" s="6" t="s">
        <v>1131</v>
      </c>
      <c r="I124" s="6"/>
      <c r="J124" s="6" t="s">
        <v>1132</v>
      </c>
      <c r="K124" s="14" t="str">
        <f t="shared" si="3"/>
        <v>https://w3id.org/uom/C.mol-1</v>
      </c>
      <c r="L124" s="13" t="s">
        <v>318</v>
      </c>
      <c r="M124" s="23">
        <f>countif(Quantities!A:A,L124)</f>
        <v>1</v>
      </c>
      <c r="N124" s="24" t="b">
        <f t="shared" si="4"/>
        <v>1</v>
      </c>
      <c r="O124" s="6" t="s">
        <v>1133</v>
      </c>
      <c r="P124" s="22" t="b">
        <f t="shared" si="5"/>
        <v>1</v>
      </c>
      <c r="Q124" s="22" t="b">
        <f t="shared" si="12"/>
        <v>1</v>
      </c>
      <c r="R124" s="22">
        <f>countif('v2022'!F:F,F124)</f>
        <v>1</v>
      </c>
      <c r="S124" s="22">
        <f>countif('v2018'!F:F,F124)</f>
        <v>1</v>
      </c>
      <c r="T124" s="22">
        <f>countif('v2014'!F:F,F124)</f>
        <v>1</v>
      </c>
      <c r="U124" s="22">
        <f>countif('v2010'!F:F,F124)</f>
        <v>1</v>
      </c>
      <c r="V124" s="22">
        <f>countif('v2006'!F:F,F124)</f>
        <v>1</v>
      </c>
      <c r="W124" s="22">
        <f>countif('v2002'!F:F,F124)</f>
        <v>1</v>
      </c>
      <c r="X124" s="22">
        <f>countif('v1998'!F:F,F124)</f>
        <v>1</v>
      </c>
    </row>
    <row r="125">
      <c r="A125" s="21" t="str">
        <f t="shared" si="13"/>
        <v>Faraday constant for conventional electric current</v>
      </c>
      <c r="B125" s="6" t="s">
        <v>1134</v>
      </c>
      <c r="C125" s="6"/>
      <c r="D125" s="6" t="s">
        <v>1135</v>
      </c>
      <c r="E125" s="6" t="s">
        <v>1136</v>
      </c>
      <c r="F125" s="6" t="s">
        <v>1137</v>
      </c>
      <c r="G125" s="6" t="s">
        <v>1135</v>
      </c>
      <c r="H125" s="6" t="s">
        <v>1138</v>
      </c>
      <c r="I125" s="6"/>
      <c r="J125" s="6" t="s">
        <v>596</v>
      </c>
      <c r="K125" s="13" t="str">
        <f t="shared" si="3"/>
        <v/>
      </c>
      <c r="L125" s="13" t="s">
        <v>318</v>
      </c>
      <c r="M125" s="23">
        <f>countif(Quantities!A:A,L125)</f>
        <v>1</v>
      </c>
      <c r="N125" s="24" t="b">
        <f t="shared" si="4"/>
        <v>0</v>
      </c>
      <c r="O125" s="6"/>
      <c r="P125" s="22" t="b">
        <f t="shared" si="5"/>
        <v>0</v>
      </c>
      <c r="Q125" s="22" t="b">
        <f t="shared" si="12"/>
        <v>1</v>
      </c>
      <c r="R125" s="22">
        <f>countif('v2022'!F:F,F125)</f>
        <v>0</v>
      </c>
      <c r="S125" s="22">
        <f>countif('v2018'!F:F,F125)</f>
        <v>0</v>
      </c>
      <c r="T125" s="22">
        <f>countif('v2014'!F:F,F125)</f>
        <v>1</v>
      </c>
      <c r="U125" s="22">
        <f>countif('v2010'!F:F,F125)</f>
        <v>1</v>
      </c>
      <c r="V125" s="22">
        <f>countif('v2006'!F:F,F125)</f>
        <v>1</v>
      </c>
      <c r="W125" s="22">
        <f>countif('v2002'!F:F,F125)</f>
        <v>1</v>
      </c>
      <c r="X125" s="22">
        <f>countif('v1998'!F:F,F125)</f>
        <v>1</v>
      </c>
    </row>
    <row r="126">
      <c r="A126" s="21" t="str">
        <f t="shared" si="13"/>
        <v>Fermi coupling constant</v>
      </c>
      <c r="B126" s="6" t="s">
        <v>1139</v>
      </c>
      <c r="D126" s="13" t="s">
        <v>1140</v>
      </c>
      <c r="E126" s="13" t="s">
        <v>1141</v>
      </c>
      <c r="F126" s="22" t="str">
        <f t="shared" ref="F126:F192" si="14">if(isblank(O126),concatenate(substitute(proper(D126)," ","")),SUBSTITUTE(O126,"constant:",""))</f>
        <v>FermiCouplingConstant</v>
      </c>
      <c r="G126" s="6" t="s">
        <v>1140</v>
      </c>
      <c r="H126" s="6" t="s">
        <v>1142</v>
      </c>
      <c r="I126" s="6"/>
      <c r="J126" s="6" t="s">
        <v>1143</v>
      </c>
      <c r="K126" s="14" t="str">
        <f t="shared" si="3"/>
        <v>https://w3id.org/uom/GeV-12</v>
      </c>
      <c r="L126" s="13" t="s">
        <v>319</v>
      </c>
      <c r="M126" s="23">
        <f>countif(Quantities!A:A,L126)</f>
        <v>1</v>
      </c>
      <c r="N126" s="24" t="b">
        <f t="shared" si="4"/>
        <v>1</v>
      </c>
      <c r="O126" s="6" t="s">
        <v>1144</v>
      </c>
      <c r="P126" s="22" t="b">
        <f t="shared" si="5"/>
        <v>1</v>
      </c>
      <c r="Q126" s="22" t="b">
        <f t="shared" si="12"/>
        <v>1</v>
      </c>
      <c r="R126" s="22">
        <f>countif('v2022'!F:F,F126)</f>
        <v>1</v>
      </c>
      <c r="S126" s="22">
        <f>countif('v2018'!F:F,F126)</f>
        <v>1</v>
      </c>
      <c r="T126" s="22">
        <f>countif('v2014'!F:F,F126)</f>
        <v>1</v>
      </c>
      <c r="U126" s="22">
        <f>countif('v2010'!F:F,F126)</f>
        <v>1</v>
      </c>
      <c r="V126" s="22">
        <f>countif('v2006'!F:F,F126)</f>
        <v>1</v>
      </c>
      <c r="W126" s="22">
        <f>countif('v2002'!F:F,F126)</f>
        <v>1</v>
      </c>
      <c r="X126" s="22">
        <f>countif('v1998'!F:F,F126)</f>
        <v>1</v>
      </c>
    </row>
    <row r="127">
      <c r="A127" s="21" t="str">
        <f t="shared" si="13"/>
        <v>fine-structure constant</v>
      </c>
      <c r="B127" s="6" t="s">
        <v>1145</v>
      </c>
      <c r="C127" s="6"/>
      <c r="D127" s="13" t="s">
        <v>1146</v>
      </c>
      <c r="F127" s="22" t="str">
        <f t="shared" si="14"/>
        <v>FineStructureConstant</v>
      </c>
      <c r="G127" s="6" t="s">
        <v>1146</v>
      </c>
      <c r="H127" s="6" t="s">
        <v>1147</v>
      </c>
      <c r="I127" s="6"/>
      <c r="J127" s="6"/>
      <c r="K127" s="13" t="str">
        <f t="shared" si="3"/>
        <v/>
      </c>
      <c r="L127" s="13" t="s">
        <v>320</v>
      </c>
      <c r="M127" s="23">
        <f>countif(Quantities!A:A,L127)</f>
        <v>1</v>
      </c>
      <c r="N127" s="24" t="b">
        <f t="shared" si="4"/>
        <v>1</v>
      </c>
      <c r="O127" s="6" t="s">
        <v>1148</v>
      </c>
      <c r="P127" s="22" t="b">
        <f t="shared" si="5"/>
        <v>1</v>
      </c>
      <c r="Q127" s="22" t="b">
        <f t="shared" si="12"/>
        <v>1</v>
      </c>
      <c r="R127" s="22">
        <f>countif('v2022'!F:F,F127)</f>
        <v>1</v>
      </c>
      <c r="S127" s="22">
        <f>countif('v2018'!F:F,F127)</f>
        <v>1</v>
      </c>
      <c r="T127" s="22">
        <f>countif('v2014'!F:F,F127)</f>
        <v>1</v>
      </c>
      <c r="U127" s="22">
        <f>countif('v2010'!F:F,F127)</f>
        <v>1</v>
      </c>
      <c r="V127" s="22">
        <f>countif('v2006'!F:F,F127)</f>
        <v>1</v>
      </c>
      <c r="W127" s="22">
        <f>countif('v2002'!F:F,F127)</f>
        <v>1</v>
      </c>
      <c r="X127" s="22">
        <f>countif('v1998'!F:F,F127)</f>
        <v>1</v>
      </c>
    </row>
    <row r="128">
      <c r="A128" s="21" t="str">
        <f t="shared" si="13"/>
        <v>first radiation constant</v>
      </c>
      <c r="B128" s="6" t="s">
        <v>1149</v>
      </c>
      <c r="C128" s="6"/>
      <c r="D128" s="13" t="s">
        <v>1150</v>
      </c>
      <c r="E128" s="13" t="s">
        <v>1151</v>
      </c>
      <c r="F128" s="22" t="str">
        <f t="shared" si="14"/>
        <v>FirstRadiationConstant</v>
      </c>
      <c r="G128" s="6" t="s">
        <v>1150</v>
      </c>
      <c r="H128" s="6" t="s">
        <v>1152</v>
      </c>
      <c r="I128" s="6"/>
      <c r="J128" s="6" t="s">
        <v>1153</v>
      </c>
      <c r="K128" s="14" t="str">
        <f t="shared" si="3"/>
        <v>https://w3id.org/uom/W.m2</v>
      </c>
      <c r="L128" s="13" t="s">
        <v>321</v>
      </c>
      <c r="M128" s="23">
        <f>countif(Quantities!A:A,L128)</f>
        <v>1</v>
      </c>
      <c r="N128" s="24" t="b">
        <f t="shared" si="4"/>
        <v>1</v>
      </c>
      <c r="O128" s="6" t="s">
        <v>1154</v>
      </c>
      <c r="P128" s="22" t="b">
        <f t="shared" si="5"/>
        <v>1</v>
      </c>
      <c r="Q128" s="22" t="b">
        <f t="shared" si="12"/>
        <v>1</v>
      </c>
      <c r="R128" s="22">
        <f>countif('v2022'!F:F,F128)</f>
        <v>1</v>
      </c>
      <c r="S128" s="22">
        <f>countif('v2018'!F:F,F128)</f>
        <v>1</v>
      </c>
      <c r="T128" s="22">
        <f>countif('v2014'!F:F,F128)</f>
        <v>1</v>
      </c>
      <c r="U128" s="22">
        <f>countif('v2010'!F:F,F128)</f>
        <v>1</v>
      </c>
      <c r="V128" s="22">
        <f>countif('v2006'!F:F,F128)</f>
        <v>1</v>
      </c>
      <c r="W128" s="22">
        <f>countif('v2002'!F:F,F128)</f>
        <v>1</v>
      </c>
      <c r="X128" s="22">
        <f>countif('v1998'!F:F,F128)</f>
        <v>1</v>
      </c>
    </row>
    <row r="129">
      <c r="A129" s="21" t="str">
        <f t="shared" si="13"/>
        <v>first radiation constant for spectral radiance</v>
      </c>
      <c r="B129" s="6" t="s">
        <v>1155</v>
      </c>
      <c r="C129" s="6"/>
      <c r="D129" s="13" t="s">
        <v>1156</v>
      </c>
      <c r="E129" s="13" t="s">
        <v>1157</v>
      </c>
      <c r="F129" s="22" t="str">
        <f t="shared" si="14"/>
        <v>FirstRadiationConstantForSpectralRadiance</v>
      </c>
      <c r="G129" s="6" t="s">
        <v>1156</v>
      </c>
      <c r="H129" s="6" t="s">
        <v>1158</v>
      </c>
      <c r="I129" s="6"/>
      <c r="J129" s="6" t="s">
        <v>1159</v>
      </c>
      <c r="K129" s="14" t="str">
        <f t="shared" si="3"/>
        <v>https://w3id.org/uom/W.m2.sr-1</v>
      </c>
      <c r="L129" s="13" t="s">
        <v>322</v>
      </c>
      <c r="M129" s="23">
        <f>countif(Quantities!A:A,L129)</f>
        <v>1</v>
      </c>
      <c r="N129" s="24" t="b">
        <f t="shared" si="4"/>
        <v>1</v>
      </c>
      <c r="O129" s="6" t="s">
        <v>1160</v>
      </c>
      <c r="P129" s="22" t="b">
        <f t="shared" si="5"/>
        <v>1</v>
      </c>
      <c r="Q129" s="22" t="b">
        <f t="shared" si="12"/>
        <v>1</v>
      </c>
      <c r="R129" s="22">
        <f>countif('v2022'!F:F,F129)</f>
        <v>1</v>
      </c>
      <c r="S129" s="22">
        <f>countif('v2018'!F:F,F129)</f>
        <v>1</v>
      </c>
      <c r="T129" s="22">
        <f>countif('v2014'!F:F,F129)</f>
        <v>1</v>
      </c>
      <c r="U129" s="22">
        <f>countif('v2010'!F:F,F129)</f>
        <v>1</v>
      </c>
      <c r="V129" s="22">
        <f>countif('v2006'!F:F,F129)</f>
        <v>1</v>
      </c>
      <c r="W129" s="22">
        <f>countif('v2002'!F:F,F129)</f>
        <v>1</v>
      </c>
      <c r="X129" s="22">
        <f>countif('v1998'!F:F,F129)</f>
        <v>1</v>
      </c>
    </row>
    <row r="130">
      <c r="A130" s="21" t="str">
        <f t="shared" si="13"/>
        <v>hartree-atomic mass unit relationship</v>
      </c>
      <c r="B130" s="6" t="s">
        <v>1161</v>
      </c>
      <c r="D130" s="13" t="s">
        <v>1162</v>
      </c>
      <c r="E130" s="13" t="s">
        <v>553</v>
      </c>
      <c r="F130" s="22" t="str">
        <f t="shared" si="14"/>
        <v>HartreeAtomicMassUnitRelationship</v>
      </c>
      <c r="G130" s="6" t="s">
        <v>1163</v>
      </c>
      <c r="H130" s="6" t="s">
        <v>1164</v>
      </c>
      <c r="I130" s="6"/>
      <c r="J130" s="6" t="s">
        <v>553</v>
      </c>
      <c r="K130" s="14" t="str">
        <f t="shared" si="3"/>
        <v>https://w3id.org/uom/u</v>
      </c>
      <c r="L130" s="13" t="s">
        <v>323</v>
      </c>
      <c r="M130" s="23">
        <f>countif(Quantities!A:A,L130)</f>
        <v>1</v>
      </c>
      <c r="N130" s="24" t="b">
        <f t="shared" si="4"/>
        <v>1</v>
      </c>
      <c r="O130" s="6" t="s">
        <v>1165</v>
      </c>
      <c r="P130" s="22" t="b">
        <f t="shared" si="5"/>
        <v>1</v>
      </c>
      <c r="Q130" s="22" t="b">
        <f t="shared" si="12"/>
        <v>1</v>
      </c>
      <c r="R130" s="22">
        <f>countif('v2022'!F:F,F130)</f>
        <v>1</v>
      </c>
      <c r="S130" s="22">
        <f>countif('v2018'!F:F,F130)</f>
        <v>1</v>
      </c>
      <c r="T130" s="22">
        <f>countif('v2014'!F:F,F130)</f>
        <v>1</v>
      </c>
      <c r="U130" s="22">
        <f>countif('v2010'!F:F,F130)</f>
        <v>1</v>
      </c>
      <c r="V130" s="22">
        <f>countif('v2006'!F:F,F130)</f>
        <v>1</v>
      </c>
      <c r="W130" s="22">
        <f>countif('v2002'!F:F,F130)</f>
        <v>1</v>
      </c>
      <c r="X130" s="22">
        <f>countif('v1998'!F:F,F130)</f>
        <v>1</v>
      </c>
    </row>
    <row r="131">
      <c r="A131" s="21" t="str">
        <f t="shared" si="13"/>
        <v>hartree-electron volt relationship</v>
      </c>
      <c r="B131" s="6" t="s">
        <v>1166</v>
      </c>
      <c r="C131" s="6" t="s">
        <v>1167</v>
      </c>
      <c r="D131" s="13" t="s">
        <v>1168</v>
      </c>
      <c r="E131" s="13" t="s">
        <v>175</v>
      </c>
      <c r="F131" s="22" t="str">
        <f t="shared" si="14"/>
        <v>HartreeElectronVoltRelationship</v>
      </c>
      <c r="G131" s="6" t="s">
        <v>1169</v>
      </c>
      <c r="H131" s="6" t="s">
        <v>1170</v>
      </c>
      <c r="I131" s="6"/>
      <c r="J131" s="6" t="s">
        <v>175</v>
      </c>
      <c r="K131" s="14" t="str">
        <f t="shared" si="3"/>
        <v>https://w3id.org/uom/eV</v>
      </c>
      <c r="L131" s="13" t="s">
        <v>324</v>
      </c>
      <c r="M131" s="23">
        <f>countif(Quantities!A:A,L131)</f>
        <v>1</v>
      </c>
      <c r="N131" s="24" t="b">
        <f t="shared" si="4"/>
        <v>1</v>
      </c>
      <c r="O131" s="6" t="s">
        <v>1171</v>
      </c>
      <c r="P131" s="22" t="b">
        <f t="shared" si="5"/>
        <v>1</v>
      </c>
      <c r="Q131" s="22" t="b">
        <f t="shared" si="12"/>
        <v>1</v>
      </c>
      <c r="R131" s="22">
        <f>countif('v2022'!F:F,F131)</f>
        <v>1</v>
      </c>
      <c r="S131" s="22">
        <f>countif('v2018'!F:F,F131)</f>
        <v>1</v>
      </c>
      <c r="T131" s="22">
        <f>countif('v2014'!F:F,F131)</f>
        <v>1</v>
      </c>
      <c r="U131" s="22">
        <f>countif('v2010'!F:F,F131)</f>
        <v>1</v>
      </c>
      <c r="V131" s="22">
        <f>countif('v2006'!F:F,F131)</f>
        <v>1</v>
      </c>
      <c r="W131" s="22">
        <f>countif('v2002'!F:F,F131)</f>
        <v>1</v>
      </c>
      <c r="X131" s="22">
        <f>countif('v1998'!F:F,F131)</f>
        <v>1</v>
      </c>
    </row>
    <row r="132">
      <c r="A132" s="21" t="str">
        <f t="shared" si="13"/>
        <v>Hartree energy</v>
      </c>
      <c r="B132" s="6" t="s">
        <v>1172</v>
      </c>
      <c r="D132" s="13" t="s">
        <v>1173</v>
      </c>
      <c r="E132" s="13" t="s">
        <v>543</v>
      </c>
      <c r="F132" s="22" t="str">
        <f t="shared" si="14"/>
        <v>HartreeEnergy</v>
      </c>
      <c r="G132" s="6" t="s">
        <v>1173</v>
      </c>
      <c r="H132" s="6" t="s">
        <v>1174</v>
      </c>
      <c r="I132" s="6"/>
      <c r="J132" s="6" t="s">
        <v>543</v>
      </c>
      <c r="K132" s="14" t="str">
        <f t="shared" si="3"/>
        <v>https://w3id.org/uom/J</v>
      </c>
      <c r="L132" s="13" t="s">
        <v>325</v>
      </c>
      <c r="M132" s="23">
        <f>countif(Quantities!A:A,L132)</f>
        <v>1</v>
      </c>
      <c r="N132" s="24" t="b">
        <f t="shared" si="4"/>
        <v>1</v>
      </c>
      <c r="O132" s="6" t="s">
        <v>1175</v>
      </c>
      <c r="P132" s="22" t="b">
        <f t="shared" si="5"/>
        <v>1</v>
      </c>
      <c r="Q132" s="22" t="b">
        <f t="shared" si="12"/>
        <v>1</v>
      </c>
      <c r="R132" s="22">
        <f>countif('v2022'!F:F,F132)</f>
        <v>1</v>
      </c>
      <c r="S132" s="22">
        <f>countif('v2018'!F:F,F132)</f>
        <v>1</v>
      </c>
      <c r="T132" s="22">
        <f>countif('v2014'!F:F,F132)</f>
        <v>1</v>
      </c>
      <c r="U132" s="22">
        <f>countif('v2010'!F:F,F132)</f>
        <v>1</v>
      </c>
      <c r="V132" s="22">
        <f>countif('v2006'!F:F,F132)</f>
        <v>1</v>
      </c>
      <c r="W132" s="22">
        <f>countif('v2002'!F:F,F132)</f>
        <v>1</v>
      </c>
      <c r="X132" s="22">
        <f>countif('v1998'!F:F,F132)</f>
        <v>1</v>
      </c>
    </row>
    <row r="133">
      <c r="A133" s="21" t="str">
        <f t="shared" si="13"/>
        <v>Hartree energy in eV</v>
      </c>
      <c r="B133" s="6" t="s">
        <v>1176</v>
      </c>
      <c r="D133" s="13" t="s">
        <v>1177</v>
      </c>
      <c r="E133" s="13" t="s">
        <v>175</v>
      </c>
      <c r="F133" s="22" t="str">
        <f t="shared" si="14"/>
        <v>HartreeEnergyInEV</v>
      </c>
      <c r="G133" s="6" t="s">
        <v>1177</v>
      </c>
      <c r="H133" s="6" t="s">
        <v>1174</v>
      </c>
      <c r="I133" s="6"/>
      <c r="J133" s="6" t="s">
        <v>175</v>
      </c>
      <c r="K133" s="14" t="str">
        <f t="shared" si="3"/>
        <v>https://w3id.org/uom/eV</v>
      </c>
      <c r="L133" s="13" t="s">
        <v>325</v>
      </c>
      <c r="M133" s="23">
        <f>countif(Quantities!A:A,L133)</f>
        <v>1</v>
      </c>
      <c r="N133" s="24" t="b">
        <f t="shared" si="4"/>
        <v>0</v>
      </c>
      <c r="O133" s="6" t="s">
        <v>1178</v>
      </c>
      <c r="P133" s="22" t="b">
        <f t="shared" si="5"/>
        <v>1</v>
      </c>
      <c r="Q133" s="22" t="b">
        <f t="shared" si="12"/>
        <v>1</v>
      </c>
      <c r="R133" s="22">
        <f>countif('v2022'!F:F,F133)</f>
        <v>1</v>
      </c>
      <c r="S133" s="22">
        <f>countif('v2018'!F:F,F133)</f>
        <v>1</v>
      </c>
      <c r="T133" s="22">
        <f>countif('v2014'!F:F,F133)</f>
        <v>1</v>
      </c>
      <c r="U133" s="22">
        <f>countif('v2010'!F:F,F133)</f>
        <v>1</v>
      </c>
      <c r="V133" s="22">
        <f>countif('v2006'!F:F,F133)</f>
        <v>1</v>
      </c>
      <c r="W133" s="22">
        <f>countif('v2002'!F:F,F133)</f>
        <v>1</v>
      </c>
      <c r="X133" s="22">
        <f>countif('v1998'!F:F,F133)</f>
        <v>1</v>
      </c>
    </row>
    <row r="134">
      <c r="A134" s="21" t="str">
        <f t="shared" si="13"/>
        <v>hartree-hertz relationship</v>
      </c>
      <c r="B134" s="6" t="s">
        <v>1179</v>
      </c>
      <c r="D134" s="13" t="s">
        <v>1180</v>
      </c>
      <c r="E134" s="13" t="s">
        <v>600</v>
      </c>
      <c r="F134" s="22" t="str">
        <f t="shared" si="14"/>
        <v>HartreeHertzRelationship</v>
      </c>
      <c r="G134" s="6" t="s">
        <v>1181</v>
      </c>
      <c r="H134" s="6" t="s">
        <v>1182</v>
      </c>
      <c r="I134" s="6"/>
      <c r="J134" s="6" t="s">
        <v>600</v>
      </c>
      <c r="K134" s="14" t="str">
        <f t="shared" si="3"/>
        <v>https://w3id.org/uom/Hz</v>
      </c>
      <c r="L134" s="13" t="s">
        <v>326</v>
      </c>
      <c r="M134" s="23">
        <f>countif(Quantities!A:A,L134)</f>
        <v>1</v>
      </c>
      <c r="N134" s="24" t="b">
        <f t="shared" si="4"/>
        <v>1</v>
      </c>
      <c r="O134" s="6" t="s">
        <v>1183</v>
      </c>
      <c r="P134" s="22" t="b">
        <f t="shared" si="5"/>
        <v>1</v>
      </c>
      <c r="Q134" s="22" t="b">
        <f t="shared" si="12"/>
        <v>1</v>
      </c>
      <c r="R134" s="22">
        <f>countif('v2022'!F:F,F134)</f>
        <v>1</v>
      </c>
      <c r="S134" s="22">
        <f>countif('v2018'!F:F,F134)</f>
        <v>1</v>
      </c>
      <c r="T134" s="22">
        <f>countif('v2014'!F:F,F134)</f>
        <v>1</v>
      </c>
      <c r="U134" s="22">
        <f>countif('v2010'!F:F,F134)</f>
        <v>1</v>
      </c>
      <c r="V134" s="22">
        <f>countif('v2006'!F:F,F134)</f>
        <v>1</v>
      </c>
      <c r="W134" s="22">
        <f>countif('v2002'!F:F,F134)</f>
        <v>1</v>
      </c>
      <c r="X134" s="22">
        <f>countif('v1998'!F:F,F134)</f>
        <v>1</v>
      </c>
    </row>
    <row r="135">
      <c r="A135" s="21" t="str">
        <f t="shared" si="13"/>
        <v>hartree-inverse meter relationship</v>
      </c>
      <c r="B135" s="6" t="s">
        <v>1184</v>
      </c>
      <c r="D135" s="13" t="s">
        <v>1185</v>
      </c>
      <c r="E135" s="13" t="s">
        <v>606</v>
      </c>
      <c r="F135" s="22" t="str">
        <f t="shared" si="14"/>
        <v>HartreeInverseMeterRelationship</v>
      </c>
      <c r="G135" s="6" t="s">
        <v>1186</v>
      </c>
      <c r="H135" s="6" t="s">
        <v>1187</v>
      </c>
      <c r="I135" s="6"/>
      <c r="J135" s="6" t="s">
        <v>609</v>
      </c>
      <c r="K135" s="14" t="str">
        <f t="shared" si="3"/>
        <v>https://w3id.org/uom/m-1</v>
      </c>
      <c r="L135" s="13" t="s">
        <v>327</v>
      </c>
      <c r="M135" s="23">
        <f>countif(Quantities!A:A,L135)</f>
        <v>1</v>
      </c>
      <c r="N135" s="24" t="b">
        <f t="shared" si="4"/>
        <v>1</v>
      </c>
      <c r="O135" s="6" t="s">
        <v>1188</v>
      </c>
      <c r="P135" s="22" t="b">
        <f t="shared" si="5"/>
        <v>1</v>
      </c>
      <c r="Q135" s="22" t="b">
        <f t="shared" si="12"/>
        <v>1</v>
      </c>
      <c r="R135" s="22">
        <f>countif('v2022'!F:F,F135)</f>
        <v>1</v>
      </c>
      <c r="S135" s="22">
        <f>countif('v2018'!F:F,F135)</f>
        <v>1</v>
      </c>
      <c r="T135" s="22">
        <f>countif('v2014'!F:F,F135)</f>
        <v>1</v>
      </c>
      <c r="U135" s="22">
        <f>countif('v2010'!F:F,F135)</f>
        <v>1</v>
      </c>
      <c r="V135" s="22">
        <f>countif('v2006'!F:F,F135)</f>
        <v>1</v>
      </c>
      <c r="W135" s="22">
        <f>countif('v2002'!F:F,F135)</f>
        <v>1</v>
      </c>
      <c r="X135" s="22">
        <f>countif('v1998'!F:F,F135)</f>
        <v>1</v>
      </c>
    </row>
    <row r="136">
      <c r="A136" s="21" t="str">
        <f t="shared" si="13"/>
        <v>hartree-joule relationship</v>
      </c>
      <c r="B136" s="6" t="s">
        <v>1189</v>
      </c>
      <c r="D136" s="13" t="s">
        <v>1190</v>
      </c>
      <c r="E136" s="13" t="s">
        <v>543</v>
      </c>
      <c r="F136" s="22" t="str">
        <f t="shared" si="14"/>
        <v>HartreeJouleRelationship</v>
      </c>
      <c r="G136" s="6" t="s">
        <v>1191</v>
      </c>
      <c r="H136" s="6" t="s">
        <v>1192</v>
      </c>
      <c r="I136" s="6"/>
      <c r="J136" s="6" t="s">
        <v>543</v>
      </c>
      <c r="K136" s="14" t="str">
        <f t="shared" si="3"/>
        <v>https://w3id.org/uom/J</v>
      </c>
      <c r="L136" s="13" t="s">
        <v>328</v>
      </c>
      <c r="M136" s="23">
        <f>countif(Quantities!A:A,L136)</f>
        <v>1</v>
      </c>
      <c r="N136" s="24" t="b">
        <f t="shared" si="4"/>
        <v>1</v>
      </c>
      <c r="O136" s="6" t="s">
        <v>1193</v>
      </c>
      <c r="P136" s="22" t="b">
        <f t="shared" si="5"/>
        <v>1</v>
      </c>
      <c r="Q136" s="22" t="b">
        <f t="shared" si="12"/>
        <v>1</v>
      </c>
      <c r="R136" s="22">
        <f>countif('v2022'!F:F,F136)</f>
        <v>1</v>
      </c>
      <c r="S136" s="22">
        <f>countif('v2018'!F:F,F136)</f>
        <v>1</v>
      </c>
      <c r="T136" s="22">
        <f>countif('v2014'!F:F,F136)</f>
        <v>1</v>
      </c>
      <c r="U136" s="22">
        <f>countif('v2010'!F:F,F136)</f>
        <v>1</v>
      </c>
      <c r="V136" s="22">
        <f>countif('v2006'!F:F,F136)</f>
        <v>1</v>
      </c>
      <c r="W136" s="22">
        <f>countif('v2002'!F:F,F136)</f>
        <v>1</v>
      </c>
      <c r="X136" s="22">
        <f>countif('v1998'!F:F,F136)</f>
        <v>1</v>
      </c>
    </row>
    <row r="137">
      <c r="A137" s="21" t="str">
        <f t="shared" si="13"/>
        <v>hartree-kelvin relationship</v>
      </c>
      <c r="B137" s="6" t="s">
        <v>1194</v>
      </c>
      <c r="D137" s="13" t="s">
        <v>1195</v>
      </c>
      <c r="E137" s="13" t="s">
        <v>618</v>
      </c>
      <c r="F137" s="22" t="str">
        <f t="shared" si="14"/>
        <v>HartreeKelvinRelationship</v>
      </c>
      <c r="G137" s="6" t="s">
        <v>1196</v>
      </c>
      <c r="H137" s="6" t="s">
        <v>1197</v>
      </c>
      <c r="I137" s="6"/>
      <c r="J137" s="6" t="s">
        <v>618</v>
      </c>
      <c r="K137" s="14" t="str">
        <f t="shared" si="3"/>
        <v>https://w3id.org/uom/K</v>
      </c>
      <c r="L137" s="13" t="s">
        <v>329</v>
      </c>
      <c r="M137" s="23">
        <f>countif(Quantities!A:A,L137)</f>
        <v>1</v>
      </c>
      <c r="N137" s="24" t="b">
        <f t="shared" si="4"/>
        <v>1</v>
      </c>
      <c r="O137" s="6" t="s">
        <v>1198</v>
      </c>
      <c r="P137" s="22" t="b">
        <f t="shared" si="5"/>
        <v>1</v>
      </c>
      <c r="Q137" s="22" t="b">
        <f t="shared" si="12"/>
        <v>1</v>
      </c>
      <c r="R137" s="22">
        <f>countif('v2022'!F:F,F137)</f>
        <v>1</v>
      </c>
      <c r="S137" s="22">
        <f>countif('v2018'!F:F,F137)</f>
        <v>1</v>
      </c>
      <c r="T137" s="22">
        <f>countif('v2014'!F:F,F137)</f>
        <v>1</v>
      </c>
      <c r="U137" s="22">
        <f>countif('v2010'!F:F,F137)</f>
        <v>1</v>
      </c>
      <c r="V137" s="22">
        <f>countif('v2006'!F:F,F137)</f>
        <v>1</v>
      </c>
      <c r="W137" s="22">
        <f>countif('v2002'!F:F,F137)</f>
        <v>1</v>
      </c>
      <c r="X137" s="22">
        <f>countif('v1998'!F:F,F137)</f>
        <v>1</v>
      </c>
    </row>
    <row r="138">
      <c r="A138" s="21" t="str">
        <f t="shared" si="13"/>
        <v>hartree-kilogram relationship</v>
      </c>
      <c r="B138" s="6" t="s">
        <v>1199</v>
      </c>
      <c r="D138" s="13" t="s">
        <v>1200</v>
      </c>
      <c r="E138" s="13" t="s">
        <v>538</v>
      </c>
      <c r="F138" s="22" t="str">
        <f t="shared" si="14"/>
        <v>HartreeKilogramRelationship</v>
      </c>
      <c r="G138" s="6" t="s">
        <v>1201</v>
      </c>
      <c r="H138" s="6" t="s">
        <v>1202</v>
      </c>
      <c r="I138" s="6"/>
      <c r="J138" s="6" t="s">
        <v>538</v>
      </c>
      <c r="K138" s="14" t="str">
        <f t="shared" si="3"/>
        <v>https://w3id.org/uom/kg</v>
      </c>
      <c r="L138" s="13" t="s">
        <v>330</v>
      </c>
      <c r="M138" s="23">
        <f>countif(Quantities!A:A,L138)</f>
        <v>1</v>
      </c>
      <c r="N138" s="24" t="b">
        <f t="shared" si="4"/>
        <v>1</v>
      </c>
      <c r="O138" s="6" t="s">
        <v>1203</v>
      </c>
      <c r="P138" s="22" t="b">
        <f t="shared" si="5"/>
        <v>1</v>
      </c>
      <c r="Q138" s="22" t="b">
        <f t="shared" si="12"/>
        <v>1</v>
      </c>
      <c r="R138" s="22">
        <f>countif('v2022'!F:F,F138)</f>
        <v>1</v>
      </c>
      <c r="S138" s="22">
        <f>countif('v2018'!F:F,F138)</f>
        <v>1</v>
      </c>
      <c r="T138" s="22">
        <f>countif('v2014'!F:F,F138)</f>
        <v>1</v>
      </c>
      <c r="U138" s="22">
        <f>countif('v2010'!F:F,F138)</f>
        <v>1</v>
      </c>
      <c r="V138" s="22">
        <f>countif('v2006'!F:F,F138)</f>
        <v>1</v>
      </c>
      <c r="W138" s="22">
        <f>countif('v2002'!F:F,F138)</f>
        <v>1</v>
      </c>
      <c r="X138" s="22">
        <f>countif('v1998'!F:F,F138)</f>
        <v>1</v>
      </c>
    </row>
    <row r="139">
      <c r="A139" s="21" t="str">
        <f t="shared" si="13"/>
        <v>helion-electron mass ratio</v>
      </c>
      <c r="B139" s="6" t="s">
        <v>1204</v>
      </c>
      <c r="D139" s="13" t="s">
        <v>1205</v>
      </c>
      <c r="F139" s="22" t="str">
        <f t="shared" si="14"/>
        <v>HelionElectronMassRatio</v>
      </c>
      <c r="G139" s="6" t="s">
        <v>1205</v>
      </c>
      <c r="H139" s="6" t="s">
        <v>977</v>
      </c>
      <c r="I139" s="6"/>
      <c r="J139" s="6"/>
      <c r="K139" s="13" t="str">
        <f t="shared" si="3"/>
        <v/>
      </c>
      <c r="L139" s="13" t="s">
        <v>331</v>
      </c>
      <c r="M139" s="23">
        <f>countif(Quantities!A:A,L139)</f>
        <v>1</v>
      </c>
      <c r="N139" s="24" t="b">
        <f t="shared" si="4"/>
        <v>1</v>
      </c>
      <c r="O139" s="6" t="s">
        <v>1206</v>
      </c>
      <c r="P139" s="22" t="b">
        <f t="shared" si="5"/>
        <v>1</v>
      </c>
      <c r="Q139" s="22" t="b">
        <f t="shared" si="12"/>
        <v>1</v>
      </c>
      <c r="R139" s="22">
        <f>countif('v2022'!F:F,F139)</f>
        <v>1</v>
      </c>
      <c r="S139" s="22">
        <f>countif('v2018'!F:F,F139)</f>
        <v>1</v>
      </c>
      <c r="T139" s="22">
        <f>countif('v2014'!F:F,F139)</f>
        <v>1</v>
      </c>
      <c r="U139" s="22">
        <f>countif('v2010'!F:F,F139)</f>
        <v>1</v>
      </c>
      <c r="V139" s="22">
        <f>countif('v2006'!F:F,F139)</f>
        <v>1</v>
      </c>
      <c r="W139" s="22">
        <f>countif('v2002'!F:F,F139)</f>
        <v>1</v>
      </c>
      <c r="X139" s="22">
        <f>countif('v1998'!F:F,F139)</f>
        <v>1</v>
      </c>
    </row>
    <row r="140">
      <c r="A140" s="21" t="str">
        <f t="shared" si="13"/>
        <v>helion g factor</v>
      </c>
      <c r="B140" s="6" t="s">
        <v>1207</v>
      </c>
      <c r="D140" s="13" t="s">
        <v>1208</v>
      </c>
      <c r="F140" s="22" t="str">
        <f t="shared" si="14"/>
        <v>HelionGFactor</v>
      </c>
      <c r="G140" s="6" t="s">
        <v>1208</v>
      </c>
      <c r="H140" s="6" t="s">
        <v>1209</v>
      </c>
      <c r="K140" s="13" t="str">
        <f t="shared" si="3"/>
        <v/>
      </c>
      <c r="L140" s="13" t="s">
        <v>332</v>
      </c>
      <c r="M140" s="23">
        <f>countif(Quantities!A:A,L140)</f>
        <v>1</v>
      </c>
      <c r="N140" s="24" t="b">
        <f t="shared" si="4"/>
        <v>1</v>
      </c>
      <c r="P140" s="22" t="b">
        <f t="shared" si="5"/>
        <v>0</v>
      </c>
      <c r="Q140" s="22" t="b">
        <f t="shared" si="12"/>
        <v>1</v>
      </c>
      <c r="R140" s="22">
        <f>countif('v2022'!F:F,F140)</f>
        <v>1</v>
      </c>
      <c r="S140" s="22">
        <f>countif('v2018'!F:F,F140)</f>
        <v>1</v>
      </c>
      <c r="T140" s="22">
        <f>countif('v2014'!F:F,F140)</f>
        <v>1</v>
      </c>
      <c r="U140" s="22">
        <f>countif('v2010'!F:F,F140)</f>
        <v>1</v>
      </c>
      <c r="V140" s="22">
        <f>countif('v2006'!F:F,F140)</f>
        <v>0</v>
      </c>
      <c r="W140" s="22">
        <f>countif('v2002'!F:F,F140)</f>
        <v>0</v>
      </c>
      <c r="X140" s="22">
        <f>countif('v1998'!F:F,F140)</f>
        <v>0</v>
      </c>
    </row>
    <row r="141">
      <c r="A141" s="21" t="str">
        <f t="shared" si="13"/>
        <v>helion mag. mom.</v>
      </c>
      <c r="B141" s="6" t="s">
        <v>1210</v>
      </c>
      <c r="D141" s="13" t="s">
        <v>1211</v>
      </c>
      <c r="E141" s="13" t="s">
        <v>714</v>
      </c>
      <c r="F141" s="22" t="str">
        <f t="shared" si="14"/>
        <v>HelionMag.Mom.</v>
      </c>
      <c r="G141" s="6" t="s">
        <v>1212</v>
      </c>
      <c r="H141" s="6" t="s">
        <v>1213</v>
      </c>
      <c r="I141" s="6"/>
      <c r="J141" s="6" t="s">
        <v>717</v>
      </c>
      <c r="K141" s="14" t="str">
        <f t="shared" si="3"/>
        <v>https://w3id.org/uom/J.T-1</v>
      </c>
      <c r="L141" s="13" t="s">
        <v>333</v>
      </c>
      <c r="M141" s="23">
        <f>countif(Quantities!A:A,L141)</f>
        <v>1</v>
      </c>
      <c r="N141" s="24" t="b">
        <f t="shared" si="4"/>
        <v>1</v>
      </c>
      <c r="P141" s="22" t="b">
        <f t="shared" si="5"/>
        <v>0</v>
      </c>
      <c r="Q141" s="22" t="b">
        <f t="shared" si="12"/>
        <v>1</v>
      </c>
      <c r="R141" s="22">
        <f>countif('v2022'!F:F,F141)</f>
        <v>1</v>
      </c>
      <c r="S141" s="22">
        <f>countif('v2018'!F:F,F141)</f>
        <v>1</v>
      </c>
      <c r="T141" s="22">
        <f>countif('v2014'!F:F,F141)</f>
        <v>1</v>
      </c>
      <c r="U141" s="22">
        <f>countif('v2010'!F:F,F141)</f>
        <v>1</v>
      </c>
      <c r="V141" s="22">
        <f>countif('v2006'!F:F,F141)</f>
        <v>0</v>
      </c>
      <c r="W141" s="22">
        <f>countif('v2002'!F:F,F141)</f>
        <v>0</v>
      </c>
      <c r="X141" s="22">
        <f>countif('v1998'!F:F,F141)</f>
        <v>0</v>
      </c>
    </row>
    <row r="142">
      <c r="A142" s="21" t="str">
        <f t="shared" si="13"/>
        <v>helion mag. mom. to Bohr magneton ratio</v>
      </c>
      <c r="B142" s="6" t="s">
        <v>1214</v>
      </c>
      <c r="D142" s="13" t="s">
        <v>1215</v>
      </c>
      <c r="F142" s="22" t="str">
        <f t="shared" si="14"/>
        <v>HelionMag.Mom.ToBohrMagnetonRatio</v>
      </c>
      <c r="G142" s="6" t="s">
        <v>1216</v>
      </c>
      <c r="H142" s="6" t="s">
        <v>1217</v>
      </c>
      <c r="K142" s="13" t="str">
        <f t="shared" si="3"/>
        <v/>
      </c>
      <c r="L142" s="13" t="s">
        <v>334</v>
      </c>
      <c r="M142" s="23">
        <f>countif(Quantities!A:A,L142)</f>
        <v>1</v>
      </c>
      <c r="N142" s="24" t="b">
        <f t="shared" si="4"/>
        <v>1</v>
      </c>
      <c r="P142" s="22" t="b">
        <f t="shared" si="5"/>
        <v>0</v>
      </c>
      <c r="Q142" s="22" t="b">
        <f t="shared" si="12"/>
        <v>1</v>
      </c>
      <c r="R142" s="22">
        <f>countif('v2022'!F:F,F142)</f>
        <v>1</v>
      </c>
      <c r="S142" s="22">
        <f>countif('v2018'!F:F,F142)</f>
        <v>1</v>
      </c>
      <c r="T142" s="22">
        <f>countif('v2014'!F:F,F142)</f>
        <v>1</v>
      </c>
      <c r="U142" s="22">
        <f>countif('v2010'!F:F,F142)</f>
        <v>1</v>
      </c>
      <c r="V142" s="22">
        <f>countif('v2006'!F:F,F142)</f>
        <v>0</v>
      </c>
      <c r="W142" s="22">
        <f>countif('v2002'!F:F,F142)</f>
        <v>0</v>
      </c>
      <c r="X142" s="22">
        <f>countif('v1998'!F:F,F142)</f>
        <v>0</v>
      </c>
    </row>
    <row r="143">
      <c r="A143" s="21" t="str">
        <f t="shared" si="13"/>
        <v>helion mag. mom. to nuclear magneton ratio</v>
      </c>
      <c r="B143" s="6" t="s">
        <v>1218</v>
      </c>
      <c r="D143" s="13" t="s">
        <v>1219</v>
      </c>
      <c r="F143" s="22" t="str">
        <f t="shared" si="14"/>
        <v>HelionMag.Mom.ToNuclearMagnetonRatio</v>
      </c>
      <c r="G143" s="6" t="s">
        <v>1220</v>
      </c>
      <c r="H143" s="6" t="s">
        <v>1221</v>
      </c>
      <c r="K143" s="13" t="str">
        <f t="shared" si="3"/>
        <v/>
      </c>
      <c r="L143" s="13" t="s">
        <v>335</v>
      </c>
      <c r="M143" s="23">
        <f>countif(Quantities!A:A,L143)</f>
        <v>1</v>
      </c>
      <c r="N143" s="24" t="b">
        <f t="shared" si="4"/>
        <v>1</v>
      </c>
      <c r="P143" s="22" t="b">
        <f t="shared" si="5"/>
        <v>0</v>
      </c>
      <c r="Q143" s="22" t="b">
        <f t="shared" si="12"/>
        <v>1</v>
      </c>
      <c r="R143" s="22">
        <f>countif('v2022'!F:F,F143)</f>
        <v>1</v>
      </c>
      <c r="S143" s="22">
        <f>countif('v2018'!F:F,F143)</f>
        <v>1</v>
      </c>
      <c r="T143" s="22">
        <f>countif('v2014'!F:F,F143)</f>
        <v>1</v>
      </c>
      <c r="U143" s="22">
        <f>countif('v2010'!F:F,F143)</f>
        <v>1</v>
      </c>
      <c r="V143" s="22">
        <f>countif('v2006'!F:F,F143)</f>
        <v>0</v>
      </c>
      <c r="W143" s="22">
        <f>countif('v2002'!F:F,F143)</f>
        <v>0</v>
      </c>
      <c r="X143" s="22">
        <f>countif('v1998'!F:F,F143)</f>
        <v>0</v>
      </c>
    </row>
    <row r="144">
      <c r="A144" s="21" t="str">
        <f t="shared" si="13"/>
        <v>helion mass</v>
      </c>
      <c r="B144" s="6" t="s">
        <v>1222</v>
      </c>
      <c r="D144" s="13" t="s">
        <v>1223</v>
      </c>
      <c r="E144" s="13" t="s">
        <v>538</v>
      </c>
      <c r="F144" s="22" t="str">
        <f t="shared" si="14"/>
        <v>HelionMass</v>
      </c>
      <c r="G144" s="6" t="s">
        <v>1223</v>
      </c>
      <c r="H144" s="6" t="s">
        <v>1224</v>
      </c>
      <c r="I144" s="6"/>
      <c r="J144" s="6" t="s">
        <v>538</v>
      </c>
      <c r="K144" s="14" t="str">
        <f t="shared" si="3"/>
        <v>https://w3id.org/uom/kg</v>
      </c>
      <c r="L144" s="13" t="s">
        <v>336</v>
      </c>
      <c r="M144" s="23">
        <f>countif(Quantities!A:A,L144)</f>
        <v>1</v>
      </c>
      <c r="N144" s="24" t="b">
        <f t="shared" si="4"/>
        <v>1</v>
      </c>
      <c r="O144" s="6" t="s">
        <v>1225</v>
      </c>
      <c r="P144" s="22" t="b">
        <f t="shared" si="5"/>
        <v>1</v>
      </c>
      <c r="Q144" s="22" t="b">
        <f t="shared" si="12"/>
        <v>1</v>
      </c>
      <c r="R144" s="22">
        <f>countif('v2022'!F:F,F144)</f>
        <v>1</v>
      </c>
      <c r="S144" s="22">
        <f>countif('v2018'!F:F,F144)</f>
        <v>1</v>
      </c>
      <c r="T144" s="22">
        <f>countif('v2014'!F:F,F144)</f>
        <v>1</v>
      </c>
      <c r="U144" s="22">
        <f>countif('v2010'!F:F,F144)</f>
        <v>1</v>
      </c>
      <c r="V144" s="22">
        <f>countif('v2006'!F:F,F144)</f>
        <v>1</v>
      </c>
      <c r="W144" s="22">
        <f>countif('v2002'!F:F,F144)</f>
        <v>1</v>
      </c>
      <c r="X144" s="22">
        <f>countif('v1998'!F:F,F144)</f>
        <v>1</v>
      </c>
    </row>
    <row r="145">
      <c r="A145" s="21" t="str">
        <f t="shared" si="13"/>
        <v>helion mass energy equivalent</v>
      </c>
      <c r="B145" s="6" t="s">
        <v>1226</v>
      </c>
      <c r="D145" s="13" t="s">
        <v>1227</v>
      </c>
      <c r="E145" s="13" t="s">
        <v>543</v>
      </c>
      <c r="F145" s="22" t="str">
        <f t="shared" si="14"/>
        <v>HelionMassEnergyEquivalent</v>
      </c>
      <c r="G145" s="6" t="s">
        <v>1227</v>
      </c>
      <c r="H145" s="6" t="s">
        <v>1228</v>
      </c>
      <c r="I145" s="6"/>
      <c r="J145" s="6" t="s">
        <v>543</v>
      </c>
      <c r="K145" s="14" t="str">
        <f t="shared" si="3"/>
        <v>https://w3id.org/uom/J</v>
      </c>
      <c r="L145" s="13" t="s">
        <v>336</v>
      </c>
      <c r="M145" s="23">
        <f>countif(Quantities!A:A,L145)</f>
        <v>1</v>
      </c>
      <c r="N145" s="24" t="b">
        <f t="shared" si="4"/>
        <v>0</v>
      </c>
      <c r="O145" s="6" t="s">
        <v>1229</v>
      </c>
      <c r="P145" s="22" t="b">
        <f t="shared" si="5"/>
        <v>1</v>
      </c>
      <c r="Q145" s="22" t="b">
        <f t="shared" si="12"/>
        <v>1</v>
      </c>
      <c r="R145" s="22">
        <f>countif('v2022'!F:F,F145)</f>
        <v>1</v>
      </c>
      <c r="S145" s="22">
        <f>countif('v2018'!F:F,F145)</f>
        <v>1</v>
      </c>
      <c r="T145" s="22">
        <f>countif('v2014'!F:F,F145)</f>
        <v>1</v>
      </c>
      <c r="U145" s="22">
        <f>countif('v2010'!F:F,F145)</f>
        <v>1</v>
      </c>
      <c r="V145" s="22">
        <f>countif('v2006'!F:F,F145)</f>
        <v>1</v>
      </c>
      <c r="W145" s="22">
        <f>countif('v2002'!F:F,F145)</f>
        <v>1</v>
      </c>
      <c r="X145" s="22">
        <f>countif('v1998'!F:F,F145)</f>
        <v>1</v>
      </c>
    </row>
    <row r="146">
      <c r="A146" s="21" t="str">
        <f t="shared" si="13"/>
        <v>helion mass energy equivalent in MeV</v>
      </c>
      <c r="B146" s="6" t="s">
        <v>1230</v>
      </c>
      <c r="D146" s="13" t="s">
        <v>1231</v>
      </c>
      <c r="E146" s="13" t="s">
        <v>548</v>
      </c>
      <c r="F146" s="22" t="str">
        <f t="shared" si="14"/>
        <v>HelionMassEnergyEquivalentInMeV</v>
      </c>
      <c r="G146" s="6" t="s">
        <v>1231</v>
      </c>
      <c r="H146" s="6" t="s">
        <v>1228</v>
      </c>
      <c r="I146" s="6"/>
      <c r="J146" s="6" t="s">
        <v>548</v>
      </c>
      <c r="K146" s="14" t="str">
        <f t="shared" si="3"/>
        <v>https://w3id.org/uom/MeV</v>
      </c>
      <c r="L146" s="13" t="s">
        <v>336</v>
      </c>
      <c r="M146" s="23">
        <f>countif(Quantities!A:A,L146)</f>
        <v>1</v>
      </c>
      <c r="N146" s="24" t="b">
        <f t="shared" si="4"/>
        <v>0</v>
      </c>
      <c r="O146" s="6" t="s">
        <v>1232</v>
      </c>
      <c r="P146" s="22" t="b">
        <f t="shared" si="5"/>
        <v>1</v>
      </c>
      <c r="Q146" s="22" t="b">
        <f t="shared" si="12"/>
        <v>1</v>
      </c>
      <c r="R146" s="22">
        <f>countif('v2022'!F:F,F146)</f>
        <v>1</v>
      </c>
      <c r="S146" s="22">
        <f>countif('v2018'!F:F,F146)</f>
        <v>1</v>
      </c>
      <c r="T146" s="22">
        <f>countif('v2014'!F:F,F146)</f>
        <v>1</v>
      </c>
      <c r="U146" s="22">
        <f>countif('v2010'!F:F,F146)</f>
        <v>1</v>
      </c>
      <c r="V146" s="22">
        <f>countif('v2006'!F:F,F146)</f>
        <v>1</v>
      </c>
      <c r="W146" s="22">
        <f>countif('v2002'!F:F,F146)</f>
        <v>1</v>
      </c>
      <c r="X146" s="22">
        <f>countif('v1998'!F:F,F146)</f>
        <v>1</v>
      </c>
    </row>
    <row r="147">
      <c r="A147" s="21" t="str">
        <f t="shared" si="13"/>
        <v>helion mass in u</v>
      </c>
      <c r="B147" s="6" t="s">
        <v>1233</v>
      </c>
      <c r="D147" s="13" t="s">
        <v>1234</v>
      </c>
      <c r="E147" s="13" t="s">
        <v>553</v>
      </c>
      <c r="F147" s="22" t="str">
        <f t="shared" si="14"/>
        <v>HelionMassInAtomicMassUnit</v>
      </c>
      <c r="G147" s="6" t="s">
        <v>1234</v>
      </c>
      <c r="H147" s="6" t="s">
        <v>1224</v>
      </c>
      <c r="I147" s="6"/>
      <c r="J147" s="6" t="s">
        <v>553</v>
      </c>
      <c r="K147" s="14" t="str">
        <f t="shared" si="3"/>
        <v>https://w3id.org/uom/u</v>
      </c>
      <c r="L147" s="13" t="s">
        <v>336</v>
      </c>
      <c r="M147" s="23">
        <f>countif(Quantities!A:A,L147)</f>
        <v>1</v>
      </c>
      <c r="N147" s="24" t="b">
        <f t="shared" si="4"/>
        <v>0</v>
      </c>
      <c r="O147" s="6" t="s">
        <v>1235</v>
      </c>
      <c r="P147" s="22" t="b">
        <f t="shared" si="5"/>
        <v>1</v>
      </c>
      <c r="Q147" s="22" t="b">
        <f t="shared" si="12"/>
        <v>1</v>
      </c>
      <c r="R147" s="22">
        <f>countif('v2022'!F:F,F147)</f>
        <v>1</v>
      </c>
      <c r="S147" s="22">
        <f>countif('v2018'!F:F,F147)</f>
        <v>1</v>
      </c>
      <c r="T147" s="22">
        <f>countif('v2014'!F:F,F147)</f>
        <v>1</v>
      </c>
      <c r="U147" s="22">
        <f>countif('v2010'!F:F,F147)</f>
        <v>1</v>
      </c>
      <c r="V147" s="22">
        <f>countif('v2006'!F:F,F147)</f>
        <v>1</v>
      </c>
      <c r="W147" s="22">
        <f>countif('v2002'!F:F,F147)</f>
        <v>1</v>
      </c>
      <c r="X147" s="22">
        <f>countif('v1998'!F:F,F147)</f>
        <v>1</v>
      </c>
    </row>
    <row r="148">
      <c r="A148" s="21" t="str">
        <f t="shared" si="13"/>
        <v>helion molar mass</v>
      </c>
      <c r="B148" s="6" t="s">
        <v>1236</v>
      </c>
      <c r="D148" s="13" t="s">
        <v>1237</v>
      </c>
      <c r="E148" s="13" t="s">
        <v>557</v>
      </c>
      <c r="F148" s="22" t="str">
        <f t="shared" si="14"/>
        <v>HelionMolarMass</v>
      </c>
      <c r="G148" s="6" t="s">
        <v>1237</v>
      </c>
      <c r="H148" s="6" t="s">
        <v>1238</v>
      </c>
      <c r="I148" s="6"/>
      <c r="J148" s="6" t="s">
        <v>559</v>
      </c>
      <c r="K148" s="14" t="str">
        <f t="shared" si="3"/>
        <v>https://w3id.org/uom/kg.mol-1</v>
      </c>
      <c r="L148" s="13" t="s">
        <v>337</v>
      </c>
      <c r="M148" s="23">
        <f>countif(Quantities!A:A,L148)</f>
        <v>1</v>
      </c>
      <c r="N148" s="24" t="b">
        <f t="shared" si="4"/>
        <v>1</v>
      </c>
      <c r="O148" s="6" t="s">
        <v>1239</v>
      </c>
      <c r="P148" s="22" t="b">
        <f t="shared" si="5"/>
        <v>1</v>
      </c>
      <c r="Q148" s="22" t="b">
        <f t="shared" si="12"/>
        <v>1</v>
      </c>
      <c r="R148" s="22">
        <f>countif('v2022'!F:F,F148)</f>
        <v>1</v>
      </c>
      <c r="S148" s="22">
        <f>countif('v2018'!F:F,F148)</f>
        <v>1</v>
      </c>
      <c r="T148" s="22">
        <f>countif('v2014'!F:F,F148)</f>
        <v>1</v>
      </c>
      <c r="U148" s="22">
        <f>countif('v2010'!F:F,F148)</f>
        <v>1</v>
      </c>
      <c r="V148" s="22">
        <f>countif('v2006'!F:F,F148)</f>
        <v>1</v>
      </c>
      <c r="W148" s="22">
        <f>countif('v2002'!F:F,F148)</f>
        <v>1</v>
      </c>
      <c r="X148" s="22">
        <f>countif('v1998'!F:F,F148)</f>
        <v>1</v>
      </c>
    </row>
    <row r="149">
      <c r="A149" s="21" t="str">
        <f t="shared" si="13"/>
        <v>helion-proton mass ratio</v>
      </c>
      <c r="B149" s="6" t="s">
        <v>1240</v>
      </c>
      <c r="D149" s="13" t="s">
        <v>1241</v>
      </c>
      <c r="F149" s="22" t="str">
        <f t="shared" si="14"/>
        <v>HelionProtonMassRatio</v>
      </c>
      <c r="G149" s="6" t="s">
        <v>1241</v>
      </c>
      <c r="H149" s="6" t="s">
        <v>1242</v>
      </c>
      <c r="I149" s="6"/>
      <c r="J149" s="6"/>
      <c r="K149" s="13" t="str">
        <f t="shared" si="3"/>
        <v/>
      </c>
      <c r="L149" s="13" t="s">
        <v>338</v>
      </c>
      <c r="M149" s="23">
        <f>countif(Quantities!A:A,L149)</f>
        <v>1</v>
      </c>
      <c r="N149" s="24" t="b">
        <f t="shared" si="4"/>
        <v>1</v>
      </c>
      <c r="O149" s="6" t="s">
        <v>1243</v>
      </c>
      <c r="P149" s="22" t="b">
        <f t="shared" si="5"/>
        <v>1</v>
      </c>
      <c r="Q149" s="22" t="b">
        <f t="shared" si="12"/>
        <v>1</v>
      </c>
      <c r="R149" s="22">
        <f>countif('v2022'!F:F,F149)</f>
        <v>1</v>
      </c>
      <c r="S149" s="22">
        <f>countif('v2018'!F:F,F149)</f>
        <v>1</v>
      </c>
      <c r="T149" s="22">
        <f>countif('v2014'!F:F,F149)</f>
        <v>1</v>
      </c>
      <c r="U149" s="22">
        <f>countif('v2010'!F:F,F149)</f>
        <v>1</v>
      </c>
      <c r="V149" s="22">
        <f>countif('v2006'!F:F,F149)</f>
        <v>1</v>
      </c>
      <c r="W149" s="22">
        <f>countif('v2002'!F:F,F149)</f>
        <v>1</v>
      </c>
      <c r="X149" s="22">
        <f>countif('v1998'!F:F,F149)</f>
        <v>1</v>
      </c>
    </row>
    <row r="150">
      <c r="A150" s="21" t="str">
        <f t="shared" si="13"/>
        <v>helion relative atomic mass</v>
      </c>
      <c r="B150" s="6" t="s">
        <v>1244</v>
      </c>
      <c r="C150" s="6"/>
      <c r="D150" s="13" t="s">
        <v>1245</v>
      </c>
      <c r="F150" s="22" t="str">
        <f t="shared" si="14"/>
        <v>HelionRelativeAtomicMass</v>
      </c>
      <c r="G150" s="6" t="s">
        <v>1245</v>
      </c>
      <c r="H150" s="6" t="s">
        <v>1246</v>
      </c>
      <c r="K150" s="13" t="str">
        <f t="shared" si="3"/>
        <v/>
      </c>
      <c r="L150" s="13" t="s">
        <v>339</v>
      </c>
      <c r="M150" s="23">
        <f>countif(Quantities!A:A,L150)</f>
        <v>1</v>
      </c>
      <c r="N150" s="24" t="b">
        <f t="shared" si="4"/>
        <v>1</v>
      </c>
      <c r="P150" s="22" t="b">
        <f t="shared" si="5"/>
        <v>0</v>
      </c>
      <c r="Q150" s="22" t="b">
        <f t="shared" si="12"/>
        <v>1</v>
      </c>
      <c r="R150" s="22">
        <f>countif('v2022'!F:F,F150)</f>
        <v>1</v>
      </c>
      <c r="S150" s="22">
        <f>countif('v2018'!F:F,F150)</f>
        <v>1</v>
      </c>
      <c r="T150" s="22">
        <f>countif('v2014'!F:F,F150)</f>
        <v>0</v>
      </c>
      <c r="U150" s="22">
        <f>countif('v2010'!F:F,F150)</f>
        <v>0</v>
      </c>
      <c r="V150" s="22">
        <f>countif('v2006'!F:F,F150)</f>
        <v>0</v>
      </c>
      <c r="W150" s="22">
        <f>countif('v2002'!F:F,F150)</f>
        <v>0</v>
      </c>
      <c r="X150" s="22">
        <f>countif('v1998'!F:F,F150)</f>
        <v>0</v>
      </c>
    </row>
    <row r="151">
      <c r="A151" s="21" t="str">
        <f t="shared" si="13"/>
        <v>helion shielding shift</v>
      </c>
      <c r="B151" s="6" t="s">
        <v>1247</v>
      </c>
      <c r="D151" s="13" t="s">
        <v>1248</v>
      </c>
      <c r="F151" s="22" t="str">
        <f t="shared" si="14"/>
        <v>HelionShieldingShift</v>
      </c>
      <c r="G151" s="6" t="s">
        <v>1248</v>
      </c>
      <c r="H151" s="6" t="s">
        <v>1249</v>
      </c>
      <c r="K151" s="13" t="str">
        <f t="shared" si="3"/>
        <v/>
      </c>
      <c r="L151" s="13" t="s">
        <v>340</v>
      </c>
      <c r="M151" s="23">
        <f>countif(Quantities!A:A,L151)</f>
        <v>1</v>
      </c>
      <c r="N151" s="24" t="b">
        <f t="shared" si="4"/>
        <v>1</v>
      </c>
      <c r="P151" s="22" t="b">
        <f t="shared" si="5"/>
        <v>0</v>
      </c>
      <c r="Q151" s="22" t="b">
        <f t="shared" si="12"/>
        <v>1</v>
      </c>
      <c r="R151" s="22">
        <f>countif('v2022'!F:F,F151)</f>
        <v>1</v>
      </c>
      <c r="S151" s="22">
        <f>countif('v2018'!F:F,F151)</f>
        <v>1</v>
      </c>
      <c r="T151" s="22">
        <f>countif('v2014'!F:F,F151)</f>
        <v>0</v>
      </c>
      <c r="U151" s="22">
        <f>countif('v2010'!F:F,F151)</f>
        <v>0</v>
      </c>
      <c r="V151" s="22">
        <f>countif('v2006'!F:F,F151)</f>
        <v>0</v>
      </c>
      <c r="W151" s="22">
        <f>countif('v2002'!F:F,F151)</f>
        <v>0</v>
      </c>
      <c r="X151" s="22">
        <f>countif('v1998'!F:F,F151)</f>
        <v>0</v>
      </c>
    </row>
    <row r="152">
      <c r="A152" s="21" t="str">
        <f t="shared" si="13"/>
        <v>hertz-atomic mass unit relationship</v>
      </c>
      <c r="B152" s="6" t="s">
        <v>1250</v>
      </c>
      <c r="D152" s="13" t="s">
        <v>1251</v>
      </c>
      <c r="E152" s="13" t="s">
        <v>553</v>
      </c>
      <c r="F152" s="22" t="str">
        <f t="shared" si="14"/>
        <v>HertzAtomicMassUnitRelationship</v>
      </c>
      <c r="G152" s="6" t="s">
        <v>1252</v>
      </c>
      <c r="H152" s="6" t="s">
        <v>1253</v>
      </c>
      <c r="I152" s="6"/>
      <c r="J152" s="6" t="s">
        <v>553</v>
      </c>
      <c r="K152" s="14" t="str">
        <f t="shared" si="3"/>
        <v>https://w3id.org/uom/u</v>
      </c>
      <c r="L152" s="13" t="s">
        <v>341</v>
      </c>
      <c r="M152" s="23">
        <f>countif(Quantities!A:A,L152)</f>
        <v>1</v>
      </c>
      <c r="N152" s="24" t="b">
        <f t="shared" si="4"/>
        <v>1</v>
      </c>
      <c r="O152" s="6" t="s">
        <v>1254</v>
      </c>
      <c r="P152" s="22" t="b">
        <f t="shared" si="5"/>
        <v>1</v>
      </c>
      <c r="Q152" s="22" t="b">
        <f t="shared" si="12"/>
        <v>1</v>
      </c>
      <c r="R152" s="22">
        <f>countif('v2022'!F:F,F152)</f>
        <v>1</v>
      </c>
      <c r="S152" s="22">
        <f>countif('v2018'!F:F,F152)</f>
        <v>1</v>
      </c>
      <c r="T152" s="22">
        <f>countif('v2014'!F:F,F152)</f>
        <v>1</v>
      </c>
      <c r="U152" s="22">
        <f>countif('v2010'!F:F,F152)</f>
        <v>1</v>
      </c>
      <c r="V152" s="22">
        <f>countif('v2006'!F:F,F152)</f>
        <v>1</v>
      </c>
      <c r="W152" s="22">
        <f>countif('v2002'!F:F,F152)</f>
        <v>1</v>
      </c>
      <c r="X152" s="22">
        <f>countif('v1998'!F:F,F152)</f>
        <v>1</v>
      </c>
    </row>
    <row r="153">
      <c r="A153" s="21" t="str">
        <f t="shared" si="13"/>
        <v>hertz-electron volt relationship</v>
      </c>
      <c r="B153" s="6" t="s">
        <v>1255</v>
      </c>
      <c r="C153" s="6" t="s">
        <v>1256</v>
      </c>
      <c r="D153" s="13" t="s">
        <v>1257</v>
      </c>
      <c r="E153" s="13" t="s">
        <v>175</v>
      </c>
      <c r="F153" s="22" t="str">
        <f t="shared" si="14"/>
        <v>HertzElectronVoltRelationship</v>
      </c>
      <c r="G153" s="6" t="s">
        <v>1258</v>
      </c>
      <c r="H153" s="6" t="s">
        <v>1259</v>
      </c>
      <c r="I153" s="6"/>
      <c r="J153" s="6" t="s">
        <v>175</v>
      </c>
      <c r="K153" s="14" t="str">
        <f t="shared" si="3"/>
        <v>https://w3id.org/uom/eV</v>
      </c>
      <c r="L153" s="13" t="s">
        <v>342</v>
      </c>
      <c r="M153" s="23">
        <f>countif(Quantities!A:A,L153)</f>
        <v>1</v>
      </c>
      <c r="N153" s="24" t="b">
        <f t="shared" si="4"/>
        <v>1</v>
      </c>
      <c r="O153" s="6" t="s">
        <v>1260</v>
      </c>
      <c r="P153" s="22" t="b">
        <f t="shared" si="5"/>
        <v>1</v>
      </c>
      <c r="Q153" s="22" t="b">
        <f t="shared" si="12"/>
        <v>1</v>
      </c>
      <c r="R153" s="22">
        <f>countif('v2022'!F:F,F153)</f>
        <v>1</v>
      </c>
      <c r="S153" s="22">
        <f>countif('v2018'!F:F,F153)</f>
        <v>1</v>
      </c>
      <c r="T153" s="22">
        <f>countif('v2014'!F:F,F153)</f>
        <v>1</v>
      </c>
      <c r="U153" s="22">
        <f>countif('v2010'!F:F,F153)</f>
        <v>1</v>
      </c>
      <c r="V153" s="22">
        <f>countif('v2006'!F:F,F153)</f>
        <v>1</v>
      </c>
      <c r="W153" s="22">
        <f>countif('v2002'!F:F,F153)</f>
        <v>1</v>
      </c>
      <c r="X153" s="22">
        <f>countif('v1998'!F:F,F153)</f>
        <v>1</v>
      </c>
    </row>
    <row r="154">
      <c r="A154" s="21" t="str">
        <f t="shared" si="13"/>
        <v>hertz-hartree relationship</v>
      </c>
      <c r="B154" s="6" t="s">
        <v>1261</v>
      </c>
      <c r="D154" s="13" t="s">
        <v>1262</v>
      </c>
      <c r="E154" s="13" t="s">
        <v>593</v>
      </c>
      <c r="F154" s="22" t="str">
        <f t="shared" si="14"/>
        <v>HertzHartreeRelationship</v>
      </c>
      <c r="G154" s="6" t="s">
        <v>1263</v>
      </c>
      <c r="H154" s="6" t="s">
        <v>1264</v>
      </c>
      <c r="I154" s="6"/>
      <c r="J154" s="6" t="s">
        <v>596</v>
      </c>
      <c r="K154" s="13" t="str">
        <f t="shared" si="3"/>
        <v/>
      </c>
      <c r="L154" s="13" t="s">
        <v>343</v>
      </c>
      <c r="M154" s="23">
        <f>countif(Quantities!A:A,L154)</f>
        <v>1</v>
      </c>
      <c r="N154" s="24" t="b">
        <f t="shared" si="4"/>
        <v>1</v>
      </c>
      <c r="O154" s="6" t="s">
        <v>1265</v>
      </c>
      <c r="P154" s="22" t="b">
        <f t="shared" si="5"/>
        <v>1</v>
      </c>
      <c r="Q154" s="22" t="b">
        <f t="shared" si="12"/>
        <v>1</v>
      </c>
      <c r="R154" s="22">
        <f>countif('v2022'!F:F,F154)</f>
        <v>1</v>
      </c>
      <c r="S154" s="22">
        <f>countif('v2018'!F:F,F154)</f>
        <v>1</v>
      </c>
      <c r="T154" s="22">
        <f>countif('v2014'!F:F,F154)</f>
        <v>1</v>
      </c>
      <c r="U154" s="22">
        <f>countif('v2010'!F:F,F154)</f>
        <v>1</v>
      </c>
      <c r="V154" s="22">
        <f>countif('v2006'!F:F,F154)</f>
        <v>1</v>
      </c>
      <c r="W154" s="22">
        <f>countif('v2002'!F:F,F154)</f>
        <v>1</v>
      </c>
      <c r="X154" s="22">
        <f>countif('v1998'!F:F,F154)</f>
        <v>1</v>
      </c>
    </row>
    <row r="155">
      <c r="A155" s="21" t="str">
        <f t="shared" si="13"/>
        <v>hertz-inverse meter relationship</v>
      </c>
      <c r="B155" s="6" t="s">
        <v>1266</v>
      </c>
      <c r="D155" s="13" t="s">
        <v>1267</v>
      </c>
      <c r="E155" s="13" t="s">
        <v>606</v>
      </c>
      <c r="F155" s="22" t="str">
        <f t="shared" si="14"/>
        <v>HertzInverseMeterRelationship</v>
      </c>
      <c r="G155" s="6" t="s">
        <v>1268</v>
      </c>
      <c r="H155" s="6" t="s">
        <v>1269</v>
      </c>
      <c r="I155" s="6"/>
      <c r="J155" s="6" t="s">
        <v>609</v>
      </c>
      <c r="K155" s="14" t="str">
        <f t="shared" si="3"/>
        <v>https://w3id.org/uom/m-1</v>
      </c>
      <c r="L155" s="13" t="s">
        <v>344</v>
      </c>
      <c r="M155" s="23">
        <f>countif(Quantities!A:A,L155)</f>
        <v>1</v>
      </c>
      <c r="N155" s="24" t="b">
        <f t="shared" si="4"/>
        <v>1</v>
      </c>
      <c r="O155" s="6" t="s">
        <v>1270</v>
      </c>
      <c r="P155" s="22" t="b">
        <f t="shared" si="5"/>
        <v>1</v>
      </c>
      <c r="Q155" s="22" t="b">
        <f t="shared" si="12"/>
        <v>1</v>
      </c>
      <c r="R155" s="22">
        <f>countif('v2022'!F:F,F155)</f>
        <v>1</v>
      </c>
      <c r="S155" s="22">
        <f>countif('v2018'!F:F,F155)</f>
        <v>1</v>
      </c>
      <c r="T155" s="22">
        <f>countif('v2014'!F:F,F155)</f>
        <v>1</v>
      </c>
      <c r="U155" s="22">
        <f>countif('v2010'!F:F,F155)</f>
        <v>1</v>
      </c>
      <c r="V155" s="22">
        <f>countif('v2006'!F:F,F155)</f>
        <v>1</v>
      </c>
      <c r="W155" s="22">
        <f>countif('v2002'!F:F,F155)</f>
        <v>1</v>
      </c>
      <c r="X155" s="22">
        <f>countif('v1998'!F:F,F155)</f>
        <v>1</v>
      </c>
    </row>
    <row r="156">
      <c r="A156" s="21" t="str">
        <f t="shared" si="13"/>
        <v>hertz-joule relationship</v>
      </c>
      <c r="B156" s="6" t="s">
        <v>1271</v>
      </c>
      <c r="D156" s="13" t="s">
        <v>1272</v>
      </c>
      <c r="E156" s="13" t="s">
        <v>543</v>
      </c>
      <c r="F156" s="22" t="str">
        <f t="shared" si="14"/>
        <v>HertzJouleRelationship</v>
      </c>
      <c r="G156" s="6" t="s">
        <v>1273</v>
      </c>
      <c r="H156" s="6" t="s">
        <v>1274</v>
      </c>
      <c r="I156" s="6"/>
      <c r="J156" s="6" t="s">
        <v>543</v>
      </c>
      <c r="K156" s="14" t="str">
        <f t="shared" si="3"/>
        <v>https://w3id.org/uom/J</v>
      </c>
      <c r="L156" s="13" t="s">
        <v>345</v>
      </c>
      <c r="M156" s="23">
        <f>countif(Quantities!A:A,L156)</f>
        <v>1</v>
      </c>
      <c r="N156" s="24" t="b">
        <f t="shared" si="4"/>
        <v>1</v>
      </c>
      <c r="O156" s="6" t="s">
        <v>1275</v>
      </c>
      <c r="P156" s="22" t="b">
        <f t="shared" si="5"/>
        <v>1</v>
      </c>
      <c r="Q156" s="22" t="b">
        <f t="shared" si="12"/>
        <v>1</v>
      </c>
      <c r="R156" s="22">
        <f>countif('v2022'!F:F,F156)</f>
        <v>1</v>
      </c>
      <c r="S156" s="22">
        <f>countif('v2018'!F:F,F156)</f>
        <v>1</v>
      </c>
      <c r="T156" s="22">
        <f>countif('v2014'!F:F,F156)</f>
        <v>1</v>
      </c>
      <c r="U156" s="22">
        <f>countif('v2010'!F:F,F156)</f>
        <v>1</v>
      </c>
      <c r="V156" s="22">
        <f>countif('v2006'!F:F,F156)</f>
        <v>1</v>
      </c>
      <c r="W156" s="22">
        <f>countif('v2002'!F:F,F156)</f>
        <v>1</v>
      </c>
      <c r="X156" s="22">
        <f>countif('v1998'!F:F,F156)</f>
        <v>1</v>
      </c>
    </row>
    <row r="157">
      <c r="A157" s="21" t="str">
        <f t="shared" si="13"/>
        <v>hertz-kelvin relationship</v>
      </c>
      <c r="B157" s="6" t="s">
        <v>1276</v>
      </c>
      <c r="D157" s="13" t="s">
        <v>1277</v>
      </c>
      <c r="E157" s="13" t="s">
        <v>618</v>
      </c>
      <c r="F157" s="22" t="str">
        <f t="shared" si="14"/>
        <v>HertzKelvinRelationship</v>
      </c>
      <c r="G157" s="6" t="s">
        <v>1278</v>
      </c>
      <c r="H157" s="6" t="s">
        <v>1279</v>
      </c>
      <c r="I157" s="6"/>
      <c r="J157" s="6" t="s">
        <v>618</v>
      </c>
      <c r="K157" s="14" t="str">
        <f t="shared" si="3"/>
        <v>https://w3id.org/uom/K</v>
      </c>
      <c r="L157" s="13" t="s">
        <v>346</v>
      </c>
      <c r="M157" s="23">
        <f>countif(Quantities!A:A,L157)</f>
        <v>1</v>
      </c>
      <c r="N157" s="24" t="b">
        <f t="shared" si="4"/>
        <v>1</v>
      </c>
      <c r="O157" s="6" t="s">
        <v>1280</v>
      </c>
      <c r="P157" s="22" t="b">
        <f t="shared" si="5"/>
        <v>1</v>
      </c>
      <c r="Q157" s="22" t="b">
        <f t="shared" si="12"/>
        <v>1</v>
      </c>
      <c r="R157" s="22">
        <f>countif('v2022'!F:F,F157)</f>
        <v>1</v>
      </c>
      <c r="S157" s="22">
        <f>countif('v2018'!F:F,F157)</f>
        <v>1</v>
      </c>
      <c r="T157" s="22">
        <f>countif('v2014'!F:F,F157)</f>
        <v>1</v>
      </c>
      <c r="U157" s="22">
        <f>countif('v2010'!F:F,F157)</f>
        <v>1</v>
      </c>
      <c r="V157" s="22">
        <f>countif('v2006'!F:F,F157)</f>
        <v>1</v>
      </c>
      <c r="W157" s="22">
        <f>countif('v2002'!F:F,F157)</f>
        <v>1</v>
      </c>
      <c r="X157" s="22">
        <f>countif('v1998'!F:F,F157)</f>
        <v>1</v>
      </c>
    </row>
    <row r="158">
      <c r="A158" s="21" t="str">
        <f t="shared" si="13"/>
        <v>hertz-kilogram relationship</v>
      </c>
      <c r="B158" s="6" t="s">
        <v>1281</v>
      </c>
      <c r="D158" s="13" t="s">
        <v>1282</v>
      </c>
      <c r="E158" s="13" t="s">
        <v>538</v>
      </c>
      <c r="F158" s="22" t="str">
        <f t="shared" si="14"/>
        <v>HertzKilogramRelationship</v>
      </c>
      <c r="G158" s="6" t="s">
        <v>1283</v>
      </c>
      <c r="H158" s="6" t="s">
        <v>1284</v>
      </c>
      <c r="I158" s="6"/>
      <c r="J158" s="6" t="s">
        <v>538</v>
      </c>
      <c r="K158" s="14" t="str">
        <f t="shared" si="3"/>
        <v>https://w3id.org/uom/kg</v>
      </c>
      <c r="L158" s="13" t="s">
        <v>347</v>
      </c>
      <c r="M158" s="23">
        <f>countif(Quantities!A:A,L158)</f>
        <v>1</v>
      </c>
      <c r="N158" s="24" t="b">
        <f t="shared" si="4"/>
        <v>1</v>
      </c>
      <c r="O158" s="6" t="s">
        <v>1285</v>
      </c>
      <c r="P158" s="22" t="b">
        <f t="shared" si="5"/>
        <v>1</v>
      </c>
      <c r="Q158" s="22" t="b">
        <f t="shared" si="12"/>
        <v>1</v>
      </c>
      <c r="R158" s="22">
        <f>countif('v2022'!F:F,F158)</f>
        <v>1</v>
      </c>
      <c r="S158" s="22">
        <f>countif('v2018'!F:F,F158)</f>
        <v>1</v>
      </c>
      <c r="T158" s="22">
        <f>countif('v2014'!F:F,F158)</f>
        <v>1</v>
      </c>
      <c r="U158" s="22">
        <f>countif('v2010'!F:F,F158)</f>
        <v>1</v>
      </c>
      <c r="V158" s="22">
        <f>countif('v2006'!F:F,F158)</f>
        <v>1</v>
      </c>
      <c r="W158" s="22">
        <f>countif('v2002'!F:F,F158)</f>
        <v>1</v>
      </c>
      <c r="X158" s="22">
        <f>countif('v1998'!F:F,F158)</f>
        <v>1</v>
      </c>
    </row>
    <row r="159">
      <c r="A159" s="21" t="str">
        <f t="shared" si="13"/>
        <v>hyperfine transition frequency of Cs-133</v>
      </c>
      <c r="B159" s="6" t="s">
        <v>1286</v>
      </c>
      <c r="D159" s="13" t="s">
        <v>1287</v>
      </c>
      <c r="E159" s="13" t="s">
        <v>600</v>
      </c>
      <c r="F159" s="22" t="str">
        <f t="shared" si="14"/>
        <v>HyperfineTransitionFrequencyOfCs-133</v>
      </c>
      <c r="G159" s="6" t="s">
        <v>1287</v>
      </c>
      <c r="H159" s="6" t="s">
        <v>1288</v>
      </c>
      <c r="I159" s="6"/>
      <c r="J159" s="6" t="s">
        <v>600</v>
      </c>
      <c r="K159" s="14" t="str">
        <f t="shared" si="3"/>
        <v>https://w3id.org/uom/Hz</v>
      </c>
      <c r="L159" s="13" t="s">
        <v>186</v>
      </c>
      <c r="M159" s="23">
        <f>countif(Quantities!A:A,L159)</f>
        <v>1</v>
      </c>
      <c r="N159" s="24" t="b">
        <f t="shared" si="4"/>
        <v>1</v>
      </c>
      <c r="P159" s="22" t="b">
        <f t="shared" si="5"/>
        <v>0</v>
      </c>
      <c r="Q159" s="22" t="b">
        <f t="shared" si="12"/>
        <v>1</v>
      </c>
      <c r="R159" s="22">
        <f>countif('v2022'!F:F,F159)</f>
        <v>1</v>
      </c>
      <c r="S159" s="22">
        <f>countif('v2018'!F:F,F159)</f>
        <v>1</v>
      </c>
      <c r="T159" s="22">
        <f>countif('v2014'!F:F,F159)</f>
        <v>0</v>
      </c>
      <c r="U159" s="22">
        <f>countif('v2010'!F:F,F159)</f>
        <v>0</v>
      </c>
      <c r="V159" s="22">
        <f>countif('v2006'!F:F,F159)</f>
        <v>0</v>
      </c>
      <c r="W159" s="22">
        <f>countif('v2002'!F:F,F159)</f>
        <v>0</v>
      </c>
      <c r="X159" s="22">
        <f>countif('v1998'!F:F,F159)</f>
        <v>0</v>
      </c>
    </row>
    <row r="160">
      <c r="A160" s="21" t="str">
        <f t="shared" si="13"/>
        <v>inverse fine-structure constant</v>
      </c>
      <c r="B160" s="6" t="s">
        <v>1289</v>
      </c>
      <c r="C160" s="6"/>
      <c r="D160" s="13" t="s">
        <v>1290</v>
      </c>
      <c r="F160" s="22" t="str">
        <f t="shared" si="14"/>
        <v>InverseFineStructureConstant</v>
      </c>
      <c r="G160" s="6" t="s">
        <v>1290</v>
      </c>
      <c r="H160" s="6" t="s">
        <v>1291</v>
      </c>
      <c r="I160" s="6"/>
      <c r="J160" s="6"/>
      <c r="K160" s="13" t="str">
        <f t="shared" si="3"/>
        <v/>
      </c>
      <c r="L160" s="13" t="s">
        <v>348</v>
      </c>
      <c r="M160" s="23">
        <f>countif(Quantities!A:A,L160)</f>
        <v>1</v>
      </c>
      <c r="N160" s="24" t="b">
        <f t="shared" si="4"/>
        <v>1</v>
      </c>
      <c r="O160" s="6" t="s">
        <v>1292</v>
      </c>
      <c r="P160" s="22" t="b">
        <f t="shared" si="5"/>
        <v>1</v>
      </c>
      <c r="Q160" s="22" t="b">
        <f t="shared" si="12"/>
        <v>1</v>
      </c>
      <c r="R160" s="22">
        <f>countif('v2022'!F:F,F160)</f>
        <v>1</v>
      </c>
      <c r="S160" s="22">
        <f>countif('v2018'!F:F,F160)</f>
        <v>1</v>
      </c>
      <c r="T160" s="22">
        <f>countif('v2014'!F:F,F160)</f>
        <v>1</v>
      </c>
      <c r="U160" s="22">
        <f>countif('v2010'!F:F,F160)</f>
        <v>1</v>
      </c>
      <c r="V160" s="22">
        <f>countif('v2006'!F:F,F160)</f>
        <v>1</v>
      </c>
      <c r="W160" s="22">
        <f>countif('v2002'!F:F,F160)</f>
        <v>1</v>
      </c>
      <c r="X160" s="22">
        <f>countif('v1998'!F:F,F160)</f>
        <v>1</v>
      </c>
    </row>
    <row r="161">
      <c r="A161" s="21" t="str">
        <f t="shared" si="13"/>
        <v>inverse meter-atomic mass unit relationship</v>
      </c>
      <c r="B161" s="6" t="s">
        <v>1293</v>
      </c>
      <c r="D161" s="13" t="s">
        <v>1294</v>
      </c>
      <c r="E161" s="13" t="s">
        <v>553</v>
      </c>
      <c r="F161" s="22" t="str">
        <f t="shared" si="14"/>
        <v>InverseMeterAtomicMassUnitRelationship</v>
      </c>
      <c r="G161" s="6" t="s">
        <v>1295</v>
      </c>
      <c r="H161" s="6" t="s">
        <v>1296</v>
      </c>
      <c r="I161" s="6"/>
      <c r="J161" s="6" t="s">
        <v>553</v>
      </c>
      <c r="K161" s="14" t="str">
        <f t="shared" si="3"/>
        <v>https://w3id.org/uom/u</v>
      </c>
      <c r="L161" s="13" t="s">
        <v>349</v>
      </c>
      <c r="M161" s="23">
        <f>countif(Quantities!A:A,L161)</f>
        <v>1</v>
      </c>
      <c r="N161" s="24" t="b">
        <f t="shared" si="4"/>
        <v>1</v>
      </c>
      <c r="O161" s="6" t="s">
        <v>1297</v>
      </c>
      <c r="P161" s="22" t="b">
        <f t="shared" si="5"/>
        <v>1</v>
      </c>
      <c r="Q161" s="22" t="b">
        <f t="shared" si="12"/>
        <v>1</v>
      </c>
      <c r="R161" s="22">
        <f>countif('v2022'!F:F,F161)</f>
        <v>1</v>
      </c>
      <c r="S161" s="22">
        <f>countif('v2018'!F:F,F161)</f>
        <v>1</v>
      </c>
      <c r="T161" s="22">
        <f>countif('v2014'!F:F,F161)</f>
        <v>1</v>
      </c>
      <c r="U161" s="22">
        <f>countif('v2010'!F:F,F161)</f>
        <v>1</v>
      </c>
      <c r="V161" s="22">
        <f>countif('v2006'!F:F,F161)</f>
        <v>1</v>
      </c>
      <c r="W161" s="22">
        <f>countif('v2002'!F:F,F161)</f>
        <v>1</v>
      </c>
      <c r="X161" s="22">
        <f>countif('v1998'!F:F,F161)</f>
        <v>1</v>
      </c>
    </row>
    <row r="162">
      <c r="A162" s="21" t="str">
        <f t="shared" si="13"/>
        <v>inverse meter-electron volt relationship</v>
      </c>
      <c r="B162" s="6" t="s">
        <v>1298</v>
      </c>
      <c r="C162" s="6" t="s">
        <v>1299</v>
      </c>
      <c r="D162" s="13" t="s">
        <v>1300</v>
      </c>
      <c r="E162" s="13" t="s">
        <v>175</v>
      </c>
      <c r="F162" s="22" t="str">
        <f t="shared" si="14"/>
        <v>InverseMeterElectronVoltRelationship</v>
      </c>
      <c r="G162" s="6" t="s">
        <v>1301</v>
      </c>
      <c r="H162" s="6" t="s">
        <v>1302</v>
      </c>
      <c r="I162" s="6"/>
      <c r="J162" s="6" t="s">
        <v>175</v>
      </c>
      <c r="K162" s="14" t="str">
        <f t="shared" si="3"/>
        <v>https://w3id.org/uom/eV</v>
      </c>
      <c r="L162" s="13" t="s">
        <v>350</v>
      </c>
      <c r="M162" s="23">
        <f>countif(Quantities!A:A,L162)</f>
        <v>1</v>
      </c>
      <c r="N162" s="24" t="b">
        <f t="shared" si="4"/>
        <v>1</v>
      </c>
      <c r="O162" s="6" t="s">
        <v>1303</v>
      </c>
      <c r="P162" s="22" t="b">
        <f t="shared" si="5"/>
        <v>1</v>
      </c>
      <c r="Q162" s="22" t="b">
        <f t="shared" si="12"/>
        <v>1</v>
      </c>
      <c r="R162" s="22">
        <f>countif('v2022'!F:F,F162)</f>
        <v>1</v>
      </c>
      <c r="S162" s="22">
        <f>countif('v2018'!F:F,F162)</f>
        <v>1</v>
      </c>
      <c r="T162" s="22">
        <f>countif('v2014'!F:F,F162)</f>
        <v>1</v>
      </c>
      <c r="U162" s="22">
        <f>countif('v2010'!F:F,F162)</f>
        <v>1</v>
      </c>
      <c r="V162" s="22">
        <f>countif('v2006'!F:F,F162)</f>
        <v>1</v>
      </c>
      <c r="W162" s="22">
        <f>countif('v2002'!F:F,F162)</f>
        <v>1</v>
      </c>
      <c r="X162" s="22">
        <f>countif('v1998'!F:F,F162)</f>
        <v>1</v>
      </c>
    </row>
    <row r="163">
      <c r="A163" s="21" t="str">
        <f t="shared" si="13"/>
        <v>inverse meter-hartree relationship</v>
      </c>
      <c r="B163" s="6" t="s">
        <v>1304</v>
      </c>
      <c r="D163" s="13" t="s">
        <v>1305</v>
      </c>
      <c r="E163" s="13" t="s">
        <v>593</v>
      </c>
      <c r="F163" s="22" t="str">
        <f t="shared" si="14"/>
        <v>InverseMeterHartreeRelationship</v>
      </c>
      <c r="G163" s="6" t="s">
        <v>1305</v>
      </c>
      <c r="H163" s="6" t="s">
        <v>1306</v>
      </c>
      <c r="I163" s="6"/>
      <c r="J163" s="6" t="s">
        <v>596</v>
      </c>
      <c r="K163" s="13" t="str">
        <f t="shared" si="3"/>
        <v/>
      </c>
      <c r="L163" s="13" t="s">
        <v>351</v>
      </c>
      <c r="M163" s="23">
        <f>countif(Quantities!A:A,L163)</f>
        <v>1</v>
      </c>
      <c r="N163" s="24" t="b">
        <f t="shared" si="4"/>
        <v>1</v>
      </c>
      <c r="O163" s="6" t="s">
        <v>1307</v>
      </c>
      <c r="P163" s="22" t="b">
        <f t="shared" si="5"/>
        <v>1</v>
      </c>
      <c r="Q163" s="22" t="b">
        <f t="shared" si="12"/>
        <v>1</v>
      </c>
      <c r="R163" s="22">
        <f>countif('v2022'!F:F,F163)</f>
        <v>1</v>
      </c>
      <c r="S163" s="22">
        <f>countif('v2018'!F:F,F163)</f>
        <v>1</v>
      </c>
      <c r="T163" s="22">
        <f>countif('v2014'!F:F,F163)</f>
        <v>1</v>
      </c>
      <c r="U163" s="22">
        <f>countif('v2010'!F:F,F163)</f>
        <v>1</v>
      </c>
      <c r="V163" s="22">
        <f>countif('v2006'!F:F,F163)</f>
        <v>1</v>
      </c>
      <c r="W163" s="22">
        <f>countif('v2002'!F:F,F163)</f>
        <v>1</v>
      </c>
      <c r="X163" s="22">
        <f>countif('v1998'!F:F,F163)</f>
        <v>1</v>
      </c>
    </row>
    <row r="164">
      <c r="A164" s="21" t="str">
        <f t="shared" si="13"/>
        <v>inverse meter-hertz relationship</v>
      </c>
      <c r="B164" s="6" t="s">
        <v>1308</v>
      </c>
      <c r="D164" s="13" t="s">
        <v>1309</v>
      </c>
      <c r="E164" s="13" t="s">
        <v>600</v>
      </c>
      <c r="F164" s="22" t="str">
        <f t="shared" si="14"/>
        <v>InverseMeterHertzRelationship</v>
      </c>
      <c r="G164" s="6" t="s">
        <v>1310</v>
      </c>
      <c r="H164" s="6" t="s">
        <v>1311</v>
      </c>
      <c r="I164" s="6"/>
      <c r="J164" s="6" t="s">
        <v>600</v>
      </c>
      <c r="K164" s="14" t="str">
        <f t="shared" si="3"/>
        <v>https://w3id.org/uom/Hz</v>
      </c>
      <c r="L164" s="13" t="s">
        <v>352</v>
      </c>
      <c r="M164" s="23">
        <f>countif(Quantities!A:A,L164)</f>
        <v>1</v>
      </c>
      <c r="N164" s="24" t="b">
        <f t="shared" si="4"/>
        <v>1</v>
      </c>
      <c r="O164" s="6" t="s">
        <v>1312</v>
      </c>
      <c r="P164" s="22" t="b">
        <f t="shared" si="5"/>
        <v>1</v>
      </c>
      <c r="Q164" s="22" t="b">
        <f t="shared" si="12"/>
        <v>1</v>
      </c>
      <c r="R164" s="22">
        <f>countif('v2022'!F:F,F164)</f>
        <v>1</v>
      </c>
      <c r="S164" s="22">
        <f>countif('v2018'!F:F,F164)</f>
        <v>1</v>
      </c>
      <c r="T164" s="22">
        <f>countif('v2014'!F:F,F164)</f>
        <v>1</v>
      </c>
      <c r="U164" s="22">
        <f>countif('v2010'!F:F,F164)</f>
        <v>1</v>
      </c>
      <c r="V164" s="22">
        <f>countif('v2006'!F:F,F164)</f>
        <v>1</v>
      </c>
      <c r="W164" s="22">
        <f>countif('v2002'!F:F,F164)</f>
        <v>1</v>
      </c>
      <c r="X164" s="22">
        <f>countif('v1998'!F:F,F164)</f>
        <v>1</v>
      </c>
    </row>
    <row r="165">
      <c r="A165" s="21" t="str">
        <f t="shared" si="13"/>
        <v>inverse meter-joule relationship</v>
      </c>
      <c r="B165" s="6" t="s">
        <v>1313</v>
      </c>
      <c r="D165" s="13" t="s">
        <v>1314</v>
      </c>
      <c r="E165" s="13" t="s">
        <v>543</v>
      </c>
      <c r="F165" s="22" t="str">
        <f t="shared" si="14"/>
        <v>InverseMeterJouleRelationship</v>
      </c>
      <c r="G165" s="6" t="s">
        <v>1315</v>
      </c>
      <c r="H165" s="6" t="s">
        <v>1316</v>
      </c>
      <c r="I165" s="6"/>
      <c r="J165" s="6" t="s">
        <v>543</v>
      </c>
      <c r="K165" s="14" t="str">
        <f t="shared" si="3"/>
        <v>https://w3id.org/uom/J</v>
      </c>
      <c r="L165" s="13" t="s">
        <v>353</v>
      </c>
      <c r="M165" s="23">
        <f>countif(Quantities!A:A,L165)</f>
        <v>1</v>
      </c>
      <c r="N165" s="24" t="b">
        <f t="shared" si="4"/>
        <v>1</v>
      </c>
      <c r="O165" s="6" t="s">
        <v>1317</v>
      </c>
      <c r="P165" s="22" t="b">
        <f t="shared" si="5"/>
        <v>1</v>
      </c>
      <c r="Q165" s="22" t="b">
        <f t="shared" si="12"/>
        <v>1</v>
      </c>
      <c r="R165" s="22">
        <f>countif('v2022'!F:F,F165)</f>
        <v>1</v>
      </c>
      <c r="S165" s="22">
        <f>countif('v2018'!F:F,F165)</f>
        <v>1</v>
      </c>
      <c r="T165" s="22">
        <f>countif('v2014'!F:F,F165)</f>
        <v>1</v>
      </c>
      <c r="U165" s="22">
        <f>countif('v2010'!F:F,F165)</f>
        <v>1</v>
      </c>
      <c r="V165" s="22">
        <f>countif('v2006'!F:F,F165)</f>
        <v>1</v>
      </c>
      <c r="W165" s="22">
        <f>countif('v2002'!F:F,F165)</f>
        <v>1</v>
      </c>
      <c r="X165" s="22">
        <f>countif('v1998'!F:F,F165)</f>
        <v>1</v>
      </c>
    </row>
    <row r="166">
      <c r="A166" s="21" t="str">
        <f t="shared" si="13"/>
        <v>inverse meter-kelvin relationship</v>
      </c>
      <c r="B166" s="6" t="s">
        <v>1318</v>
      </c>
      <c r="D166" s="13" t="s">
        <v>1319</v>
      </c>
      <c r="E166" s="13" t="s">
        <v>618</v>
      </c>
      <c r="F166" s="22" t="str">
        <f t="shared" si="14"/>
        <v>InverseMeterKelvinRelationship</v>
      </c>
      <c r="G166" s="6" t="s">
        <v>1320</v>
      </c>
      <c r="H166" s="6" t="s">
        <v>1321</v>
      </c>
      <c r="I166" s="6"/>
      <c r="J166" s="6" t="s">
        <v>618</v>
      </c>
      <c r="K166" s="14" t="str">
        <f t="shared" si="3"/>
        <v>https://w3id.org/uom/K</v>
      </c>
      <c r="L166" s="13" t="s">
        <v>354</v>
      </c>
      <c r="M166" s="23">
        <f>countif(Quantities!A:A,L166)</f>
        <v>1</v>
      </c>
      <c r="N166" s="24" t="b">
        <f t="shared" si="4"/>
        <v>1</v>
      </c>
      <c r="O166" s="6" t="s">
        <v>1322</v>
      </c>
      <c r="P166" s="22" t="b">
        <f t="shared" si="5"/>
        <v>1</v>
      </c>
      <c r="Q166" s="22" t="b">
        <f t="shared" si="12"/>
        <v>1</v>
      </c>
      <c r="R166" s="22">
        <f>countif('v2022'!F:F,F166)</f>
        <v>1</v>
      </c>
      <c r="S166" s="22">
        <f>countif('v2018'!F:F,F166)</f>
        <v>1</v>
      </c>
      <c r="T166" s="22">
        <f>countif('v2014'!F:F,F166)</f>
        <v>1</v>
      </c>
      <c r="U166" s="22">
        <f>countif('v2010'!F:F,F166)</f>
        <v>1</v>
      </c>
      <c r="V166" s="22">
        <f>countif('v2006'!F:F,F166)</f>
        <v>1</v>
      </c>
      <c r="W166" s="22">
        <f>countif('v2002'!F:F,F166)</f>
        <v>1</v>
      </c>
      <c r="X166" s="22">
        <f>countif('v1998'!F:F,F166)</f>
        <v>1</v>
      </c>
    </row>
    <row r="167">
      <c r="A167" s="21" t="str">
        <f t="shared" si="13"/>
        <v>inverse meter-kilogram relationship</v>
      </c>
      <c r="B167" s="6" t="s">
        <v>1323</v>
      </c>
      <c r="D167" s="13" t="s">
        <v>1324</v>
      </c>
      <c r="E167" s="13" t="s">
        <v>538</v>
      </c>
      <c r="F167" s="22" t="str">
        <f t="shared" si="14"/>
        <v>InverseMeterKilogramRelationship</v>
      </c>
      <c r="G167" s="6" t="s">
        <v>1325</v>
      </c>
      <c r="H167" s="6" t="s">
        <v>1326</v>
      </c>
      <c r="I167" s="6"/>
      <c r="J167" s="6" t="s">
        <v>538</v>
      </c>
      <c r="K167" s="14" t="str">
        <f t="shared" si="3"/>
        <v>https://w3id.org/uom/kg</v>
      </c>
      <c r="L167" s="13" t="s">
        <v>355</v>
      </c>
      <c r="M167" s="23">
        <f>countif(Quantities!A:A,L167)</f>
        <v>1</v>
      </c>
      <c r="N167" s="24" t="b">
        <f t="shared" si="4"/>
        <v>1</v>
      </c>
      <c r="O167" s="6" t="s">
        <v>1327</v>
      </c>
      <c r="P167" s="22" t="b">
        <f t="shared" si="5"/>
        <v>1</v>
      </c>
      <c r="Q167" s="22" t="b">
        <f t="shared" si="12"/>
        <v>1</v>
      </c>
      <c r="R167" s="22">
        <f>countif('v2022'!F:F,F167)</f>
        <v>1</v>
      </c>
      <c r="S167" s="22">
        <f>countif('v2018'!F:F,F167)</f>
        <v>1</v>
      </c>
      <c r="T167" s="22">
        <f>countif('v2014'!F:F,F167)</f>
        <v>1</v>
      </c>
      <c r="U167" s="22">
        <f>countif('v2010'!F:F,F167)</f>
        <v>1</v>
      </c>
      <c r="V167" s="22">
        <f>countif('v2006'!F:F,F167)</f>
        <v>1</v>
      </c>
      <c r="W167" s="22">
        <f>countif('v2002'!F:F,F167)</f>
        <v>1</v>
      </c>
      <c r="X167" s="22">
        <f>countif('v1998'!F:F,F167)</f>
        <v>1</v>
      </c>
    </row>
    <row r="168">
      <c r="A168" s="21" t="str">
        <f t="shared" si="13"/>
        <v>inverse of conductance quantum</v>
      </c>
      <c r="B168" s="6" t="s">
        <v>1328</v>
      </c>
      <c r="D168" s="13" t="s">
        <v>1329</v>
      </c>
      <c r="E168" s="13" t="s">
        <v>814</v>
      </c>
      <c r="F168" s="22" t="str">
        <f t="shared" si="14"/>
        <v>InverseOfConductanceQuantum</v>
      </c>
      <c r="G168" s="6" t="s">
        <v>1329</v>
      </c>
      <c r="H168" s="6" t="s">
        <v>1330</v>
      </c>
      <c r="I168" s="6"/>
      <c r="J168" s="6" t="s">
        <v>816</v>
      </c>
      <c r="K168" s="14" t="str">
        <f t="shared" si="3"/>
        <v>https://w3id.org/uom/Ohm</v>
      </c>
      <c r="L168" s="13" t="s">
        <v>356</v>
      </c>
      <c r="M168" s="23">
        <f>countif(Quantities!A:A,L168)</f>
        <v>1</v>
      </c>
      <c r="N168" s="24" t="b">
        <f t="shared" si="4"/>
        <v>1</v>
      </c>
      <c r="O168" s="6" t="s">
        <v>1331</v>
      </c>
      <c r="P168" s="22" t="b">
        <f t="shared" si="5"/>
        <v>1</v>
      </c>
      <c r="Q168" s="22" t="b">
        <f t="shared" si="12"/>
        <v>1</v>
      </c>
      <c r="R168" s="22">
        <f>countif('v2022'!F:F,F168)</f>
        <v>1</v>
      </c>
      <c r="S168" s="22">
        <f>countif('v2018'!F:F,F168)</f>
        <v>1</v>
      </c>
      <c r="T168" s="22">
        <f>countif('v2014'!F:F,F168)</f>
        <v>1</v>
      </c>
      <c r="U168" s="22">
        <f>countif('v2010'!F:F,F168)</f>
        <v>1</v>
      </c>
      <c r="V168" s="22">
        <f>countif('v2006'!F:F,F168)</f>
        <v>1</v>
      </c>
      <c r="W168" s="22">
        <f>countif('v2002'!F:F,F168)</f>
        <v>1</v>
      </c>
      <c r="X168" s="22">
        <f>countif('v1998'!F:F,F168)</f>
        <v>1</v>
      </c>
    </row>
    <row r="169">
      <c r="A169" s="21" t="str">
        <f t="shared" si="13"/>
        <v>Josephson constant</v>
      </c>
      <c r="B169" s="6" t="s">
        <v>1332</v>
      </c>
      <c r="D169" s="13" t="s">
        <v>1333</v>
      </c>
      <c r="E169" s="13" t="s">
        <v>847</v>
      </c>
      <c r="F169" s="22" t="str">
        <f t="shared" si="14"/>
        <v>JosephsonConstant</v>
      </c>
      <c r="G169" s="6" t="s">
        <v>1333</v>
      </c>
      <c r="H169" s="6" t="s">
        <v>1334</v>
      </c>
      <c r="I169" s="6"/>
      <c r="J169" s="6" t="s">
        <v>849</v>
      </c>
      <c r="K169" s="14" t="str">
        <f t="shared" si="3"/>
        <v>https://w3id.org/uom/Hz.V-1</v>
      </c>
      <c r="L169" s="13" t="s">
        <v>357</v>
      </c>
      <c r="M169" s="23">
        <f>countif(Quantities!A:A,L169)</f>
        <v>1</v>
      </c>
      <c r="N169" s="24" t="b">
        <f t="shared" si="4"/>
        <v>1</v>
      </c>
      <c r="O169" s="6" t="s">
        <v>1335</v>
      </c>
      <c r="P169" s="22" t="b">
        <f t="shared" si="5"/>
        <v>1</v>
      </c>
      <c r="Q169" s="22" t="b">
        <f t="shared" si="12"/>
        <v>1</v>
      </c>
      <c r="R169" s="22">
        <f>countif('v2022'!F:F,F169)</f>
        <v>1</v>
      </c>
      <c r="S169" s="22">
        <f>countif('v2018'!F:F,F169)</f>
        <v>1</v>
      </c>
      <c r="T169" s="22">
        <f>countif('v2014'!F:F,F169)</f>
        <v>1</v>
      </c>
      <c r="U169" s="22">
        <f>countif('v2010'!F:F,F169)</f>
        <v>1</v>
      </c>
      <c r="V169" s="22">
        <f>countif('v2006'!F:F,F169)</f>
        <v>1</v>
      </c>
      <c r="W169" s="22">
        <f>countif('v2002'!F:F,F169)</f>
        <v>1</v>
      </c>
      <c r="X169" s="22">
        <f>countif('v1998'!F:F,F169)</f>
        <v>1</v>
      </c>
    </row>
    <row r="170">
      <c r="A170" s="21" t="str">
        <f t="shared" si="13"/>
        <v>joule-atomic mass unit relationship</v>
      </c>
      <c r="B170" s="6" t="s">
        <v>1336</v>
      </c>
      <c r="D170" s="13" t="s">
        <v>1337</v>
      </c>
      <c r="E170" s="13" t="s">
        <v>553</v>
      </c>
      <c r="F170" s="22" t="str">
        <f t="shared" si="14"/>
        <v>JouleAtomicMassUnitRelationship</v>
      </c>
      <c r="G170" s="6" t="s">
        <v>1338</v>
      </c>
      <c r="H170" s="6" t="s">
        <v>1339</v>
      </c>
      <c r="I170" s="6"/>
      <c r="J170" s="6" t="s">
        <v>553</v>
      </c>
      <c r="K170" s="14" t="str">
        <f t="shared" si="3"/>
        <v>https://w3id.org/uom/u</v>
      </c>
      <c r="L170" s="13" t="s">
        <v>358</v>
      </c>
      <c r="M170" s="23">
        <f>countif(Quantities!A:A,L170)</f>
        <v>1</v>
      </c>
      <c r="N170" s="24" t="b">
        <f t="shared" si="4"/>
        <v>1</v>
      </c>
      <c r="O170" s="6" t="s">
        <v>1340</v>
      </c>
      <c r="P170" s="22" t="b">
        <f t="shared" si="5"/>
        <v>1</v>
      </c>
      <c r="Q170" s="22" t="b">
        <f t="shared" si="12"/>
        <v>1</v>
      </c>
      <c r="R170" s="22">
        <f>countif('v2022'!F:F,F170)</f>
        <v>1</v>
      </c>
      <c r="S170" s="22">
        <f>countif('v2018'!F:F,F170)</f>
        <v>1</v>
      </c>
      <c r="T170" s="22">
        <f>countif('v2014'!F:F,F170)</f>
        <v>1</v>
      </c>
      <c r="U170" s="22">
        <f>countif('v2010'!F:F,F170)</f>
        <v>1</v>
      </c>
      <c r="V170" s="22">
        <f>countif('v2006'!F:F,F170)</f>
        <v>1</v>
      </c>
      <c r="W170" s="22">
        <f>countif('v2002'!F:F,F170)</f>
        <v>1</v>
      </c>
      <c r="X170" s="22">
        <f>countif('v1998'!F:F,F170)</f>
        <v>1</v>
      </c>
    </row>
    <row r="171">
      <c r="A171" s="21" t="str">
        <f t="shared" si="13"/>
        <v>joule-electron volt relationship</v>
      </c>
      <c r="B171" s="6" t="s">
        <v>1341</v>
      </c>
      <c r="C171" s="6" t="s">
        <v>1342</v>
      </c>
      <c r="D171" s="13" t="s">
        <v>1343</v>
      </c>
      <c r="E171" s="13" t="s">
        <v>175</v>
      </c>
      <c r="F171" s="22" t="str">
        <f t="shared" si="14"/>
        <v>JouleElectronVoltRelationship</v>
      </c>
      <c r="G171" s="6" t="s">
        <v>1344</v>
      </c>
      <c r="H171" s="6" t="s">
        <v>1345</v>
      </c>
      <c r="I171" s="6"/>
      <c r="J171" s="6" t="s">
        <v>175</v>
      </c>
      <c r="K171" s="14" t="str">
        <f t="shared" si="3"/>
        <v>https://w3id.org/uom/eV</v>
      </c>
      <c r="L171" s="13" t="s">
        <v>359</v>
      </c>
      <c r="M171" s="23">
        <f>countif(Quantities!A:A,L171)</f>
        <v>1</v>
      </c>
      <c r="N171" s="24" t="b">
        <f t="shared" si="4"/>
        <v>1</v>
      </c>
      <c r="O171" s="6" t="s">
        <v>1346</v>
      </c>
      <c r="P171" s="22" t="b">
        <f t="shared" si="5"/>
        <v>1</v>
      </c>
      <c r="Q171" s="22" t="b">
        <f t="shared" si="12"/>
        <v>1</v>
      </c>
      <c r="R171" s="22">
        <f>countif('v2022'!F:F,F171)</f>
        <v>1</v>
      </c>
      <c r="S171" s="22">
        <f>countif('v2018'!F:F,F171)</f>
        <v>1</v>
      </c>
      <c r="T171" s="22">
        <f>countif('v2014'!F:F,F171)</f>
        <v>1</v>
      </c>
      <c r="U171" s="22">
        <f>countif('v2010'!F:F,F171)</f>
        <v>1</v>
      </c>
      <c r="V171" s="22">
        <f>countif('v2006'!F:F,F171)</f>
        <v>1</v>
      </c>
      <c r="W171" s="22">
        <f>countif('v2002'!F:F,F171)</f>
        <v>1</v>
      </c>
      <c r="X171" s="22">
        <f>countif('v1998'!F:F,F171)</f>
        <v>1</v>
      </c>
    </row>
    <row r="172">
      <c r="A172" s="21" t="str">
        <f t="shared" si="13"/>
        <v>joule-hartree relationship</v>
      </c>
      <c r="B172" s="6" t="s">
        <v>1347</v>
      </c>
      <c r="D172" s="13" t="s">
        <v>1348</v>
      </c>
      <c r="E172" s="13" t="s">
        <v>593</v>
      </c>
      <c r="F172" s="22" t="str">
        <f t="shared" si="14"/>
        <v>JouleHartreeRelationship</v>
      </c>
      <c r="G172" s="6" t="s">
        <v>1349</v>
      </c>
      <c r="H172" s="6" t="s">
        <v>1350</v>
      </c>
      <c r="I172" s="6"/>
      <c r="J172" s="6" t="s">
        <v>596</v>
      </c>
      <c r="K172" s="13" t="str">
        <f t="shared" si="3"/>
        <v/>
      </c>
      <c r="L172" s="13" t="s">
        <v>360</v>
      </c>
      <c r="M172" s="23">
        <f>countif(Quantities!A:A,L172)</f>
        <v>1</v>
      </c>
      <c r="N172" s="24" t="b">
        <f t="shared" si="4"/>
        <v>1</v>
      </c>
      <c r="O172" s="6" t="s">
        <v>1351</v>
      </c>
      <c r="P172" s="22" t="b">
        <f t="shared" si="5"/>
        <v>1</v>
      </c>
      <c r="Q172" s="22" t="b">
        <f t="shared" si="12"/>
        <v>1</v>
      </c>
      <c r="R172" s="22">
        <f>countif('v2022'!F:F,F172)</f>
        <v>1</v>
      </c>
      <c r="S172" s="22">
        <f>countif('v2018'!F:F,F172)</f>
        <v>1</v>
      </c>
      <c r="T172" s="22">
        <f>countif('v2014'!F:F,F172)</f>
        <v>1</v>
      </c>
      <c r="U172" s="22">
        <f>countif('v2010'!F:F,F172)</f>
        <v>1</v>
      </c>
      <c r="V172" s="22">
        <f>countif('v2006'!F:F,F172)</f>
        <v>1</v>
      </c>
      <c r="W172" s="22">
        <f>countif('v2002'!F:F,F172)</f>
        <v>1</v>
      </c>
      <c r="X172" s="22">
        <f>countif('v1998'!F:F,F172)</f>
        <v>1</v>
      </c>
    </row>
    <row r="173">
      <c r="A173" s="21" t="str">
        <f t="shared" si="13"/>
        <v>joule-hertz relationship</v>
      </c>
      <c r="B173" s="6" t="s">
        <v>1352</v>
      </c>
      <c r="D173" s="13" t="s">
        <v>1353</v>
      </c>
      <c r="E173" s="13" t="s">
        <v>600</v>
      </c>
      <c r="F173" s="22" t="str">
        <f t="shared" si="14"/>
        <v>JouleHertzRelationship</v>
      </c>
      <c r="G173" s="6" t="s">
        <v>1354</v>
      </c>
      <c r="H173" s="6" t="s">
        <v>1355</v>
      </c>
      <c r="I173" s="6"/>
      <c r="J173" s="6" t="s">
        <v>600</v>
      </c>
      <c r="K173" s="14" t="str">
        <f t="shared" si="3"/>
        <v>https://w3id.org/uom/Hz</v>
      </c>
      <c r="L173" s="13" t="s">
        <v>361</v>
      </c>
      <c r="M173" s="23">
        <f>countif(Quantities!A:A,L173)</f>
        <v>1</v>
      </c>
      <c r="N173" s="24" t="b">
        <f t="shared" si="4"/>
        <v>1</v>
      </c>
      <c r="O173" s="6" t="s">
        <v>1356</v>
      </c>
      <c r="P173" s="22" t="b">
        <f t="shared" si="5"/>
        <v>1</v>
      </c>
      <c r="Q173" s="22" t="b">
        <f t="shared" si="12"/>
        <v>1</v>
      </c>
      <c r="R173" s="22">
        <f>countif('v2022'!F:F,F173)</f>
        <v>1</v>
      </c>
      <c r="S173" s="22">
        <f>countif('v2018'!F:F,F173)</f>
        <v>1</v>
      </c>
      <c r="T173" s="22">
        <f>countif('v2014'!F:F,F173)</f>
        <v>1</v>
      </c>
      <c r="U173" s="22">
        <f>countif('v2010'!F:F,F173)</f>
        <v>1</v>
      </c>
      <c r="V173" s="22">
        <f>countif('v2006'!F:F,F173)</f>
        <v>1</v>
      </c>
      <c r="W173" s="22">
        <f>countif('v2002'!F:F,F173)</f>
        <v>1</v>
      </c>
      <c r="X173" s="22">
        <f>countif('v1998'!F:F,F173)</f>
        <v>1</v>
      </c>
    </row>
    <row r="174">
      <c r="A174" s="21" t="str">
        <f t="shared" si="13"/>
        <v>joule-inverse meter relationship</v>
      </c>
      <c r="B174" s="6" t="s">
        <v>1357</v>
      </c>
      <c r="D174" s="13" t="s">
        <v>1358</v>
      </c>
      <c r="E174" s="13" t="s">
        <v>606</v>
      </c>
      <c r="F174" s="22" t="str">
        <f t="shared" si="14"/>
        <v>JouleInverseMeterRelationship</v>
      </c>
      <c r="G174" s="6" t="s">
        <v>1359</v>
      </c>
      <c r="H174" s="6" t="s">
        <v>1360</v>
      </c>
      <c r="I174" s="6"/>
      <c r="J174" s="6" t="s">
        <v>609</v>
      </c>
      <c r="K174" s="14" t="str">
        <f t="shared" si="3"/>
        <v>https://w3id.org/uom/m-1</v>
      </c>
      <c r="L174" s="13" t="s">
        <v>362</v>
      </c>
      <c r="M174" s="23">
        <f>countif(Quantities!A:A,L174)</f>
        <v>1</v>
      </c>
      <c r="N174" s="24" t="b">
        <f t="shared" si="4"/>
        <v>1</v>
      </c>
      <c r="O174" s="6" t="s">
        <v>1361</v>
      </c>
      <c r="P174" s="22" t="b">
        <f t="shared" si="5"/>
        <v>1</v>
      </c>
      <c r="Q174" s="22" t="b">
        <f t="shared" si="12"/>
        <v>1</v>
      </c>
      <c r="R174" s="22">
        <f>countif('v2022'!F:F,F174)</f>
        <v>1</v>
      </c>
      <c r="S174" s="22">
        <f>countif('v2018'!F:F,F174)</f>
        <v>1</v>
      </c>
      <c r="T174" s="22">
        <f>countif('v2014'!F:F,F174)</f>
        <v>1</v>
      </c>
      <c r="U174" s="22">
        <f>countif('v2010'!F:F,F174)</f>
        <v>1</v>
      </c>
      <c r="V174" s="22">
        <f>countif('v2006'!F:F,F174)</f>
        <v>1</v>
      </c>
      <c r="W174" s="22">
        <f>countif('v2002'!F:F,F174)</f>
        <v>1</v>
      </c>
      <c r="X174" s="22">
        <f>countif('v1998'!F:F,F174)</f>
        <v>1</v>
      </c>
    </row>
    <row r="175">
      <c r="A175" s="21" t="str">
        <f t="shared" si="13"/>
        <v>joule-kelvin relationship</v>
      </c>
      <c r="B175" s="6" t="s">
        <v>1362</v>
      </c>
      <c r="D175" s="13" t="s">
        <v>1363</v>
      </c>
      <c r="E175" s="13" t="s">
        <v>618</v>
      </c>
      <c r="F175" s="22" t="str">
        <f t="shared" si="14"/>
        <v>JouleKelvinRelationship</v>
      </c>
      <c r="G175" s="6" t="s">
        <v>1364</v>
      </c>
      <c r="H175" s="6" t="s">
        <v>1365</v>
      </c>
      <c r="I175" s="6"/>
      <c r="J175" s="6" t="s">
        <v>618</v>
      </c>
      <c r="K175" s="14" t="str">
        <f t="shared" si="3"/>
        <v>https://w3id.org/uom/K</v>
      </c>
      <c r="L175" s="13" t="s">
        <v>363</v>
      </c>
      <c r="M175" s="23">
        <f>countif(Quantities!A:A,L175)</f>
        <v>1</v>
      </c>
      <c r="N175" s="24" t="b">
        <f t="shared" si="4"/>
        <v>1</v>
      </c>
      <c r="O175" s="6" t="s">
        <v>1366</v>
      </c>
      <c r="P175" s="22" t="b">
        <f t="shared" si="5"/>
        <v>1</v>
      </c>
      <c r="Q175" s="22" t="b">
        <f t="shared" si="12"/>
        <v>1</v>
      </c>
      <c r="R175" s="22">
        <f>countif('v2022'!F:F,F175)</f>
        <v>1</v>
      </c>
      <c r="S175" s="22">
        <f>countif('v2018'!F:F,F175)</f>
        <v>1</v>
      </c>
      <c r="T175" s="22">
        <f>countif('v2014'!F:F,F175)</f>
        <v>1</v>
      </c>
      <c r="U175" s="22">
        <f>countif('v2010'!F:F,F175)</f>
        <v>1</v>
      </c>
      <c r="V175" s="22">
        <f>countif('v2006'!F:F,F175)</f>
        <v>1</v>
      </c>
      <c r="W175" s="22">
        <f>countif('v2002'!F:F,F175)</f>
        <v>1</v>
      </c>
      <c r="X175" s="22">
        <f>countif('v1998'!F:F,F175)</f>
        <v>1</v>
      </c>
    </row>
    <row r="176">
      <c r="A176" s="21" t="str">
        <f t="shared" si="13"/>
        <v>joule-kilogram relationship</v>
      </c>
      <c r="B176" s="6" t="s">
        <v>1367</v>
      </c>
      <c r="D176" s="13" t="s">
        <v>1368</v>
      </c>
      <c r="E176" s="13" t="s">
        <v>538</v>
      </c>
      <c r="F176" s="22" t="str">
        <f t="shared" si="14"/>
        <v>JouleKilogramRelationship</v>
      </c>
      <c r="G176" s="6" t="s">
        <v>1369</v>
      </c>
      <c r="H176" s="6" t="s">
        <v>1370</v>
      </c>
      <c r="I176" s="6"/>
      <c r="J176" s="6" t="s">
        <v>538</v>
      </c>
      <c r="K176" s="14" t="str">
        <f t="shared" si="3"/>
        <v>https://w3id.org/uom/kg</v>
      </c>
      <c r="L176" s="13" t="s">
        <v>364</v>
      </c>
      <c r="M176" s="23">
        <f>countif(Quantities!A:A,L176)</f>
        <v>1</v>
      </c>
      <c r="N176" s="24" t="b">
        <f t="shared" si="4"/>
        <v>1</v>
      </c>
      <c r="O176" s="6" t="s">
        <v>1371</v>
      </c>
      <c r="P176" s="22" t="b">
        <f t="shared" si="5"/>
        <v>1</v>
      </c>
      <c r="Q176" s="22" t="b">
        <f t="shared" si="12"/>
        <v>1</v>
      </c>
      <c r="R176" s="22">
        <f>countif('v2022'!F:F,F176)</f>
        <v>1</v>
      </c>
      <c r="S176" s="22">
        <f>countif('v2018'!F:F,F176)</f>
        <v>1</v>
      </c>
      <c r="T176" s="22">
        <f>countif('v2014'!F:F,F176)</f>
        <v>1</v>
      </c>
      <c r="U176" s="22">
        <f>countif('v2010'!F:F,F176)</f>
        <v>1</v>
      </c>
      <c r="V176" s="22">
        <f>countif('v2006'!F:F,F176)</f>
        <v>1</v>
      </c>
      <c r="W176" s="22">
        <f>countif('v2002'!F:F,F176)</f>
        <v>1</v>
      </c>
      <c r="X176" s="22">
        <f>countif('v1998'!F:F,F176)</f>
        <v>1</v>
      </c>
    </row>
    <row r="177">
      <c r="A177" s="21" t="str">
        <f t="shared" si="13"/>
        <v>kelvin-atomic mass unit relationship</v>
      </c>
      <c r="B177" s="6" t="s">
        <v>1372</v>
      </c>
      <c r="D177" s="13" t="s">
        <v>1373</v>
      </c>
      <c r="E177" s="13" t="s">
        <v>553</v>
      </c>
      <c r="F177" s="22" t="str">
        <f t="shared" si="14"/>
        <v>KelvinAtomicMassUnitRelationship</v>
      </c>
      <c r="G177" s="6" t="s">
        <v>1374</v>
      </c>
      <c r="H177" s="6" t="s">
        <v>1375</v>
      </c>
      <c r="I177" s="6"/>
      <c r="J177" s="6" t="s">
        <v>553</v>
      </c>
      <c r="K177" s="14" t="str">
        <f t="shared" si="3"/>
        <v>https://w3id.org/uom/u</v>
      </c>
      <c r="L177" s="13" t="s">
        <v>365</v>
      </c>
      <c r="M177" s="23">
        <f>countif(Quantities!A:A,L177)</f>
        <v>1</v>
      </c>
      <c r="N177" s="24" t="b">
        <f t="shared" si="4"/>
        <v>1</v>
      </c>
      <c r="O177" s="6" t="s">
        <v>1376</v>
      </c>
      <c r="P177" s="22" t="b">
        <f t="shared" si="5"/>
        <v>1</v>
      </c>
      <c r="Q177" s="22" t="b">
        <f t="shared" si="12"/>
        <v>1</v>
      </c>
      <c r="R177" s="22">
        <f>countif('v2022'!F:F,F177)</f>
        <v>1</v>
      </c>
      <c r="S177" s="22">
        <f>countif('v2018'!F:F,F177)</f>
        <v>1</v>
      </c>
      <c r="T177" s="22">
        <f>countif('v2014'!F:F,F177)</f>
        <v>1</v>
      </c>
      <c r="U177" s="22">
        <f>countif('v2010'!F:F,F177)</f>
        <v>1</v>
      </c>
      <c r="V177" s="22">
        <f>countif('v2006'!F:F,F177)</f>
        <v>1</v>
      </c>
      <c r="W177" s="22">
        <f>countif('v2002'!F:F,F177)</f>
        <v>1</v>
      </c>
      <c r="X177" s="22">
        <f>countif('v1998'!F:F,F177)</f>
        <v>1</v>
      </c>
    </row>
    <row r="178">
      <c r="A178" s="21" t="str">
        <f t="shared" si="13"/>
        <v>kelvin-electron volt relationship</v>
      </c>
      <c r="B178" s="6" t="s">
        <v>1377</v>
      </c>
      <c r="C178" s="6" t="s">
        <v>1378</v>
      </c>
      <c r="D178" s="13" t="s">
        <v>1379</v>
      </c>
      <c r="E178" s="13" t="s">
        <v>175</v>
      </c>
      <c r="F178" s="22" t="str">
        <f t="shared" si="14"/>
        <v>KelvinElectronVoltRelationship</v>
      </c>
      <c r="G178" s="6" t="s">
        <v>1380</v>
      </c>
      <c r="H178" s="6" t="s">
        <v>1381</v>
      </c>
      <c r="I178" s="6"/>
      <c r="J178" s="6" t="s">
        <v>175</v>
      </c>
      <c r="K178" s="14" t="str">
        <f t="shared" si="3"/>
        <v>https://w3id.org/uom/eV</v>
      </c>
      <c r="L178" s="13" t="s">
        <v>366</v>
      </c>
      <c r="M178" s="23">
        <f>countif(Quantities!A:A,L178)</f>
        <v>1</v>
      </c>
      <c r="N178" s="24" t="b">
        <f t="shared" si="4"/>
        <v>1</v>
      </c>
      <c r="O178" s="6" t="s">
        <v>1382</v>
      </c>
      <c r="P178" s="22" t="b">
        <f t="shared" si="5"/>
        <v>1</v>
      </c>
      <c r="Q178" s="22" t="b">
        <f t="shared" si="12"/>
        <v>1</v>
      </c>
      <c r="R178" s="22">
        <f>countif('v2022'!F:F,F178)</f>
        <v>1</v>
      </c>
      <c r="S178" s="22">
        <f>countif('v2018'!F:F,F178)</f>
        <v>1</v>
      </c>
      <c r="T178" s="22">
        <f>countif('v2014'!F:F,F178)</f>
        <v>1</v>
      </c>
      <c r="U178" s="22">
        <f>countif('v2010'!F:F,F178)</f>
        <v>1</v>
      </c>
      <c r="V178" s="22">
        <f>countif('v2006'!F:F,F178)</f>
        <v>1</v>
      </c>
      <c r="W178" s="22">
        <f>countif('v2002'!F:F,F178)</f>
        <v>1</v>
      </c>
      <c r="X178" s="22">
        <f>countif('v1998'!F:F,F178)</f>
        <v>1</v>
      </c>
    </row>
    <row r="179">
      <c r="A179" s="21" t="str">
        <f t="shared" si="13"/>
        <v>kelvin-hartree relationship</v>
      </c>
      <c r="B179" s="6" t="s">
        <v>1383</v>
      </c>
      <c r="D179" s="13" t="s">
        <v>1384</v>
      </c>
      <c r="E179" s="13" t="s">
        <v>593</v>
      </c>
      <c r="F179" s="22" t="str">
        <f t="shared" si="14"/>
        <v>KelvinHartreeRelationship</v>
      </c>
      <c r="G179" s="6" t="s">
        <v>1385</v>
      </c>
      <c r="H179" s="6" t="s">
        <v>1386</v>
      </c>
      <c r="I179" s="6"/>
      <c r="J179" s="6" t="s">
        <v>596</v>
      </c>
      <c r="K179" s="13" t="str">
        <f t="shared" si="3"/>
        <v/>
      </c>
      <c r="L179" s="13" t="s">
        <v>367</v>
      </c>
      <c r="M179" s="23">
        <f>countif(Quantities!A:A,L179)</f>
        <v>1</v>
      </c>
      <c r="N179" s="24" t="b">
        <f t="shared" si="4"/>
        <v>1</v>
      </c>
      <c r="O179" s="6" t="s">
        <v>1387</v>
      </c>
      <c r="P179" s="22" t="b">
        <f t="shared" si="5"/>
        <v>1</v>
      </c>
      <c r="Q179" s="22" t="b">
        <f t="shared" si="12"/>
        <v>1</v>
      </c>
      <c r="R179" s="22">
        <f>countif('v2022'!F:F,F179)</f>
        <v>1</v>
      </c>
      <c r="S179" s="22">
        <f>countif('v2018'!F:F,F179)</f>
        <v>1</v>
      </c>
      <c r="T179" s="22">
        <f>countif('v2014'!F:F,F179)</f>
        <v>1</v>
      </c>
      <c r="U179" s="22">
        <f>countif('v2010'!F:F,F179)</f>
        <v>1</v>
      </c>
      <c r="V179" s="22">
        <f>countif('v2006'!F:F,F179)</f>
        <v>1</v>
      </c>
      <c r="W179" s="22">
        <f>countif('v2002'!F:F,F179)</f>
        <v>1</v>
      </c>
      <c r="X179" s="22">
        <f>countif('v1998'!F:F,F179)</f>
        <v>1</v>
      </c>
    </row>
    <row r="180">
      <c r="A180" s="21" t="str">
        <f t="shared" si="13"/>
        <v>kelvin-hertz relationship</v>
      </c>
      <c r="B180" s="6" t="s">
        <v>1388</v>
      </c>
      <c r="D180" s="13" t="s">
        <v>1389</v>
      </c>
      <c r="E180" s="13" t="s">
        <v>600</v>
      </c>
      <c r="F180" s="22" t="str">
        <f t="shared" si="14"/>
        <v>KelvinHertzRelationship</v>
      </c>
      <c r="G180" s="6" t="s">
        <v>1390</v>
      </c>
      <c r="H180" s="6" t="s">
        <v>1391</v>
      </c>
      <c r="I180" s="6"/>
      <c r="J180" s="6" t="s">
        <v>600</v>
      </c>
      <c r="K180" s="14" t="str">
        <f t="shared" si="3"/>
        <v>https://w3id.org/uom/Hz</v>
      </c>
      <c r="L180" s="13" t="s">
        <v>368</v>
      </c>
      <c r="M180" s="23">
        <f>countif(Quantities!A:A,L180)</f>
        <v>1</v>
      </c>
      <c r="N180" s="24" t="b">
        <f t="shared" si="4"/>
        <v>1</v>
      </c>
      <c r="O180" s="6" t="s">
        <v>1392</v>
      </c>
      <c r="P180" s="22" t="b">
        <f t="shared" si="5"/>
        <v>1</v>
      </c>
      <c r="Q180" s="22" t="b">
        <f t="shared" si="12"/>
        <v>1</v>
      </c>
      <c r="R180" s="22">
        <f>countif('v2022'!F:F,F180)</f>
        <v>1</v>
      </c>
      <c r="S180" s="22">
        <f>countif('v2018'!F:F,F180)</f>
        <v>1</v>
      </c>
      <c r="T180" s="22">
        <f>countif('v2014'!F:F,F180)</f>
        <v>1</v>
      </c>
      <c r="U180" s="22">
        <f>countif('v2010'!F:F,F180)</f>
        <v>1</v>
      </c>
      <c r="V180" s="22">
        <f>countif('v2006'!F:F,F180)</f>
        <v>1</v>
      </c>
      <c r="W180" s="22">
        <f>countif('v2002'!F:F,F180)</f>
        <v>1</v>
      </c>
      <c r="X180" s="22">
        <f>countif('v1998'!F:F,F180)</f>
        <v>1</v>
      </c>
    </row>
    <row r="181">
      <c r="A181" s="21" t="str">
        <f t="shared" si="13"/>
        <v>kelvin-inverse meter relationship</v>
      </c>
      <c r="B181" s="6" t="s">
        <v>1393</v>
      </c>
      <c r="D181" s="13" t="s">
        <v>1394</v>
      </c>
      <c r="E181" s="13" t="s">
        <v>606</v>
      </c>
      <c r="F181" s="22" t="str">
        <f t="shared" si="14"/>
        <v>KelvinInverseMeterRelationship</v>
      </c>
      <c r="G181" s="6" t="s">
        <v>1395</v>
      </c>
      <c r="H181" s="6" t="s">
        <v>1396</v>
      </c>
      <c r="I181" s="6"/>
      <c r="J181" s="6" t="s">
        <v>609</v>
      </c>
      <c r="K181" s="14" t="str">
        <f t="shared" si="3"/>
        <v>https://w3id.org/uom/m-1</v>
      </c>
      <c r="L181" s="13" t="s">
        <v>369</v>
      </c>
      <c r="M181" s="23">
        <f>countif(Quantities!A:A,L181)</f>
        <v>1</v>
      </c>
      <c r="N181" s="24" t="b">
        <f t="shared" si="4"/>
        <v>1</v>
      </c>
      <c r="O181" s="6" t="s">
        <v>1397</v>
      </c>
      <c r="P181" s="22" t="b">
        <f t="shared" si="5"/>
        <v>1</v>
      </c>
      <c r="Q181" s="22" t="b">
        <f t="shared" si="12"/>
        <v>1</v>
      </c>
      <c r="R181" s="22">
        <f>countif('v2022'!F:F,F181)</f>
        <v>1</v>
      </c>
      <c r="S181" s="22">
        <f>countif('v2018'!F:F,F181)</f>
        <v>1</v>
      </c>
      <c r="T181" s="22">
        <f>countif('v2014'!F:F,F181)</f>
        <v>1</v>
      </c>
      <c r="U181" s="22">
        <f>countif('v2010'!F:F,F181)</f>
        <v>1</v>
      </c>
      <c r="V181" s="22">
        <f>countif('v2006'!F:F,F181)</f>
        <v>1</v>
      </c>
      <c r="W181" s="22">
        <f>countif('v2002'!F:F,F181)</f>
        <v>1</v>
      </c>
      <c r="X181" s="22">
        <f>countif('v1998'!F:F,F181)</f>
        <v>1</v>
      </c>
    </row>
    <row r="182">
      <c r="A182" s="21" t="str">
        <f t="shared" si="13"/>
        <v>kelvin-joule relationship</v>
      </c>
      <c r="B182" s="6" t="s">
        <v>1398</v>
      </c>
      <c r="D182" s="13" t="s">
        <v>1399</v>
      </c>
      <c r="E182" s="13" t="s">
        <v>543</v>
      </c>
      <c r="F182" s="22" t="str">
        <f t="shared" si="14"/>
        <v>KelvinJouleRelationship</v>
      </c>
      <c r="G182" s="6" t="s">
        <v>1400</v>
      </c>
      <c r="H182" s="6" t="s">
        <v>1401</v>
      </c>
      <c r="I182" s="6"/>
      <c r="J182" s="6" t="s">
        <v>543</v>
      </c>
      <c r="K182" s="14" t="str">
        <f t="shared" si="3"/>
        <v>https://w3id.org/uom/J</v>
      </c>
      <c r="L182" s="13" t="s">
        <v>370</v>
      </c>
      <c r="M182" s="23">
        <f>countif(Quantities!A:A,L182)</f>
        <v>1</v>
      </c>
      <c r="N182" s="24" t="b">
        <f t="shared" si="4"/>
        <v>1</v>
      </c>
      <c r="O182" s="6" t="s">
        <v>1402</v>
      </c>
      <c r="P182" s="22" t="b">
        <f t="shared" si="5"/>
        <v>1</v>
      </c>
      <c r="Q182" s="22" t="b">
        <f t="shared" si="12"/>
        <v>1</v>
      </c>
      <c r="R182" s="22">
        <f>countif('v2022'!F:F,F182)</f>
        <v>1</v>
      </c>
      <c r="S182" s="22">
        <f>countif('v2018'!F:F,F182)</f>
        <v>1</v>
      </c>
      <c r="T182" s="22">
        <f>countif('v2014'!F:F,F182)</f>
        <v>1</v>
      </c>
      <c r="U182" s="22">
        <f>countif('v2010'!F:F,F182)</f>
        <v>1</v>
      </c>
      <c r="V182" s="22">
        <f>countif('v2006'!F:F,F182)</f>
        <v>1</v>
      </c>
      <c r="W182" s="22">
        <f>countif('v2002'!F:F,F182)</f>
        <v>1</v>
      </c>
      <c r="X182" s="22">
        <f>countif('v1998'!F:F,F182)</f>
        <v>1</v>
      </c>
    </row>
    <row r="183">
      <c r="A183" s="21" t="str">
        <f t="shared" si="13"/>
        <v>kelvin-kilogram relationship</v>
      </c>
      <c r="B183" s="6" t="s">
        <v>1403</v>
      </c>
      <c r="D183" s="13" t="s">
        <v>1404</v>
      </c>
      <c r="E183" s="13" t="s">
        <v>538</v>
      </c>
      <c r="F183" s="22" t="str">
        <f t="shared" si="14"/>
        <v>KelvinKilogramRelationship</v>
      </c>
      <c r="G183" s="6" t="s">
        <v>1405</v>
      </c>
      <c r="H183" s="6" t="s">
        <v>1406</v>
      </c>
      <c r="I183" s="6"/>
      <c r="J183" s="6" t="s">
        <v>538</v>
      </c>
      <c r="K183" s="14" t="str">
        <f t="shared" si="3"/>
        <v>https://w3id.org/uom/kg</v>
      </c>
      <c r="L183" s="13" t="s">
        <v>371</v>
      </c>
      <c r="M183" s="23">
        <f>countif(Quantities!A:A,L183)</f>
        <v>1</v>
      </c>
      <c r="N183" s="24" t="b">
        <f t="shared" si="4"/>
        <v>1</v>
      </c>
      <c r="O183" s="6" t="s">
        <v>1407</v>
      </c>
      <c r="P183" s="22" t="b">
        <f t="shared" si="5"/>
        <v>1</v>
      </c>
      <c r="Q183" s="22" t="b">
        <f t="shared" si="12"/>
        <v>1</v>
      </c>
      <c r="R183" s="22">
        <f>countif('v2022'!F:F,F183)</f>
        <v>1</v>
      </c>
      <c r="S183" s="22">
        <f>countif('v2018'!F:F,F183)</f>
        <v>1</v>
      </c>
      <c r="T183" s="22">
        <f>countif('v2014'!F:F,F183)</f>
        <v>1</v>
      </c>
      <c r="U183" s="22">
        <f>countif('v2010'!F:F,F183)</f>
        <v>1</v>
      </c>
      <c r="V183" s="22">
        <f>countif('v2006'!F:F,F183)</f>
        <v>1</v>
      </c>
      <c r="W183" s="22">
        <f>countif('v2002'!F:F,F183)</f>
        <v>1</v>
      </c>
      <c r="X183" s="22">
        <f>countif('v1998'!F:F,F183)</f>
        <v>1</v>
      </c>
    </row>
    <row r="184">
      <c r="A184" s="21" t="str">
        <f t="shared" si="13"/>
        <v>kilogram-atomic mass unit relationship</v>
      </c>
      <c r="B184" s="6" t="s">
        <v>1408</v>
      </c>
      <c r="D184" s="13" t="s">
        <v>1409</v>
      </c>
      <c r="E184" s="13" t="s">
        <v>553</v>
      </c>
      <c r="F184" s="22" t="str">
        <f t="shared" si="14"/>
        <v>KilogramAtomicMassUnitRelationship</v>
      </c>
      <c r="G184" s="6" t="s">
        <v>1410</v>
      </c>
      <c r="H184" s="6" t="s">
        <v>1411</v>
      </c>
      <c r="I184" s="6"/>
      <c r="J184" s="6" t="s">
        <v>553</v>
      </c>
      <c r="K184" s="14" t="str">
        <f t="shared" si="3"/>
        <v>https://w3id.org/uom/u</v>
      </c>
      <c r="L184" s="13" t="s">
        <v>372</v>
      </c>
      <c r="M184" s="23">
        <f>countif(Quantities!A:A,L184)</f>
        <v>1</v>
      </c>
      <c r="N184" s="24" t="b">
        <f t="shared" si="4"/>
        <v>1</v>
      </c>
      <c r="O184" s="6" t="s">
        <v>1412</v>
      </c>
      <c r="P184" s="22" t="b">
        <f t="shared" si="5"/>
        <v>1</v>
      </c>
      <c r="Q184" s="22" t="b">
        <f t="shared" si="12"/>
        <v>1</v>
      </c>
      <c r="R184" s="22">
        <f>countif('v2022'!F:F,F184)</f>
        <v>1</v>
      </c>
      <c r="S184" s="22">
        <f>countif('v2018'!F:F,F184)</f>
        <v>1</v>
      </c>
      <c r="T184" s="22">
        <f>countif('v2014'!F:F,F184)</f>
        <v>1</v>
      </c>
      <c r="U184" s="22">
        <f>countif('v2010'!F:F,F184)</f>
        <v>1</v>
      </c>
      <c r="V184" s="22">
        <f>countif('v2006'!F:F,F184)</f>
        <v>1</v>
      </c>
      <c r="W184" s="22">
        <f>countif('v2002'!F:F,F184)</f>
        <v>1</v>
      </c>
      <c r="X184" s="22">
        <f>countif('v1998'!F:F,F184)</f>
        <v>1</v>
      </c>
    </row>
    <row r="185">
      <c r="A185" s="21" t="str">
        <f t="shared" si="13"/>
        <v>kilogram-electron volt relationship</v>
      </c>
      <c r="B185" s="6" t="s">
        <v>1413</v>
      </c>
      <c r="C185" s="6" t="s">
        <v>1414</v>
      </c>
      <c r="D185" s="13" t="s">
        <v>1415</v>
      </c>
      <c r="E185" s="13" t="s">
        <v>175</v>
      </c>
      <c r="F185" s="22" t="str">
        <f t="shared" si="14"/>
        <v>KilogramElectronVoltRelationship</v>
      </c>
      <c r="G185" s="6" t="s">
        <v>1416</v>
      </c>
      <c r="H185" s="6" t="s">
        <v>1417</v>
      </c>
      <c r="I185" s="6"/>
      <c r="J185" s="6" t="s">
        <v>175</v>
      </c>
      <c r="K185" s="14" t="str">
        <f t="shared" si="3"/>
        <v>https://w3id.org/uom/eV</v>
      </c>
      <c r="L185" s="13" t="s">
        <v>373</v>
      </c>
      <c r="M185" s="23">
        <f>countif(Quantities!A:A,L185)</f>
        <v>1</v>
      </c>
      <c r="N185" s="24" t="b">
        <f t="shared" si="4"/>
        <v>1</v>
      </c>
      <c r="O185" s="6" t="s">
        <v>1418</v>
      </c>
      <c r="P185" s="22" t="b">
        <f t="shared" si="5"/>
        <v>1</v>
      </c>
      <c r="Q185" s="22" t="b">
        <f t="shared" si="12"/>
        <v>1</v>
      </c>
      <c r="R185" s="22">
        <f>countif('v2022'!F:F,F185)</f>
        <v>1</v>
      </c>
      <c r="S185" s="22">
        <f>countif('v2018'!F:F,F185)</f>
        <v>1</v>
      </c>
      <c r="T185" s="22">
        <f>countif('v2014'!F:F,F185)</f>
        <v>1</v>
      </c>
      <c r="U185" s="22">
        <f>countif('v2010'!F:F,F185)</f>
        <v>1</v>
      </c>
      <c r="V185" s="22">
        <f>countif('v2006'!F:F,F185)</f>
        <v>1</v>
      </c>
      <c r="W185" s="22">
        <f>countif('v2002'!F:F,F185)</f>
        <v>1</v>
      </c>
      <c r="X185" s="22">
        <f>countif('v1998'!F:F,F185)</f>
        <v>1</v>
      </c>
    </row>
    <row r="186">
      <c r="A186" s="21" t="str">
        <f t="shared" si="13"/>
        <v>kilogram-hartree relationship</v>
      </c>
      <c r="B186" s="6" t="s">
        <v>1419</v>
      </c>
      <c r="D186" s="13" t="s">
        <v>1420</v>
      </c>
      <c r="E186" s="13" t="s">
        <v>593</v>
      </c>
      <c r="F186" s="22" t="str">
        <f t="shared" si="14"/>
        <v>KilogramHartreeRelationship</v>
      </c>
      <c r="G186" s="6" t="s">
        <v>1421</v>
      </c>
      <c r="H186" s="6" t="s">
        <v>1422</v>
      </c>
      <c r="I186" s="6"/>
      <c r="J186" s="6" t="s">
        <v>596</v>
      </c>
      <c r="K186" s="13" t="str">
        <f t="shared" si="3"/>
        <v/>
      </c>
      <c r="L186" s="13" t="s">
        <v>374</v>
      </c>
      <c r="M186" s="23">
        <f>countif(Quantities!A:A,L186)</f>
        <v>1</v>
      </c>
      <c r="N186" s="24" t="b">
        <f t="shared" si="4"/>
        <v>1</v>
      </c>
      <c r="O186" s="6" t="s">
        <v>1423</v>
      </c>
      <c r="P186" s="22" t="b">
        <f t="shared" si="5"/>
        <v>1</v>
      </c>
      <c r="Q186" s="22" t="b">
        <f t="shared" si="12"/>
        <v>1</v>
      </c>
      <c r="R186" s="22">
        <f>countif('v2022'!F:F,F186)</f>
        <v>1</v>
      </c>
      <c r="S186" s="22">
        <f>countif('v2018'!F:F,F186)</f>
        <v>1</v>
      </c>
      <c r="T186" s="22">
        <f>countif('v2014'!F:F,F186)</f>
        <v>1</v>
      </c>
      <c r="U186" s="22">
        <f>countif('v2010'!F:F,F186)</f>
        <v>1</v>
      </c>
      <c r="V186" s="22">
        <f>countif('v2006'!F:F,F186)</f>
        <v>1</v>
      </c>
      <c r="W186" s="22">
        <f>countif('v2002'!F:F,F186)</f>
        <v>1</v>
      </c>
      <c r="X186" s="22">
        <f>countif('v1998'!F:F,F186)</f>
        <v>1</v>
      </c>
    </row>
    <row r="187">
      <c r="A187" s="21" t="str">
        <f t="shared" si="13"/>
        <v>kilogram-hertz relationship</v>
      </c>
      <c r="B187" s="6" t="s">
        <v>1424</v>
      </c>
      <c r="D187" s="13" t="s">
        <v>1425</v>
      </c>
      <c r="E187" s="13" t="s">
        <v>600</v>
      </c>
      <c r="F187" s="22" t="str">
        <f t="shared" si="14"/>
        <v>KilogramHertzRelationship</v>
      </c>
      <c r="G187" s="6" t="s">
        <v>1426</v>
      </c>
      <c r="H187" s="6" t="s">
        <v>1427</v>
      </c>
      <c r="I187" s="6"/>
      <c r="J187" s="6" t="s">
        <v>600</v>
      </c>
      <c r="K187" s="14" t="str">
        <f t="shared" si="3"/>
        <v>https://w3id.org/uom/Hz</v>
      </c>
      <c r="L187" s="13" t="s">
        <v>375</v>
      </c>
      <c r="M187" s="23">
        <f>countif(Quantities!A:A,L187)</f>
        <v>1</v>
      </c>
      <c r="N187" s="24" t="b">
        <f t="shared" si="4"/>
        <v>1</v>
      </c>
      <c r="O187" s="6" t="s">
        <v>1428</v>
      </c>
      <c r="P187" s="22" t="b">
        <f t="shared" si="5"/>
        <v>1</v>
      </c>
      <c r="Q187" s="22" t="b">
        <f t="shared" si="12"/>
        <v>1</v>
      </c>
      <c r="R187" s="22">
        <f>countif('v2022'!F:F,F187)</f>
        <v>1</v>
      </c>
      <c r="S187" s="22">
        <f>countif('v2018'!F:F,F187)</f>
        <v>1</v>
      </c>
      <c r="T187" s="22">
        <f>countif('v2014'!F:F,F187)</f>
        <v>1</v>
      </c>
      <c r="U187" s="22">
        <f>countif('v2010'!F:F,F187)</f>
        <v>1</v>
      </c>
      <c r="V187" s="22">
        <f>countif('v2006'!F:F,F187)</f>
        <v>1</v>
      </c>
      <c r="W187" s="22">
        <f>countif('v2002'!F:F,F187)</f>
        <v>1</v>
      </c>
      <c r="X187" s="22">
        <f>countif('v1998'!F:F,F187)</f>
        <v>1</v>
      </c>
    </row>
    <row r="188">
      <c r="A188" s="21" t="str">
        <f t="shared" si="13"/>
        <v>kilogram-inverse meter relationship</v>
      </c>
      <c r="B188" s="6" t="s">
        <v>1429</v>
      </c>
      <c r="D188" s="13" t="s">
        <v>1430</v>
      </c>
      <c r="E188" s="13" t="s">
        <v>606</v>
      </c>
      <c r="F188" s="22" t="str">
        <f t="shared" si="14"/>
        <v>KilogramInverseMeterRelationship</v>
      </c>
      <c r="G188" s="6" t="s">
        <v>1431</v>
      </c>
      <c r="H188" s="6" t="s">
        <v>1432</v>
      </c>
      <c r="I188" s="6"/>
      <c r="J188" s="6" t="s">
        <v>609</v>
      </c>
      <c r="K188" s="14" t="str">
        <f t="shared" si="3"/>
        <v>https://w3id.org/uom/m-1</v>
      </c>
      <c r="L188" s="13" t="s">
        <v>376</v>
      </c>
      <c r="M188" s="23">
        <f>countif(Quantities!A:A,L188)</f>
        <v>1</v>
      </c>
      <c r="N188" s="24" t="b">
        <f t="shared" si="4"/>
        <v>1</v>
      </c>
      <c r="O188" s="6" t="s">
        <v>1433</v>
      </c>
      <c r="P188" s="22" t="b">
        <f t="shared" si="5"/>
        <v>1</v>
      </c>
      <c r="Q188" s="22" t="b">
        <f t="shared" si="12"/>
        <v>1</v>
      </c>
      <c r="R188" s="22">
        <f>countif('v2022'!F:F,F188)</f>
        <v>1</v>
      </c>
      <c r="S188" s="22">
        <f>countif('v2018'!F:F,F188)</f>
        <v>1</v>
      </c>
      <c r="T188" s="22">
        <f>countif('v2014'!F:F,F188)</f>
        <v>1</v>
      </c>
      <c r="U188" s="22">
        <f>countif('v2010'!F:F,F188)</f>
        <v>1</v>
      </c>
      <c r="V188" s="22">
        <f>countif('v2006'!F:F,F188)</f>
        <v>1</v>
      </c>
      <c r="W188" s="22">
        <f>countif('v2002'!F:F,F188)</f>
        <v>1</v>
      </c>
      <c r="X188" s="22">
        <f>countif('v1998'!F:F,F188)</f>
        <v>1</v>
      </c>
    </row>
    <row r="189">
      <c r="A189" s="21" t="str">
        <f t="shared" si="13"/>
        <v>kilogram-joule relationship</v>
      </c>
      <c r="B189" s="6" t="s">
        <v>1434</v>
      </c>
      <c r="D189" s="13" t="s">
        <v>1435</v>
      </c>
      <c r="E189" s="13" t="s">
        <v>543</v>
      </c>
      <c r="F189" s="22" t="str">
        <f t="shared" si="14"/>
        <v>KilogramJouleRelationship</v>
      </c>
      <c r="G189" s="6" t="s">
        <v>1436</v>
      </c>
      <c r="H189" s="6" t="s">
        <v>1437</v>
      </c>
      <c r="I189" s="6"/>
      <c r="J189" s="6" t="s">
        <v>543</v>
      </c>
      <c r="K189" s="14" t="str">
        <f t="shared" si="3"/>
        <v>https://w3id.org/uom/J</v>
      </c>
      <c r="L189" s="13" t="s">
        <v>377</v>
      </c>
      <c r="M189" s="23">
        <f>countif(Quantities!A:A,L189)</f>
        <v>1</v>
      </c>
      <c r="N189" s="24" t="b">
        <f t="shared" si="4"/>
        <v>1</v>
      </c>
      <c r="O189" s="6" t="s">
        <v>1438</v>
      </c>
      <c r="P189" s="22" t="b">
        <f t="shared" si="5"/>
        <v>1</v>
      </c>
      <c r="Q189" s="22" t="b">
        <f t="shared" si="12"/>
        <v>1</v>
      </c>
      <c r="R189" s="22">
        <f>countif('v2022'!F:F,F189)</f>
        <v>1</v>
      </c>
      <c r="S189" s="22">
        <f>countif('v2018'!F:F,F189)</f>
        <v>1</v>
      </c>
      <c r="T189" s="22">
        <f>countif('v2014'!F:F,F189)</f>
        <v>1</v>
      </c>
      <c r="U189" s="22">
        <f>countif('v2010'!F:F,F189)</f>
        <v>1</v>
      </c>
      <c r="V189" s="22">
        <f>countif('v2006'!F:F,F189)</f>
        <v>1</v>
      </c>
      <c r="W189" s="22">
        <f>countif('v2002'!F:F,F189)</f>
        <v>1</v>
      </c>
      <c r="X189" s="22">
        <f>countif('v1998'!F:F,F189)</f>
        <v>1</v>
      </c>
    </row>
    <row r="190">
      <c r="A190" s="21" t="str">
        <f t="shared" si="13"/>
        <v>kilogram-kelvin relationship</v>
      </c>
      <c r="B190" s="6" t="s">
        <v>1439</v>
      </c>
      <c r="D190" s="13" t="s">
        <v>1440</v>
      </c>
      <c r="E190" s="13" t="s">
        <v>618</v>
      </c>
      <c r="F190" s="22" t="str">
        <f t="shared" si="14"/>
        <v>KilogramKelvinRelationship</v>
      </c>
      <c r="G190" s="6" t="s">
        <v>1441</v>
      </c>
      <c r="H190" s="6" t="s">
        <v>1442</v>
      </c>
      <c r="I190" s="6"/>
      <c r="J190" s="6" t="s">
        <v>618</v>
      </c>
      <c r="K190" s="14" t="str">
        <f t="shared" si="3"/>
        <v>https://w3id.org/uom/K</v>
      </c>
      <c r="L190" s="13" t="s">
        <v>378</v>
      </c>
      <c r="M190" s="23">
        <f>countif(Quantities!A:A,L190)</f>
        <v>1</v>
      </c>
      <c r="N190" s="24" t="b">
        <f t="shared" si="4"/>
        <v>1</v>
      </c>
      <c r="O190" s="6" t="s">
        <v>1443</v>
      </c>
      <c r="P190" s="22" t="b">
        <f t="shared" si="5"/>
        <v>1</v>
      </c>
      <c r="Q190" s="22" t="b">
        <f t="shared" si="12"/>
        <v>1</v>
      </c>
      <c r="R190" s="22">
        <f>countif('v2022'!F:F,F190)</f>
        <v>1</v>
      </c>
      <c r="S190" s="22">
        <f>countif('v2018'!F:F,F190)</f>
        <v>1</v>
      </c>
      <c r="T190" s="22">
        <f>countif('v2014'!F:F,F190)</f>
        <v>1</v>
      </c>
      <c r="U190" s="22">
        <f>countif('v2010'!F:F,F190)</f>
        <v>1</v>
      </c>
      <c r="V190" s="22">
        <f>countif('v2006'!F:F,F190)</f>
        <v>1</v>
      </c>
      <c r="W190" s="22">
        <f>countif('v2002'!F:F,F190)</f>
        <v>1</v>
      </c>
      <c r="X190" s="22">
        <f>countif('v1998'!F:F,F190)</f>
        <v>1</v>
      </c>
    </row>
    <row r="191">
      <c r="A191" s="21" t="str">
        <f t="shared" si="13"/>
        <v>lattice parameter of silicon</v>
      </c>
      <c r="B191" s="6" t="s">
        <v>1444</v>
      </c>
      <c r="C191" s="6"/>
      <c r="D191" s="13" t="s">
        <v>1445</v>
      </c>
      <c r="E191" s="13" t="s">
        <v>571</v>
      </c>
      <c r="F191" s="22" t="str">
        <f t="shared" si="14"/>
        <v>LatticeParameterOfSilicon</v>
      </c>
      <c r="G191" s="6" t="s">
        <v>1445</v>
      </c>
      <c r="H191" s="6" t="s">
        <v>1446</v>
      </c>
      <c r="I191" s="6"/>
      <c r="J191" s="6" t="s">
        <v>571</v>
      </c>
      <c r="K191" s="14" t="str">
        <f t="shared" si="3"/>
        <v>https://w3id.org/uom/m</v>
      </c>
      <c r="L191" s="13" t="s">
        <v>379</v>
      </c>
      <c r="M191" s="23">
        <f>countif(Quantities!A:A,L191)</f>
        <v>1</v>
      </c>
      <c r="N191" s="24" t="b">
        <f t="shared" si="4"/>
        <v>1</v>
      </c>
      <c r="O191" s="6" t="s">
        <v>1447</v>
      </c>
      <c r="P191" s="22" t="b">
        <f t="shared" si="5"/>
        <v>1</v>
      </c>
      <c r="Q191" s="22" t="b">
        <f t="shared" si="12"/>
        <v>1</v>
      </c>
      <c r="R191" s="22">
        <f>countif('v2022'!F:F,F191)</f>
        <v>1</v>
      </c>
      <c r="S191" s="22">
        <f>countif('v2018'!F:F,F191)</f>
        <v>1</v>
      </c>
      <c r="T191" s="22">
        <f>countif('v2014'!F:F,F191)</f>
        <v>1</v>
      </c>
      <c r="U191" s="22">
        <f>countif('v2010'!F:F,F191)</f>
        <v>1</v>
      </c>
      <c r="V191" s="22">
        <f>countif('v2006'!F:F,F191)</f>
        <v>1</v>
      </c>
      <c r="W191" s="22">
        <f>countif('v2002'!F:F,F191)</f>
        <v>1</v>
      </c>
      <c r="X191" s="22">
        <f>countif('v1998'!F:F,F191)</f>
        <v>1</v>
      </c>
    </row>
    <row r="192">
      <c r="A192" s="21" t="str">
        <f t="shared" si="13"/>
        <v>lattice spacing of ideal Si (220)</v>
      </c>
      <c r="B192" s="6" t="s">
        <v>1448</v>
      </c>
      <c r="C192" s="6"/>
      <c r="D192" s="13" t="s">
        <v>1449</v>
      </c>
      <c r="E192" s="13" t="s">
        <v>571</v>
      </c>
      <c r="F192" s="22" t="str">
        <f t="shared" si="14"/>
        <v>LatticeSpacingOfSilicon</v>
      </c>
      <c r="G192" s="6" t="s">
        <v>1449</v>
      </c>
      <c r="H192" s="6" t="s">
        <v>1450</v>
      </c>
      <c r="I192" s="6"/>
      <c r="J192" s="6" t="s">
        <v>571</v>
      </c>
      <c r="K192" s="14" t="str">
        <f t="shared" si="3"/>
        <v>https://w3id.org/uom/m</v>
      </c>
      <c r="L192" s="13" t="s">
        <v>380</v>
      </c>
      <c r="M192" s="23">
        <f>countif(Quantities!A:A,L192)</f>
        <v>1</v>
      </c>
      <c r="N192" s="24" t="b">
        <f t="shared" si="4"/>
        <v>1</v>
      </c>
      <c r="O192" s="6" t="s">
        <v>1451</v>
      </c>
      <c r="P192" s="22" t="b">
        <f t="shared" si="5"/>
        <v>1</v>
      </c>
      <c r="Q192" s="22" t="b">
        <f t="shared" si="12"/>
        <v>1</v>
      </c>
      <c r="R192" s="22">
        <f>countif('v2022'!F:F,F192)</f>
        <v>1</v>
      </c>
      <c r="S192" s="22">
        <f>countif('v2018'!F:F,F192)</f>
        <v>1</v>
      </c>
      <c r="T192" s="22">
        <f>countif('v2014'!F:F,F192)</f>
        <v>1</v>
      </c>
      <c r="U192" s="22">
        <f>countif('v2010'!F:F,F192)</f>
        <v>1</v>
      </c>
      <c r="V192" s="22">
        <f>countif('v2006'!F:F,F192)</f>
        <v>1</v>
      </c>
      <c r="W192" s="22">
        <f>countif('v2002'!F:F,F192)</f>
        <v>1</v>
      </c>
      <c r="X192" s="22">
        <f>countif('v1998'!F:F,F192)</f>
        <v>1</v>
      </c>
    </row>
    <row r="193">
      <c r="A193" s="21" t="str">
        <f t="shared" si="13"/>
        <v>Loschmidt constant (273.15 K, 100 kPa)</v>
      </c>
      <c r="B193" s="6" t="s">
        <v>1452</v>
      </c>
      <c r="D193" s="13" t="s">
        <v>1453</v>
      </c>
      <c r="E193" s="13" t="s">
        <v>1454</v>
      </c>
      <c r="F193" s="6" t="s">
        <v>381</v>
      </c>
      <c r="G193" s="6" t="s">
        <v>1453</v>
      </c>
      <c r="H193" s="6" t="s">
        <v>1455</v>
      </c>
      <c r="I193" s="6"/>
      <c r="J193" s="6" t="s">
        <v>1456</v>
      </c>
      <c r="K193" s="14" t="str">
        <f t="shared" si="3"/>
        <v>https://w3id.org/uom/m-3</v>
      </c>
      <c r="L193" s="6" t="s">
        <v>381</v>
      </c>
      <c r="M193" s="23">
        <f>countif(Quantities!A:A,L193)</f>
        <v>1</v>
      </c>
      <c r="N193" s="24" t="b">
        <f t="shared" si="4"/>
        <v>1</v>
      </c>
      <c r="P193" s="22" t="b">
        <f t="shared" si="5"/>
        <v>0</v>
      </c>
      <c r="Q193" s="22" t="b">
        <f t="shared" si="12"/>
        <v>1</v>
      </c>
      <c r="R193" s="22">
        <f>countif('v2022'!F:F,F193)</f>
        <v>1</v>
      </c>
      <c r="S193" s="22">
        <f>countif('v2018'!F:F,F193)</f>
        <v>1</v>
      </c>
      <c r="T193" s="22">
        <f>countif('v2014'!F:F,F193)</f>
        <v>1</v>
      </c>
      <c r="U193" s="22">
        <f>countif('v2010'!F:F,F193)</f>
        <v>1</v>
      </c>
      <c r="V193" s="22">
        <f>countif('v2006'!F:F,F193)</f>
        <v>0</v>
      </c>
      <c r="W193" s="22">
        <f>countif('v2002'!F:F,F193)</f>
        <v>0</v>
      </c>
      <c r="X193" s="22">
        <f>countif('v1998'!F:F,F193)</f>
        <v>0</v>
      </c>
    </row>
    <row r="194">
      <c r="A194" s="21" t="str">
        <f t="shared" si="13"/>
        <v>Loschmidt constant (273.15 K, 101.325 kPa)</v>
      </c>
      <c r="B194" s="6" t="s">
        <v>1457</v>
      </c>
      <c r="D194" s="13" t="s">
        <v>1458</v>
      </c>
      <c r="E194" s="13" t="s">
        <v>1454</v>
      </c>
      <c r="F194" s="6" t="s">
        <v>1459</v>
      </c>
      <c r="G194" s="6" t="s">
        <v>1458</v>
      </c>
      <c r="H194" s="6" t="s">
        <v>1460</v>
      </c>
      <c r="I194" s="6"/>
      <c r="J194" s="6" t="s">
        <v>1456</v>
      </c>
      <c r="K194" s="14" t="str">
        <f t="shared" si="3"/>
        <v>https://w3id.org/uom/m-3</v>
      </c>
      <c r="L194" s="6" t="s">
        <v>381</v>
      </c>
      <c r="M194" s="23">
        <f>countif(Quantities!A:A,L194)</f>
        <v>1</v>
      </c>
      <c r="N194" s="24" t="b">
        <f t="shared" si="4"/>
        <v>0</v>
      </c>
      <c r="P194" s="22" t="b">
        <f t="shared" si="5"/>
        <v>0</v>
      </c>
      <c r="Q194" s="22" t="b">
        <f t="shared" si="12"/>
        <v>1</v>
      </c>
      <c r="R194" s="22">
        <f>countif('v2022'!F:F,F194)</f>
        <v>1</v>
      </c>
      <c r="S194" s="22">
        <f>countif('v2018'!F:F,F194)</f>
        <v>1</v>
      </c>
      <c r="T194" s="22">
        <f>countif('v2014'!F:F,F194)</f>
        <v>1</v>
      </c>
      <c r="U194" s="22">
        <f>countif('v2010'!F:F,F194)</f>
        <v>1</v>
      </c>
      <c r="V194" s="22">
        <f>countif('v2006'!F:F,F194)</f>
        <v>1</v>
      </c>
      <c r="W194" s="22">
        <f>countif('v2002'!F:F,F194)</f>
        <v>1</v>
      </c>
      <c r="X194" s="22">
        <f>countif('v1998'!F:F,F194)</f>
        <v>1</v>
      </c>
    </row>
    <row r="195">
      <c r="A195" s="21" t="str">
        <f t="shared" si="13"/>
        <v>luminous efficacy</v>
      </c>
      <c r="B195" s="6" t="s">
        <v>1461</v>
      </c>
      <c r="D195" s="13" t="s">
        <v>1462</v>
      </c>
      <c r="E195" s="13" t="s">
        <v>1463</v>
      </c>
      <c r="F195" s="22" t="str">
        <f t="shared" ref="F195:F201" si="15">if(isblank(O195),concatenate(substitute(proper(D195)," ","")),SUBSTITUTE(O195,"constant:",""))</f>
        <v>LuminousEfficacy</v>
      </c>
      <c r="G195" s="6" t="s">
        <v>1462</v>
      </c>
      <c r="H195" s="6" t="s">
        <v>1464</v>
      </c>
      <c r="I195" s="6"/>
      <c r="J195" s="6" t="s">
        <v>1465</v>
      </c>
      <c r="K195" s="14" t="str">
        <f t="shared" si="3"/>
        <v>https://w3id.org/uom/lm.W-1</v>
      </c>
      <c r="L195" s="13" t="s">
        <v>193</v>
      </c>
      <c r="M195" s="23">
        <f>countif(Quantities!A:A,L195)</f>
        <v>1</v>
      </c>
      <c r="N195" s="24" t="b">
        <f t="shared" si="4"/>
        <v>1</v>
      </c>
      <c r="P195" s="22" t="b">
        <f t="shared" si="5"/>
        <v>0</v>
      </c>
      <c r="Q195" s="22" t="b">
        <f t="shared" si="12"/>
        <v>1</v>
      </c>
      <c r="R195" s="22">
        <f>countif('v2022'!F:F,F195)</f>
        <v>1</v>
      </c>
      <c r="S195" s="22">
        <f>countif('v2018'!F:F,F195)</f>
        <v>1</v>
      </c>
      <c r="T195" s="22">
        <f>countif('v2014'!F:F,F195)</f>
        <v>0</v>
      </c>
      <c r="U195" s="22">
        <f>countif('v2010'!F:F,F195)</f>
        <v>0</v>
      </c>
      <c r="V195" s="22">
        <f>countif('v2006'!F:F,F195)</f>
        <v>0</v>
      </c>
      <c r="W195" s="22">
        <f>countif('v2002'!F:F,F195)</f>
        <v>0</v>
      </c>
      <c r="X195" s="22">
        <f>countif('v1998'!F:F,F195)</f>
        <v>0</v>
      </c>
    </row>
    <row r="196">
      <c r="A196" s="21" t="str">
        <f t="shared" si="13"/>
        <v>mag. flux quantum</v>
      </c>
      <c r="B196" s="6" t="s">
        <v>1466</v>
      </c>
      <c r="D196" s="13" t="s">
        <v>1467</v>
      </c>
      <c r="E196" s="13" t="s">
        <v>1468</v>
      </c>
      <c r="F196" s="22" t="str">
        <f t="shared" si="15"/>
        <v>MagneticFluxQuantum</v>
      </c>
      <c r="G196" s="6" t="s">
        <v>1469</v>
      </c>
      <c r="H196" s="6" t="s">
        <v>1470</v>
      </c>
      <c r="I196" s="6"/>
      <c r="J196" s="6" t="s">
        <v>1468</v>
      </c>
      <c r="K196" s="14" t="str">
        <f t="shared" si="3"/>
        <v>https://w3id.org/uom/Wb</v>
      </c>
      <c r="L196" s="13" t="s">
        <v>383</v>
      </c>
      <c r="M196" s="23">
        <f>countif(Quantities!A:A,L196)</f>
        <v>1</v>
      </c>
      <c r="N196" s="24" t="b">
        <f t="shared" si="4"/>
        <v>1</v>
      </c>
      <c r="O196" s="6" t="s">
        <v>1471</v>
      </c>
      <c r="P196" s="22" t="b">
        <f t="shared" si="5"/>
        <v>1</v>
      </c>
      <c r="Q196" s="22" t="b">
        <f>sum(S196:X196)&gt;0</f>
        <v>1</v>
      </c>
      <c r="R196" s="22">
        <f>countif('v2022'!F:F,F196)</f>
        <v>1</v>
      </c>
      <c r="S196" s="22">
        <f>countif('v2018'!F:F,F196)</f>
        <v>1</v>
      </c>
      <c r="T196" s="22">
        <f>countif('v2014'!F:F,F196)</f>
        <v>1</v>
      </c>
      <c r="U196" s="22">
        <f>countif('v2010'!F:F,F196)</f>
        <v>1</v>
      </c>
      <c r="V196" s="22">
        <f>countif('v2006'!F:F,F196)</f>
        <v>1</v>
      </c>
      <c r="W196" s="22">
        <f>countif('v2002'!F:F,F196)</f>
        <v>1</v>
      </c>
      <c r="X196" s="22">
        <f>countif('v1998'!F:F,F196)</f>
        <v>1</v>
      </c>
    </row>
    <row r="197">
      <c r="A197" s="21" t="str">
        <f t="shared" si="13"/>
        <v>molar gas constant</v>
      </c>
      <c r="B197" s="6" t="s">
        <v>1472</v>
      </c>
      <c r="D197" s="13" t="s">
        <v>1473</v>
      </c>
      <c r="E197" s="13" t="s">
        <v>1474</v>
      </c>
      <c r="F197" s="22" t="str">
        <f t="shared" si="15"/>
        <v>MolarGasConstant</v>
      </c>
      <c r="G197" s="6" t="s">
        <v>1473</v>
      </c>
      <c r="H197" s="6" t="s">
        <v>1475</v>
      </c>
      <c r="I197" s="6"/>
      <c r="J197" s="6" t="s">
        <v>1476</v>
      </c>
      <c r="K197" s="14" t="str">
        <f t="shared" si="3"/>
        <v>https://w3id.org/uom/J.mol-1.K-1</v>
      </c>
      <c r="L197" s="13" t="s">
        <v>384</v>
      </c>
      <c r="M197" s="23">
        <f>countif(Quantities!A:A,L197)</f>
        <v>1</v>
      </c>
      <c r="N197" s="24" t="b">
        <f t="shared" si="4"/>
        <v>1</v>
      </c>
      <c r="O197" s="6" t="s">
        <v>1477</v>
      </c>
      <c r="P197" s="22" t="b">
        <f t="shared" si="5"/>
        <v>1</v>
      </c>
      <c r="Q197" s="22" t="b">
        <f t="shared" ref="Q197:Q207" si="16">sum(S196:X197)&gt;0</f>
        <v>1</v>
      </c>
      <c r="R197" s="22">
        <f>countif('v2022'!F:F,F197)</f>
        <v>1</v>
      </c>
      <c r="S197" s="22">
        <f>countif('v2018'!F:F,F197)</f>
        <v>1</v>
      </c>
      <c r="T197" s="22">
        <f>countif('v2014'!F:F,F197)</f>
        <v>1</v>
      </c>
      <c r="U197" s="22">
        <f>countif('v2010'!F:F,F197)</f>
        <v>1</v>
      </c>
      <c r="V197" s="22">
        <f>countif('v2006'!F:F,F197)</f>
        <v>1</v>
      </c>
      <c r="W197" s="22">
        <f>countif('v2002'!F:F,F197)</f>
        <v>1</v>
      </c>
      <c r="X197" s="22">
        <f>countif('v1998'!F:F,F197)</f>
        <v>1</v>
      </c>
    </row>
    <row r="198">
      <c r="A198" s="21" t="str">
        <f t="shared" si="13"/>
        <v>molar mass constant</v>
      </c>
      <c r="B198" s="6" t="s">
        <v>43</v>
      </c>
      <c r="D198" s="13" t="s">
        <v>1478</v>
      </c>
      <c r="E198" s="13" t="s">
        <v>557</v>
      </c>
      <c r="F198" s="22" t="str">
        <f t="shared" si="15"/>
        <v>MolarMassConstant</v>
      </c>
      <c r="G198" s="6" t="s">
        <v>1478</v>
      </c>
      <c r="H198" s="6" t="s">
        <v>1479</v>
      </c>
      <c r="I198" s="6"/>
      <c r="J198" s="6" t="s">
        <v>559</v>
      </c>
      <c r="K198" s="14" t="str">
        <f t="shared" si="3"/>
        <v>https://w3id.org/uom/kg.mol-1</v>
      </c>
      <c r="L198" s="13" t="s">
        <v>385</v>
      </c>
      <c r="M198" s="23">
        <f>countif(Quantities!A:A,L198)</f>
        <v>1</v>
      </c>
      <c r="N198" s="24" t="b">
        <f t="shared" si="4"/>
        <v>1</v>
      </c>
      <c r="O198" s="6" t="s">
        <v>1480</v>
      </c>
      <c r="P198" s="22" t="b">
        <f t="shared" si="5"/>
        <v>1</v>
      </c>
      <c r="Q198" s="22" t="b">
        <f t="shared" si="16"/>
        <v>1</v>
      </c>
      <c r="R198" s="22">
        <f>countif('v2022'!F:F,F198)</f>
        <v>1</v>
      </c>
      <c r="S198" s="22">
        <f>countif('v2018'!F:F,F198)</f>
        <v>1</v>
      </c>
      <c r="T198" s="22">
        <f>countif('v2014'!F:F,F198)</f>
        <v>1</v>
      </c>
      <c r="U198" s="22">
        <f>countif('v2010'!F:F,F198)</f>
        <v>1</v>
      </c>
      <c r="V198" s="22">
        <f>countif('v2006'!F:F,F198)</f>
        <v>1</v>
      </c>
      <c r="W198" s="22">
        <f>countif('v2002'!F:F,F198)</f>
        <v>1</v>
      </c>
      <c r="X198" s="22">
        <f>countif('v1998'!F:F,F198)</f>
        <v>1</v>
      </c>
    </row>
    <row r="199">
      <c r="A199" s="21" t="str">
        <f t="shared" si="13"/>
        <v>molar mass of carbon-12</v>
      </c>
      <c r="B199" s="6" t="s">
        <v>1481</v>
      </c>
      <c r="D199" s="13" t="s">
        <v>1482</v>
      </c>
      <c r="E199" s="13" t="s">
        <v>557</v>
      </c>
      <c r="F199" s="22" t="str">
        <f t="shared" si="15"/>
        <v>MolarMassOfCarbon12</v>
      </c>
      <c r="G199" s="6" t="s">
        <v>1482</v>
      </c>
      <c r="H199" s="6" t="s">
        <v>1483</v>
      </c>
      <c r="I199" s="6"/>
      <c r="J199" s="6" t="s">
        <v>559</v>
      </c>
      <c r="K199" s="14" t="str">
        <f t="shared" si="3"/>
        <v>https://w3id.org/uom/kg.mol-1</v>
      </c>
      <c r="L199" s="13" t="s">
        <v>386</v>
      </c>
      <c r="M199" s="23">
        <f>countif(Quantities!A:A,L199)</f>
        <v>1</v>
      </c>
      <c r="N199" s="24" t="b">
        <f t="shared" si="4"/>
        <v>1</v>
      </c>
      <c r="O199" s="6" t="s">
        <v>1484</v>
      </c>
      <c r="P199" s="22" t="b">
        <f t="shared" si="5"/>
        <v>1</v>
      </c>
      <c r="Q199" s="22" t="b">
        <f t="shared" si="16"/>
        <v>1</v>
      </c>
      <c r="R199" s="22">
        <f>countif('v2022'!F:F,F199)</f>
        <v>1</v>
      </c>
      <c r="S199" s="22">
        <f>countif('v2018'!F:F,F199)</f>
        <v>1</v>
      </c>
      <c r="T199" s="22">
        <f>countif('v2014'!F:F,F199)</f>
        <v>1</v>
      </c>
      <c r="U199" s="22">
        <f>countif('v2010'!F:F,F199)</f>
        <v>1</v>
      </c>
      <c r="V199" s="22">
        <f>countif('v2006'!F:F,F199)</f>
        <v>1</v>
      </c>
      <c r="W199" s="22">
        <f>countif('v2002'!F:F,F199)</f>
        <v>1</v>
      </c>
      <c r="X199" s="22">
        <f>countif('v1998'!F:F,F199)</f>
        <v>1</v>
      </c>
    </row>
    <row r="200">
      <c r="A200" s="21" t="str">
        <f t="shared" si="13"/>
        <v>molar Planck constant</v>
      </c>
      <c r="B200" s="6" t="s">
        <v>1485</v>
      </c>
      <c r="D200" s="13" t="s">
        <v>1486</v>
      </c>
      <c r="E200" s="13" t="s">
        <v>1487</v>
      </c>
      <c r="F200" s="22" t="str">
        <f t="shared" si="15"/>
        <v>MolarPlanckConstant</v>
      </c>
      <c r="G200" s="6" t="s">
        <v>1486</v>
      </c>
      <c r="H200" s="6" t="s">
        <v>1488</v>
      </c>
      <c r="I200" s="6"/>
      <c r="J200" s="6" t="s">
        <v>1489</v>
      </c>
      <c r="K200" s="14" t="str">
        <f t="shared" si="3"/>
        <v>https://w3id.org/uom/J.Hz-1.mol-1</v>
      </c>
      <c r="L200" s="13" t="s">
        <v>387</v>
      </c>
      <c r="M200" s="23">
        <f>countif(Quantities!A:A,L200)</f>
        <v>1</v>
      </c>
      <c r="N200" s="24" t="b">
        <f t="shared" si="4"/>
        <v>1</v>
      </c>
      <c r="O200" s="6" t="s">
        <v>1490</v>
      </c>
      <c r="P200" s="22" t="b">
        <f t="shared" si="5"/>
        <v>1</v>
      </c>
      <c r="Q200" s="22" t="b">
        <f t="shared" si="16"/>
        <v>1</v>
      </c>
      <c r="R200" s="22">
        <f>countif('v2022'!F:F,F200)</f>
        <v>1</v>
      </c>
      <c r="S200" s="22">
        <f>countif('v2018'!F:F,F200)</f>
        <v>1</v>
      </c>
      <c r="T200" s="22">
        <f>countif('v2014'!F:F,F200)</f>
        <v>1</v>
      </c>
      <c r="U200" s="22">
        <f>countif('v2010'!F:F,F200)</f>
        <v>1</v>
      </c>
      <c r="V200" s="22">
        <f>countif('v2006'!F:F,F200)</f>
        <v>1</v>
      </c>
      <c r="W200" s="22">
        <f>countif('v2002'!F:F,F200)</f>
        <v>1</v>
      </c>
      <c r="X200" s="22">
        <f>countif('v1998'!F:F,F200)</f>
        <v>1</v>
      </c>
    </row>
    <row r="201">
      <c r="A201" s="6" t="s">
        <v>1491</v>
      </c>
      <c r="B201" s="6" t="s">
        <v>1492</v>
      </c>
      <c r="E201" s="6" t="s">
        <v>1493</v>
      </c>
      <c r="F201" s="22" t="str">
        <f t="shared" si="15"/>
        <v>MolarPlanckConstantTimesC</v>
      </c>
      <c r="G201" s="6" t="s">
        <v>1491</v>
      </c>
      <c r="H201" s="6" t="s">
        <v>1494</v>
      </c>
      <c r="I201" s="6"/>
      <c r="J201" s="6" t="s">
        <v>1495</v>
      </c>
      <c r="K201" s="14" t="str">
        <f t="shared" si="3"/>
        <v>https://w3id.org/uom/J.m.mol-1</v>
      </c>
      <c r="L201" s="13" t="s">
        <v>388</v>
      </c>
      <c r="M201" s="23">
        <f>countif(Quantities!A:A,L201)</f>
        <v>1</v>
      </c>
      <c r="N201" s="24" t="b">
        <f t="shared" si="4"/>
        <v>1</v>
      </c>
      <c r="O201" s="6" t="s">
        <v>1496</v>
      </c>
      <c r="P201" s="22" t="b">
        <f t="shared" si="5"/>
        <v>1</v>
      </c>
      <c r="Q201" s="22" t="b">
        <f t="shared" si="16"/>
        <v>1</v>
      </c>
      <c r="R201" s="22">
        <f>countif('v2022'!F:F,F201)</f>
        <v>0</v>
      </c>
      <c r="S201" s="22">
        <f>countif('v2018'!F:F,F201)</f>
        <v>0</v>
      </c>
      <c r="T201" s="22">
        <f>countif('v2014'!F:F,F201)</f>
        <v>1</v>
      </c>
      <c r="U201" s="22">
        <f>countif('v2010'!F:F,F201)</f>
        <v>1</v>
      </c>
      <c r="V201" s="22">
        <f>countif('v2006'!F:F,F201)</f>
        <v>1</v>
      </c>
      <c r="W201" s="22">
        <f>countif('v2002'!F:F,F201)</f>
        <v>1</v>
      </c>
      <c r="X201" s="22">
        <f>countif('v1998'!F:F,F201)</f>
        <v>1</v>
      </c>
    </row>
    <row r="202">
      <c r="A202" s="21" t="str">
        <f t="shared" ref="A202:A238" si="17">D202</f>
        <v>molar volume of ideal gas (273.15 K, 100 kPa)</v>
      </c>
      <c r="B202" s="6" t="s">
        <v>1497</v>
      </c>
      <c r="D202" s="13" t="s">
        <v>1498</v>
      </c>
      <c r="E202" s="13" t="s">
        <v>1499</v>
      </c>
      <c r="F202" s="6" t="s">
        <v>389</v>
      </c>
      <c r="G202" s="6" t="s">
        <v>1498</v>
      </c>
      <c r="H202" s="6" t="s">
        <v>1500</v>
      </c>
      <c r="I202" s="6"/>
      <c r="J202" s="6" t="s">
        <v>1501</v>
      </c>
      <c r="K202" s="14" t="str">
        <f t="shared" si="3"/>
        <v>https://w3id.org/uom/m3.mol-1</v>
      </c>
      <c r="L202" s="6" t="s">
        <v>389</v>
      </c>
      <c r="M202" s="23">
        <f>countif(Quantities!A:A,L202)</f>
        <v>1</v>
      </c>
      <c r="N202" s="24" t="b">
        <f t="shared" si="4"/>
        <v>1</v>
      </c>
      <c r="P202" s="22" t="b">
        <f t="shared" si="5"/>
        <v>0</v>
      </c>
      <c r="Q202" s="22" t="b">
        <f t="shared" si="16"/>
        <v>1</v>
      </c>
      <c r="R202" s="22">
        <f>countif('v2022'!F:F,F202)</f>
        <v>1</v>
      </c>
      <c r="S202" s="22">
        <f>countif('v2018'!F:F,F202)</f>
        <v>1</v>
      </c>
      <c r="T202" s="22">
        <f>countif('v2014'!F:F,F202)</f>
        <v>1</v>
      </c>
      <c r="U202" s="22">
        <f>countif('v2010'!F:F,F202)</f>
        <v>1</v>
      </c>
      <c r="V202" s="22">
        <f>countif('v2006'!F:F,F202)</f>
        <v>1</v>
      </c>
      <c r="W202" s="22">
        <f>countif('v2002'!F:F,F202)</f>
        <v>1</v>
      </c>
      <c r="X202" s="22">
        <f>countif('v1998'!F:F,F202)</f>
        <v>1</v>
      </c>
    </row>
    <row r="203">
      <c r="A203" s="21" t="str">
        <f t="shared" si="17"/>
        <v>molar volume of ideal gas (273.15 K, 101.325 kPa)</v>
      </c>
      <c r="B203" s="6" t="s">
        <v>1502</v>
      </c>
      <c r="D203" s="13" t="s">
        <v>1503</v>
      </c>
      <c r="E203" s="13" t="s">
        <v>1499</v>
      </c>
      <c r="F203" s="6" t="s">
        <v>1504</v>
      </c>
      <c r="G203" s="6" t="s">
        <v>1503</v>
      </c>
      <c r="H203" s="6" t="s">
        <v>1505</v>
      </c>
      <c r="I203" s="6"/>
      <c r="J203" s="6" t="s">
        <v>1501</v>
      </c>
      <c r="K203" s="14" t="str">
        <f t="shared" si="3"/>
        <v>https://w3id.org/uom/m3.mol-1</v>
      </c>
      <c r="L203" s="6" t="s">
        <v>389</v>
      </c>
      <c r="M203" s="23">
        <f>countif(Quantities!A:A,L203)</f>
        <v>1</v>
      </c>
      <c r="N203" s="24" t="b">
        <f t="shared" si="4"/>
        <v>0</v>
      </c>
      <c r="P203" s="22" t="b">
        <f t="shared" si="5"/>
        <v>0</v>
      </c>
      <c r="Q203" s="22" t="b">
        <f t="shared" si="16"/>
        <v>1</v>
      </c>
      <c r="R203" s="22">
        <f>countif('v2022'!F:F,F203)</f>
        <v>1</v>
      </c>
      <c r="S203" s="22">
        <f>countif('v2018'!F:F,F203)</f>
        <v>1</v>
      </c>
      <c r="T203" s="22">
        <f>countif('v2014'!F:F,F203)</f>
        <v>1</v>
      </c>
      <c r="U203" s="22">
        <f>countif('v2010'!F:F,F203)</f>
        <v>1</v>
      </c>
      <c r="V203" s="22">
        <f>countif('v2006'!F:F,F203)</f>
        <v>1</v>
      </c>
      <c r="W203" s="22">
        <f>countif('v2002'!F:F,F203)</f>
        <v>1</v>
      </c>
      <c r="X203" s="22">
        <f>countif('v1998'!F:F,F203)</f>
        <v>1</v>
      </c>
    </row>
    <row r="204">
      <c r="A204" s="21" t="str">
        <f t="shared" si="17"/>
        <v>molar volume of silicon</v>
      </c>
      <c r="B204" s="6" t="s">
        <v>1506</v>
      </c>
      <c r="D204" s="13" t="s">
        <v>1507</v>
      </c>
      <c r="E204" s="13" t="s">
        <v>1499</v>
      </c>
      <c r="F204" s="22" t="str">
        <f t="shared" ref="F204:F258" si="18">if(isblank(O204),concatenate(substitute(proper(D204)," ","")),SUBSTITUTE(O204,"constant:",""))</f>
        <v>MolarVolumeOfSilicon</v>
      </c>
      <c r="G204" s="6" t="s">
        <v>1507</v>
      </c>
      <c r="H204" s="6" t="s">
        <v>1508</v>
      </c>
      <c r="I204" s="6"/>
      <c r="J204" s="6" t="s">
        <v>1501</v>
      </c>
      <c r="K204" s="14" t="str">
        <f t="shared" si="3"/>
        <v>https://w3id.org/uom/m3.mol-1</v>
      </c>
      <c r="L204" s="13" t="s">
        <v>390</v>
      </c>
      <c r="M204" s="23">
        <f>countif(Quantities!A:A,L204)</f>
        <v>1</v>
      </c>
      <c r="N204" s="24" t="b">
        <f t="shared" si="4"/>
        <v>1</v>
      </c>
      <c r="O204" s="6" t="s">
        <v>1509</v>
      </c>
      <c r="P204" s="22" t="b">
        <f t="shared" si="5"/>
        <v>1</v>
      </c>
      <c r="Q204" s="22" t="b">
        <f t="shared" si="16"/>
        <v>1</v>
      </c>
      <c r="R204" s="22">
        <f>countif('v2022'!F:F,F204)</f>
        <v>1</v>
      </c>
      <c r="S204" s="22">
        <f>countif('v2018'!F:F,F204)</f>
        <v>1</v>
      </c>
      <c r="T204" s="22">
        <f>countif('v2014'!F:F,F204)</f>
        <v>1</v>
      </c>
      <c r="U204" s="22">
        <f>countif('v2010'!F:F,F204)</f>
        <v>1</v>
      </c>
      <c r="V204" s="22">
        <f>countif('v2006'!F:F,F204)</f>
        <v>1</v>
      </c>
      <c r="W204" s="22">
        <f>countif('v2002'!F:F,F204)</f>
        <v>1</v>
      </c>
      <c r="X204" s="22">
        <f>countif('v1998'!F:F,F204)</f>
        <v>1</v>
      </c>
    </row>
    <row r="205">
      <c r="A205" s="21" t="str">
        <f t="shared" si="17"/>
        <v>Molybdenum x unit</v>
      </c>
      <c r="B205" s="6" t="s">
        <v>1510</v>
      </c>
      <c r="D205" s="13" t="s">
        <v>1511</v>
      </c>
      <c r="E205" s="13" t="s">
        <v>571</v>
      </c>
      <c r="F205" s="22" t="str">
        <f t="shared" si="18"/>
        <v>MoXUnit</v>
      </c>
      <c r="G205" s="6" t="s">
        <v>1511</v>
      </c>
      <c r="H205" s="6" t="s">
        <v>1512</v>
      </c>
      <c r="I205" s="6"/>
      <c r="J205" s="6" t="s">
        <v>571</v>
      </c>
      <c r="K205" s="14" t="str">
        <f t="shared" si="3"/>
        <v>https://w3id.org/uom/m</v>
      </c>
      <c r="L205" s="13" t="s">
        <v>391</v>
      </c>
      <c r="M205" s="23">
        <f>countif(Quantities!A:A,L205)</f>
        <v>1</v>
      </c>
      <c r="N205" s="24" t="b">
        <f t="shared" si="4"/>
        <v>1</v>
      </c>
      <c r="O205" s="6" t="s">
        <v>1513</v>
      </c>
      <c r="P205" s="22" t="b">
        <f t="shared" si="5"/>
        <v>1</v>
      </c>
      <c r="Q205" s="22" t="b">
        <f t="shared" si="16"/>
        <v>1</v>
      </c>
      <c r="R205" s="22">
        <f>countif('v2022'!F:F,F205)</f>
        <v>1</v>
      </c>
      <c r="S205" s="22">
        <f>countif('v2018'!F:F,F205)</f>
        <v>1</v>
      </c>
      <c r="T205" s="22">
        <f>countif('v2014'!F:F,F205)</f>
        <v>1</v>
      </c>
      <c r="U205" s="22">
        <f>countif('v2010'!F:F,F205)</f>
        <v>1</v>
      </c>
      <c r="V205" s="22">
        <f>countif('v2006'!F:F,F205)</f>
        <v>1</v>
      </c>
      <c r="W205" s="22">
        <f>countif('v2002'!F:F,F205)</f>
        <v>1</v>
      </c>
      <c r="X205" s="22">
        <f>countif('v1998'!F:F,F205)</f>
        <v>1</v>
      </c>
    </row>
    <row r="206">
      <c r="A206" s="21" t="str">
        <f t="shared" si="17"/>
        <v>muon Compton wavelength</v>
      </c>
      <c r="B206" s="6" t="s">
        <v>1514</v>
      </c>
      <c r="D206" s="13" t="s">
        <v>1515</v>
      </c>
      <c r="E206" s="13" t="s">
        <v>571</v>
      </c>
      <c r="F206" s="22" t="str">
        <f t="shared" si="18"/>
        <v>MuonComptonWavelength</v>
      </c>
      <c r="G206" s="6" t="s">
        <v>1515</v>
      </c>
      <c r="H206" s="6" t="s">
        <v>1516</v>
      </c>
      <c r="I206" s="6"/>
      <c r="J206" s="6" t="s">
        <v>571</v>
      </c>
      <c r="K206" s="14" t="str">
        <f t="shared" si="3"/>
        <v>https://w3id.org/uom/m</v>
      </c>
      <c r="L206" s="13" t="s">
        <v>392</v>
      </c>
      <c r="M206" s="23">
        <f>countif(Quantities!A:A,L206)</f>
        <v>1</v>
      </c>
      <c r="N206" s="24" t="b">
        <f t="shared" si="4"/>
        <v>1</v>
      </c>
      <c r="O206" s="6" t="s">
        <v>1517</v>
      </c>
      <c r="P206" s="22" t="b">
        <f t="shared" si="5"/>
        <v>1</v>
      </c>
      <c r="Q206" s="22" t="b">
        <f t="shared" si="16"/>
        <v>1</v>
      </c>
      <c r="R206" s="22">
        <f>countif('v2022'!F:F,F206)</f>
        <v>1</v>
      </c>
      <c r="S206" s="22">
        <f>countif('v2018'!F:F,F206)</f>
        <v>1</v>
      </c>
      <c r="T206" s="22">
        <f>countif('v2014'!F:F,F206)</f>
        <v>1</v>
      </c>
      <c r="U206" s="22">
        <f>countif('v2010'!F:F,F206)</f>
        <v>1</v>
      </c>
      <c r="V206" s="22">
        <f>countif('v2006'!F:F,F206)</f>
        <v>1</v>
      </c>
      <c r="W206" s="22">
        <f>countif('v2002'!F:F,F206)</f>
        <v>1</v>
      </c>
      <c r="X206" s="22">
        <f>countif('v1998'!F:F,F206)</f>
        <v>1</v>
      </c>
    </row>
    <row r="207">
      <c r="A207" s="21" t="str">
        <f t="shared" si="17"/>
        <v>muon Compton wavelength over 2 pi</v>
      </c>
      <c r="B207" s="6" t="s">
        <v>1518</v>
      </c>
      <c r="C207" s="6"/>
      <c r="D207" s="6" t="s">
        <v>1519</v>
      </c>
      <c r="E207" s="6" t="s">
        <v>571</v>
      </c>
      <c r="F207" s="22" t="str">
        <f t="shared" si="18"/>
        <v>MuonComptonWavelengthOver2Pi</v>
      </c>
      <c r="G207" s="6" t="s">
        <v>1519</v>
      </c>
      <c r="H207" s="6" t="s">
        <v>1520</v>
      </c>
      <c r="I207" s="6"/>
      <c r="J207" s="6" t="s">
        <v>571</v>
      </c>
      <c r="K207" s="14" t="str">
        <f t="shared" si="3"/>
        <v>https://w3id.org/uom/m</v>
      </c>
      <c r="L207" s="6" t="s">
        <v>392</v>
      </c>
      <c r="M207" s="23">
        <f>countif(Quantities!A:A,L207)</f>
        <v>1</v>
      </c>
      <c r="N207" s="24" t="b">
        <f t="shared" si="4"/>
        <v>0</v>
      </c>
      <c r="O207" s="6" t="s">
        <v>1521</v>
      </c>
      <c r="P207" s="22" t="b">
        <f t="shared" si="5"/>
        <v>1</v>
      </c>
      <c r="Q207" s="22" t="b">
        <f t="shared" si="16"/>
        <v>1</v>
      </c>
      <c r="R207" s="22">
        <f>countif('v2022'!F:F,F207)</f>
        <v>0</v>
      </c>
      <c r="S207" s="22">
        <f>countif('v2018'!F:F,F207)</f>
        <v>0</v>
      </c>
      <c r="T207" s="22">
        <f>countif('v2014'!F:F,F207)</f>
        <v>1</v>
      </c>
      <c r="U207" s="22">
        <f>countif('v2010'!F:F,F207)</f>
        <v>1</v>
      </c>
      <c r="V207" s="22">
        <f>countif('v2006'!F:F,F207)</f>
        <v>1</v>
      </c>
      <c r="W207" s="22">
        <f>countif('v2002'!F:F,F207)</f>
        <v>1</v>
      </c>
      <c r="X207" s="22">
        <f>countif('v1998'!F:F,F207)</f>
        <v>1</v>
      </c>
    </row>
    <row r="208">
      <c r="A208" s="26" t="str">
        <f t="shared" si="17"/>
        <v>reduced muon Compton wavelength</v>
      </c>
      <c r="B208" s="27" t="s">
        <v>1518</v>
      </c>
      <c r="C208" s="28"/>
      <c r="D208" s="28" t="s">
        <v>1522</v>
      </c>
      <c r="E208" s="28" t="s">
        <v>571</v>
      </c>
      <c r="F208" s="22" t="str">
        <f t="shared" si="18"/>
        <v>ReducedMuonComptonWavelength</v>
      </c>
      <c r="G208" s="27" t="s">
        <v>1522</v>
      </c>
      <c r="H208" s="27" t="s">
        <v>1523</v>
      </c>
      <c r="I208" s="27"/>
      <c r="J208" s="27" t="s">
        <v>571</v>
      </c>
      <c r="K208" s="29" t="str">
        <f t="shared" si="3"/>
        <v>https://w3id.org/uom/m</v>
      </c>
      <c r="L208" s="28" t="s">
        <v>455</v>
      </c>
      <c r="M208" s="30">
        <f>countif(Quantities!A:A,L208)</f>
        <v>1</v>
      </c>
      <c r="N208" s="31" t="b">
        <f t="shared" si="4"/>
        <v>1</v>
      </c>
      <c r="O208" s="28"/>
      <c r="P208" s="32" t="b">
        <f t="shared" si="5"/>
        <v>0</v>
      </c>
      <c r="Q208" s="32" t="b">
        <f>sum(S59:X294)&gt;0</f>
        <v>1</v>
      </c>
      <c r="R208" s="22">
        <f>countif('v2022'!F:F,F208)</f>
        <v>1</v>
      </c>
      <c r="S208" s="32">
        <f>countif('v2018'!F:F,F208)</f>
        <v>1</v>
      </c>
      <c r="T208" s="32">
        <f>countif('v2014'!F:F,F208)</f>
        <v>0</v>
      </c>
      <c r="U208" s="32">
        <f>countif('v2010'!F:F,F208)</f>
        <v>0</v>
      </c>
      <c r="V208" s="32">
        <f>countif('v2006'!F:F,F208)</f>
        <v>0</v>
      </c>
      <c r="W208" s="32">
        <f>countif('v2002'!F:F,F208)</f>
        <v>0</v>
      </c>
      <c r="X208" s="32">
        <f>countif('v1998'!F:F,F208)</f>
        <v>0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</row>
    <row r="209">
      <c r="A209" s="21" t="str">
        <f t="shared" si="17"/>
        <v>muon-electron mass ratio</v>
      </c>
      <c r="B209" s="6" t="s">
        <v>1524</v>
      </c>
      <c r="D209" s="13" t="s">
        <v>1525</v>
      </c>
      <c r="F209" s="22" t="str">
        <f t="shared" si="18"/>
        <v>MuonElectronMassRatio</v>
      </c>
      <c r="G209" s="6" t="s">
        <v>1526</v>
      </c>
      <c r="H209" s="6" t="s">
        <v>1527</v>
      </c>
      <c r="I209" s="6"/>
      <c r="J209" s="6"/>
      <c r="K209" s="13" t="str">
        <f t="shared" si="3"/>
        <v/>
      </c>
      <c r="L209" s="13" t="s">
        <v>393</v>
      </c>
      <c r="M209" s="23">
        <f>countif(Quantities!A:A,L209)</f>
        <v>1</v>
      </c>
      <c r="N209" s="24" t="b">
        <f t="shared" si="4"/>
        <v>1</v>
      </c>
      <c r="O209" s="6" t="s">
        <v>1528</v>
      </c>
      <c r="P209" s="22" t="b">
        <f t="shared" si="5"/>
        <v>1</v>
      </c>
      <c r="Q209" s="22" t="b">
        <f>sum(S207:X209)&gt;0</f>
        <v>1</v>
      </c>
      <c r="R209" s="22">
        <f>countif('v2022'!F:F,F209)</f>
        <v>1</v>
      </c>
      <c r="S209" s="22">
        <f>countif('v2018'!F:F,F209)</f>
        <v>1</v>
      </c>
      <c r="T209" s="22">
        <f>countif('v2014'!F:F,F209)</f>
        <v>1</v>
      </c>
      <c r="U209" s="22">
        <f>countif('v2010'!F:F,F209)</f>
        <v>1</v>
      </c>
      <c r="V209" s="22">
        <f>countif('v2006'!F:F,F209)</f>
        <v>1</v>
      </c>
      <c r="W209" s="22">
        <f>countif('v2002'!F:F,F209)</f>
        <v>1</v>
      </c>
      <c r="X209" s="22">
        <f>countif('v1998'!F:F,F209)</f>
        <v>1</v>
      </c>
    </row>
    <row r="210">
      <c r="A210" s="21" t="str">
        <f t="shared" si="17"/>
        <v>muon g factor</v>
      </c>
      <c r="B210" s="6" t="s">
        <v>1529</v>
      </c>
      <c r="D210" s="13" t="s">
        <v>1530</v>
      </c>
      <c r="F210" s="22" t="str">
        <f t="shared" si="18"/>
        <v>MuonGFactor</v>
      </c>
      <c r="G210" s="6" t="s">
        <v>1530</v>
      </c>
      <c r="H210" s="6" t="s">
        <v>1531</v>
      </c>
      <c r="I210" s="6"/>
      <c r="J210" s="6"/>
      <c r="K210" s="13" t="str">
        <f t="shared" si="3"/>
        <v/>
      </c>
      <c r="L210" s="13" t="s">
        <v>394</v>
      </c>
      <c r="M210" s="23">
        <f>countif(Quantities!A:A,L210)</f>
        <v>1</v>
      </c>
      <c r="N210" s="24" t="b">
        <f t="shared" si="4"/>
        <v>1</v>
      </c>
      <c r="O210" s="6" t="s">
        <v>1532</v>
      </c>
      <c r="P210" s="22" t="b">
        <f t="shared" si="5"/>
        <v>1</v>
      </c>
      <c r="Q210" s="22" t="b">
        <f t="shared" ref="Q210:Q234" si="19">sum(S209:X210)&gt;0</f>
        <v>1</v>
      </c>
      <c r="R210" s="22">
        <f>countif('v2022'!F:F,F210)</f>
        <v>1</v>
      </c>
      <c r="S210" s="22">
        <f>countif('v2018'!F:F,F210)</f>
        <v>1</v>
      </c>
      <c r="T210" s="22">
        <f>countif('v2014'!F:F,F210)</f>
        <v>1</v>
      </c>
      <c r="U210" s="22">
        <f>countif('v2010'!F:F,F210)</f>
        <v>1</v>
      </c>
      <c r="V210" s="22">
        <f>countif('v2006'!F:F,F210)</f>
        <v>1</v>
      </c>
      <c r="W210" s="22">
        <f>countif('v2002'!F:F,F210)</f>
        <v>1</v>
      </c>
      <c r="X210" s="22">
        <f>countif('v1998'!F:F,F210)</f>
        <v>1</v>
      </c>
    </row>
    <row r="211">
      <c r="A211" s="21" t="str">
        <f t="shared" si="17"/>
        <v>muon mag. mom.</v>
      </c>
      <c r="B211" s="6" t="s">
        <v>1533</v>
      </c>
      <c r="D211" s="13" t="s">
        <v>1534</v>
      </c>
      <c r="E211" s="13" t="s">
        <v>714</v>
      </c>
      <c r="F211" s="22" t="str">
        <f t="shared" si="18"/>
        <v>MuonMagneticMoment</v>
      </c>
      <c r="G211" s="6" t="s">
        <v>1535</v>
      </c>
      <c r="H211" s="6" t="s">
        <v>1536</v>
      </c>
      <c r="I211" s="6"/>
      <c r="J211" s="6" t="s">
        <v>717</v>
      </c>
      <c r="K211" s="14" t="str">
        <f t="shared" si="3"/>
        <v>https://w3id.org/uom/J.T-1</v>
      </c>
      <c r="L211" s="13" t="s">
        <v>395</v>
      </c>
      <c r="M211" s="23">
        <f>countif(Quantities!A:A,L211)</f>
        <v>1</v>
      </c>
      <c r="N211" s="24" t="b">
        <f t="shared" si="4"/>
        <v>1</v>
      </c>
      <c r="O211" s="6" t="s">
        <v>1537</v>
      </c>
      <c r="P211" s="22" t="b">
        <f t="shared" si="5"/>
        <v>1</v>
      </c>
      <c r="Q211" s="22" t="b">
        <f t="shared" si="19"/>
        <v>1</v>
      </c>
      <c r="R211" s="22">
        <f>countif('v2022'!F:F,F211)</f>
        <v>1</v>
      </c>
      <c r="S211" s="22">
        <f>countif('v2018'!F:F,F211)</f>
        <v>1</v>
      </c>
      <c r="T211" s="22">
        <f>countif('v2014'!F:F,F211)</f>
        <v>1</v>
      </c>
      <c r="U211" s="22">
        <f>countif('v2010'!F:F,F211)</f>
        <v>1</v>
      </c>
      <c r="V211" s="22">
        <f>countif('v2006'!F:F,F211)</f>
        <v>1</v>
      </c>
      <c r="W211" s="22">
        <f>countif('v2002'!F:F,F211)</f>
        <v>1</v>
      </c>
      <c r="X211" s="22">
        <f>countif('v1998'!F:F,F211)</f>
        <v>1</v>
      </c>
    </row>
    <row r="212">
      <c r="A212" s="21" t="str">
        <f t="shared" si="17"/>
        <v>muon mag. mom. anomaly</v>
      </c>
      <c r="B212" s="6" t="s">
        <v>1538</v>
      </c>
      <c r="C212" s="6" t="s">
        <v>1539</v>
      </c>
      <c r="D212" s="13" t="s">
        <v>1540</v>
      </c>
      <c r="F212" s="22" t="str">
        <f t="shared" si="18"/>
        <v>MuonMagneticMomentAnomaly</v>
      </c>
      <c r="G212" s="6" t="s">
        <v>1541</v>
      </c>
      <c r="H212" s="6" t="s">
        <v>1542</v>
      </c>
      <c r="I212" s="6"/>
      <c r="J212" s="6"/>
      <c r="K212" s="13" t="str">
        <f t="shared" si="3"/>
        <v/>
      </c>
      <c r="L212" s="13" t="s">
        <v>396</v>
      </c>
      <c r="M212" s="23">
        <f>countif(Quantities!A:A,L212)</f>
        <v>1</v>
      </c>
      <c r="N212" s="24" t="b">
        <f t="shared" si="4"/>
        <v>1</v>
      </c>
      <c r="O212" s="6" t="s">
        <v>1543</v>
      </c>
      <c r="P212" s="22" t="b">
        <f t="shared" si="5"/>
        <v>1</v>
      </c>
      <c r="Q212" s="22" t="b">
        <f t="shared" si="19"/>
        <v>1</v>
      </c>
      <c r="R212" s="22">
        <f>countif('v2022'!F:F,F212)</f>
        <v>1</v>
      </c>
      <c r="S212" s="22">
        <f>countif('v2018'!F:F,F212)</f>
        <v>1</v>
      </c>
      <c r="T212" s="22">
        <f>countif('v2014'!F:F,F212)</f>
        <v>1</v>
      </c>
      <c r="U212" s="22">
        <f>countif('v2010'!F:F,F212)</f>
        <v>1</v>
      </c>
      <c r="V212" s="22">
        <f>countif('v2006'!F:F,F212)</f>
        <v>1</v>
      </c>
      <c r="W212" s="22">
        <f>countif('v2002'!F:F,F212)</f>
        <v>1</v>
      </c>
      <c r="X212" s="22">
        <f>countif('v1998'!F:F,F212)</f>
        <v>1</v>
      </c>
    </row>
    <row r="213">
      <c r="A213" s="21" t="str">
        <f t="shared" si="17"/>
        <v>muon mag. mom. to Bohr magneton ratio</v>
      </c>
      <c r="B213" s="6" t="s">
        <v>1544</v>
      </c>
      <c r="D213" s="13" t="s">
        <v>1545</v>
      </c>
      <c r="F213" s="22" t="str">
        <f t="shared" si="18"/>
        <v>MuonMagneticMomentToBohrMagnetonRatio</v>
      </c>
      <c r="G213" s="6" t="s">
        <v>1546</v>
      </c>
      <c r="H213" s="6" t="s">
        <v>1547</v>
      </c>
      <c r="I213" s="6"/>
      <c r="J213" s="6"/>
      <c r="K213" s="13" t="str">
        <f t="shared" si="3"/>
        <v/>
      </c>
      <c r="L213" s="13" t="s">
        <v>397</v>
      </c>
      <c r="M213" s="23">
        <f>countif(Quantities!A:A,L213)</f>
        <v>1</v>
      </c>
      <c r="N213" s="24" t="b">
        <f t="shared" si="4"/>
        <v>1</v>
      </c>
      <c r="O213" s="6" t="s">
        <v>1548</v>
      </c>
      <c r="P213" s="22" t="b">
        <f t="shared" si="5"/>
        <v>1</v>
      </c>
      <c r="Q213" s="22" t="b">
        <f t="shared" si="19"/>
        <v>1</v>
      </c>
      <c r="R213" s="22">
        <f>countif('v2022'!F:F,F213)</f>
        <v>1</v>
      </c>
      <c r="S213" s="22">
        <f>countif('v2018'!F:F,F213)</f>
        <v>1</v>
      </c>
      <c r="T213" s="22">
        <f>countif('v2014'!F:F,F213)</f>
        <v>1</v>
      </c>
      <c r="U213" s="22">
        <f>countif('v2010'!F:F,F213)</f>
        <v>1</v>
      </c>
      <c r="V213" s="22">
        <f>countif('v2006'!F:F,F213)</f>
        <v>1</v>
      </c>
      <c r="W213" s="22">
        <f>countif('v2002'!F:F,F213)</f>
        <v>1</v>
      </c>
      <c r="X213" s="22">
        <f>countif('v1998'!F:F,F213)</f>
        <v>1</v>
      </c>
    </row>
    <row r="214">
      <c r="A214" s="21" t="str">
        <f t="shared" si="17"/>
        <v>muon mag. mom. to nuclear magneton ratio</v>
      </c>
      <c r="B214" s="6" t="s">
        <v>1549</v>
      </c>
      <c r="D214" s="13" t="s">
        <v>1550</v>
      </c>
      <c r="F214" s="22" t="str">
        <f t="shared" si="18"/>
        <v>MuonMagneticMomentToNuclearMagnetonRatio</v>
      </c>
      <c r="G214" s="6" t="s">
        <v>1551</v>
      </c>
      <c r="H214" s="6" t="s">
        <v>1552</v>
      </c>
      <c r="I214" s="6"/>
      <c r="J214" s="6"/>
      <c r="K214" s="13" t="str">
        <f t="shared" si="3"/>
        <v/>
      </c>
      <c r="L214" s="13" t="s">
        <v>398</v>
      </c>
      <c r="M214" s="23">
        <f>countif(Quantities!A:A,L214)</f>
        <v>1</v>
      </c>
      <c r="N214" s="24" t="b">
        <f t="shared" si="4"/>
        <v>1</v>
      </c>
      <c r="O214" s="6" t="s">
        <v>1553</v>
      </c>
      <c r="P214" s="22" t="b">
        <f t="shared" si="5"/>
        <v>1</v>
      </c>
      <c r="Q214" s="22" t="b">
        <f t="shared" si="19"/>
        <v>1</v>
      </c>
      <c r="R214" s="22">
        <f>countif('v2022'!F:F,F214)</f>
        <v>1</v>
      </c>
      <c r="S214" s="22">
        <f>countif('v2018'!F:F,F214)</f>
        <v>1</v>
      </c>
      <c r="T214" s="22">
        <f>countif('v2014'!F:F,F214)</f>
        <v>1</v>
      </c>
      <c r="U214" s="22">
        <f>countif('v2010'!F:F,F214)</f>
        <v>1</v>
      </c>
      <c r="V214" s="22">
        <f>countif('v2006'!F:F,F214)</f>
        <v>1</v>
      </c>
      <c r="W214" s="22">
        <f>countif('v2002'!F:F,F214)</f>
        <v>1</v>
      </c>
      <c r="X214" s="22">
        <f>countif('v1998'!F:F,F214)</f>
        <v>1</v>
      </c>
    </row>
    <row r="215">
      <c r="A215" s="21" t="str">
        <f t="shared" si="17"/>
        <v>muon mass</v>
      </c>
      <c r="B215" s="6" t="s">
        <v>1554</v>
      </c>
      <c r="D215" s="13" t="s">
        <v>1555</v>
      </c>
      <c r="E215" s="13" t="s">
        <v>538</v>
      </c>
      <c r="F215" s="22" t="str">
        <f t="shared" si="18"/>
        <v>MuonMass</v>
      </c>
      <c r="G215" s="6" t="s">
        <v>1555</v>
      </c>
      <c r="H215" s="6" t="s">
        <v>1556</v>
      </c>
      <c r="I215" s="6"/>
      <c r="J215" s="6" t="s">
        <v>538</v>
      </c>
      <c r="K215" s="14" t="str">
        <f t="shared" si="3"/>
        <v>https://w3id.org/uom/kg</v>
      </c>
      <c r="L215" s="13" t="s">
        <v>399</v>
      </c>
      <c r="M215" s="23">
        <f>countif(Quantities!A:A,L215)</f>
        <v>1</v>
      </c>
      <c r="N215" s="24" t="b">
        <f t="shared" si="4"/>
        <v>1</v>
      </c>
      <c r="O215" s="6" t="s">
        <v>1557</v>
      </c>
      <c r="P215" s="22" t="b">
        <f t="shared" si="5"/>
        <v>1</v>
      </c>
      <c r="Q215" s="22" t="b">
        <f t="shared" si="19"/>
        <v>1</v>
      </c>
      <c r="R215" s="22">
        <f>countif('v2022'!F:F,F215)</f>
        <v>1</v>
      </c>
      <c r="S215" s="22">
        <f>countif('v2018'!F:F,F215)</f>
        <v>1</v>
      </c>
      <c r="T215" s="22">
        <f>countif('v2014'!F:F,F215)</f>
        <v>1</v>
      </c>
      <c r="U215" s="22">
        <f>countif('v2010'!F:F,F215)</f>
        <v>1</v>
      </c>
      <c r="V215" s="22">
        <f>countif('v2006'!F:F,F215)</f>
        <v>1</v>
      </c>
      <c r="W215" s="22">
        <f>countif('v2002'!F:F,F215)</f>
        <v>1</v>
      </c>
      <c r="X215" s="22">
        <f>countif('v1998'!F:F,F215)</f>
        <v>1</v>
      </c>
    </row>
    <row r="216">
      <c r="A216" s="21" t="str">
        <f t="shared" si="17"/>
        <v>muon mass energy equivalent</v>
      </c>
      <c r="B216" s="6" t="s">
        <v>1558</v>
      </c>
      <c r="D216" s="13" t="s">
        <v>1559</v>
      </c>
      <c r="E216" s="13" t="s">
        <v>543</v>
      </c>
      <c r="F216" s="22" t="str">
        <f t="shared" si="18"/>
        <v>MuonMassEnergyEquivalent</v>
      </c>
      <c r="G216" s="6" t="s">
        <v>1559</v>
      </c>
      <c r="H216" s="6" t="s">
        <v>1560</v>
      </c>
      <c r="I216" s="6"/>
      <c r="J216" s="6" t="s">
        <v>543</v>
      </c>
      <c r="K216" s="14" t="str">
        <f t="shared" si="3"/>
        <v>https://w3id.org/uom/J</v>
      </c>
      <c r="L216" s="13" t="s">
        <v>399</v>
      </c>
      <c r="M216" s="23">
        <f>countif(Quantities!A:A,L216)</f>
        <v>1</v>
      </c>
      <c r="N216" s="24" t="b">
        <f t="shared" si="4"/>
        <v>0</v>
      </c>
      <c r="O216" s="6" t="s">
        <v>1561</v>
      </c>
      <c r="P216" s="22" t="b">
        <f t="shared" si="5"/>
        <v>1</v>
      </c>
      <c r="Q216" s="22" t="b">
        <f t="shared" si="19"/>
        <v>1</v>
      </c>
      <c r="R216" s="22">
        <f>countif('v2022'!F:F,F216)</f>
        <v>1</v>
      </c>
      <c r="S216" s="22">
        <f>countif('v2018'!F:F,F216)</f>
        <v>1</v>
      </c>
      <c r="T216" s="22">
        <f>countif('v2014'!F:F,F216)</f>
        <v>1</v>
      </c>
      <c r="U216" s="22">
        <f>countif('v2010'!F:F,F216)</f>
        <v>1</v>
      </c>
      <c r="V216" s="22">
        <f>countif('v2006'!F:F,F216)</f>
        <v>1</v>
      </c>
      <c r="W216" s="22">
        <f>countif('v2002'!F:F,F216)</f>
        <v>1</v>
      </c>
      <c r="X216" s="22">
        <f>countif('v1998'!F:F,F216)</f>
        <v>1</v>
      </c>
    </row>
    <row r="217">
      <c r="A217" s="21" t="str">
        <f t="shared" si="17"/>
        <v>muon mass energy equivalent in MeV</v>
      </c>
      <c r="B217" s="6" t="s">
        <v>1562</v>
      </c>
      <c r="D217" s="13" t="s">
        <v>1563</v>
      </c>
      <c r="E217" s="13" t="s">
        <v>548</v>
      </c>
      <c r="F217" s="22" t="str">
        <f t="shared" si="18"/>
        <v>MuonMassEnergyEquivalentInMeV</v>
      </c>
      <c r="G217" s="6" t="s">
        <v>1563</v>
      </c>
      <c r="H217" s="6" t="s">
        <v>1560</v>
      </c>
      <c r="I217" s="6"/>
      <c r="J217" s="6" t="s">
        <v>548</v>
      </c>
      <c r="K217" s="14" t="str">
        <f t="shared" si="3"/>
        <v>https://w3id.org/uom/MeV</v>
      </c>
      <c r="L217" s="13" t="s">
        <v>399</v>
      </c>
      <c r="M217" s="23">
        <f>countif(Quantities!A:A,L217)</f>
        <v>1</v>
      </c>
      <c r="N217" s="24" t="b">
        <f t="shared" si="4"/>
        <v>0</v>
      </c>
      <c r="O217" s="6" t="s">
        <v>1564</v>
      </c>
      <c r="P217" s="22" t="b">
        <f t="shared" si="5"/>
        <v>1</v>
      </c>
      <c r="Q217" s="22" t="b">
        <f t="shared" si="19"/>
        <v>1</v>
      </c>
      <c r="R217" s="22">
        <f>countif('v2022'!F:F,F217)</f>
        <v>1</v>
      </c>
      <c r="S217" s="22">
        <f>countif('v2018'!F:F,F217)</f>
        <v>1</v>
      </c>
      <c r="T217" s="22">
        <f>countif('v2014'!F:F,F217)</f>
        <v>1</v>
      </c>
      <c r="U217" s="22">
        <f>countif('v2010'!F:F,F217)</f>
        <v>1</v>
      </c>
      <c r="V217" s="22">
        <f>countif('v2006'!F:F,F217)</f>
        <v>1</v>
      </c>
      <c r="W217" s="22">
        <f>countif('v2002'!F:F,F217)</f>
        <v>1</v>
      </c>
      <c r="X217" s="22">
        <f>countif('v1998'!F:F,F217)</f>
        <v>1</v>
      </c>
    </row>
    <row r="218">
      <c r="A218" s="21" t="str">
        <f t="shared" si="17"/>
        <v>muon mass in u</v>
      </c>
      <c r="B218" s="6" t="s">
        <v>1565</v>
      </c>
      <c r="D218" s="13" t="s">
        <v>1566</v>
      </c>
      <c r="E218" s="13" t="s">
        <v>553</v>
      </c>
      <c r="F218" s="22" t="str">
        <f t="shared" si="18"/>
        <v>MuonMassInAtomicMassUnit</v>
      </c>
      <c r="G218" s="6" t="s">
        <v>1566</v>
      </c>
      <c r="H218" s="6" t="s">
        <v>1556</v>
      </c>
      <c r="I218" s="6"/>
      <c r="J218" s="6" t="s">
        <v>553</v>
      </c>
      <c r="K218" s="14" t="str">
        <f t="shared" si="3"/>
        <v>https://w3id.org/uom/u</v>
      </c>
      <c r="L218" s="13" t="s">
        <v>399</v>
      </c>
      <c r="M218" s="23">
        <f>countif(Quantities!A:A,L218)</f>
        <v>1</v>
      </c>
      <c r="N218" s="24" t="b">
        <f t="shared" si="4"/>
        <v>0</v>
      </c>
      <c r="O218" s="6" t="s">
        <v>1567</v>
      </c>
      <c r="P218" s="22" t="b">
        <f t="shared" si="5"/>
        <v>1</v>
      </c>
      <c r="Q218" s="22" t="b">
        <f t="shared" si="19"/>
        <v>1</v>
      </c>
      <c r="R218" s="22">
        <f>countif('v2022'!F:F,F218)</f>
        <v>1</v>
      </c>
      <c r="S218" s="22">
        <f>countif('v2018'!F:F,F218)</f>
        <v>1</v>
      </c>
      <c r="T218" s="22">
        <f>countif('v2014'!F:F,F218)</f>
        <v>1</v>
      </c>
      <c r="U218" s="22">
        <f>countif('v2010'!F:F,F218)</f>
        <v>1</v>
      </c>
      <c r="V218" s="22">
        <f>countif('v2006'!F:F,F218)</f>
        <v>1</v>
      </c>
      <c r="W218" s="22">
        <f>countif('v2002'!F:F,F218)</f>
        <v>1</v>
      </c>
      <c r="X218" s="22">
        <f>countif('v1998'!F:F,F218)</f>
        <v>1</v>
      </c>
    </row>
    <row r="219">
      <c r="A219" s="21" t="str">
        <f t="shared" si="17"/>
        <v>muon molar mass</v>
      </c>
      <c r="B219" s="6" t="s">
        <v>1568</v>
      </c>
      <c r="D219" s="13" t="s">
        <v>1569</v>
      </c>
      <c r="E219" s="13" t="s">
        <v>557</v>
      </c>
      <c r="F219" s="22" t="str">
        <f t="shared" si="18"/>
        <v>MuonMolarMass</v>
      </c>
      <c r="G219" s="6" t="s">
        <v>1569</v>
      </c>
      <c r="H219" s="6" t="s">
        <v>1570</v>
      </c>
      <c r="I219" s="6"/>
      <c r="J219" s="6" t="s">
        <v>559</v>
      </c>
      <c r="K219" s="14" t="str">
        <f t="shared" si="3"/>
        <v>https://w3id.org/uom/kg.mol-1</v>
      </c>
      <c r="L219" s="13" t="s">
        <v>400</v>
      </c>
      <c r="M219" s="23">
        <f>countif(Quantities!A:A,L219)</f>
        <v>1</v>
      </c>
      <c r="N219" s="24" t="b">
        <f t="shared" si="4"/>
        <v>1</v>
      </c>
      <c r="O219" s="6" t="s">
        <v>1571</v>
      </c>
      <c r="P219" s="22" t="b">
        <f t="shared" si="5"/>
        <v>1</v>
      </c>
      <c r="Q219" s="22" t="b">
        <f t="shared" si="19"/>
        <v>1</v>
      </c>
      <c r="R219" s="22">
        <f>countif('v2022'!F:F,F219)</f>
        <v>1</v>
      </c>
      <c r="S219" s="22">
        <f>countif('v2018'!F:F,F219)</f>
        <v>1</v>
      </c>
      <c r="T219" s="22">
        <f>countif('v2014'!F:F,F219)</f>
        <v>1</v>
      </c>
      <c r="U219" s="22">
        <f>countif('v2010'!F:F,F219)</f>
        <v>1</v>
      </c>
      <c r="V219" s="22">
        <f>countif('v2006'!F:F,F219)</f>
        <v>1</v>
      </c>
      <c r="W219" s="22">
        <f>countif('v2002'!F:F,F219)</f>
        <v>1</v>
      </c>
      <c r="X219" s="22">
        <f>countif('v1998'!F:F,F219)</f>
        <v>1</v>
      </c>
    </row>
    <row r="220">
      <c r="A220" s="21" t="str">
        <f t="shared" si="17"/>
        <v>muon-neutron mass ratio</v>
      </c>
      <c r="B220" s="6" t="s">
        <v>1572</v>
      </c>
      <c r="D220" s="13" t="s">
        <v>1573</v>
      </c>
      <c r="F220" s="22" t="str">
        <f t="shared" si="18"/>
        <v>MuonNeutronMassRatio</v>
      </c>
      <c r="G220" s="6" t="s">
        <v>1574</v>
      </c>
      <c r="H220" s="6" t="s">
        <v>1575</v>
      </c>
      <c r="I220" s="6"/>
      <c r="J220" s="6"/>
      <c r="K220" s="13" t="str">
        <f t="shared" si="3"/>
        <v/>
      </c>
      <c r="L220" s="13" t="s">
        <v>401</v>
      </c>
      <c r="M220" s="23">
        <f>countif(Quantities!A:A,L220)</f>
        <v>1</v>
      </c>
      <c r="N220" s="24" t="b">
        <f t="shared" si="4"/>
        <v>1</v>
      </c>
      <c r="O220" s="6" t="s">
        <v>1576</v>
      </c>
      <c r="P220" s="22" t="b">
        <f t="shared" si="5"/>
        <v>1</v>
      </c>
      <c r="Q220" s="22" t="b">
        <f t="shared" si="19"/>
        <v>1</v>
      </c>
      <c r="R220" s="22">
        <f>countif('v2022'!F:F,F220)</f>
        <v>1</v>
      </c>
      <c r="S220" s="22">
        <f>countif('v2018'!F:F,F220)</f>
        <v>1</v>
      </c>
      <c r="T220" s="22">
        <f>countif('v2014'!F:F,F220)</f>
        <v>1</v>
      </c>
      <c r="U220" s="22">
        <f>countif('v2010'!F:F,F220)</f>
        <v>1</v>
      </c>
      <c r="V220" s="22">
        <f>countif('v2006'!F:F,F220)</f>
        <v>1</v>
      </c>
      <c r="W220" s="22">
        <f>countif('v2002'!F:F,F220)</f>
        <v>1</v>
      </c>
      <c r="X220" s="22">
        <f>countif('v1998'!F:F,F220)</f>
        <v>1</v>
      </c>
    </row>
    <row r="221">
      <c r="A221" s="21" t="str">
        <f t="shared" si="17"/>
        <v>muon-proton mag. mom. ratio</v>
      </c>
      <c r="B221" s="6" t="s">
        <v>1577</v>
      </c>
      <c r="D221" s="13" t="s">
        <v>1578</v>
      </c>
      <c r="F221" s="22" t="str">
        <f t="shared" si="18"/>
        <v>MuonProtonMagneticMomentRatio</v>
      </c>
      <c r="G221" s="6" t="s">
        <v>1579</v>
      </c>
      <c r="H221" s="6" t="s">
        <v>1580</v>
      </c>
      <c r="I221" s="6"/>
      <c r="J221" s="6"/>
      <c r="K221" s="13" t="str">
        <f t="shared" si="3"/>
        <v/>
      </c>
      <c r="L221" s="13" t="s">
        <v>402</v>
      </c>
      <c r="M221" s="23">
        <f>countif(Quantities!A:A,L221)</f>
        <v>1</v>
      </c>
      <c r="N221" s="24" t="b">
        <f t="shared" si="4"/>
        <v>1</v>
      </c>
      <c r="O221" s="6" t="s">
        <v>1581</v>
      </c>
      <c r="P221" s="22" t="b">
        <f t="shared" si="5"/>
        <v>1</v>
      </c>
      <c r="Q221" s="22" t="b">
        <f t="shared" si="19"/>
        <v>1</v>
      </c>
      <c r="R221" s="22">
        <f>countif('v2022'!F:F,F221)</f>
        <v>1</v>
      </c>
      <c r="S221" s="22">
        <f>countif('v2018'!F:F,F221)</f>
        <v>1</v>
      </c>
      <c r="T221" s="22">
        <f>countif('v2014'!F:F,F221)</f>
        <v>1</v>
      </c>
      <c r="U221" s="22">
        <f>countif('v2010'!F:F,F221)</f>
        <v>1</v>
      </c>
      <c r="V221" s="22">
        <f>countif('v2006'!F:F,F221)</f>
        <v>1</v>
      </c>
      <c r="W221" s="22">
        <f>countif('v2002'!F:F,F221)</f>
        <v>1</v>
      </c>
      <c r="X221" s="22">
        <f>countif('v1998'!F:F,F221)</f>
        <v>1</v>
      </c>
    </row>
    <row r="222">
      <c r="A222" s="21" t="str">
        <f t="shared" si="17"/>
        <v>muon-proton mass ratio</v>
      </c>
      <c r="B222" s="6" t="s">
        <v>1582</v>
      </c>
      <c r="D222" s="13" t="s">
        <v>1583</v>
      </c>
      <c r="F222" s="22" t="str">
        <f t="shared" si="18"/>
        <v>MuonProtonMassRatio</v>
      </c>
      <c r="G222" s="6" t="s">
        <v>1584</v>
      </c>
      <c r="H222" s="6" t="s">
        <v>1585</v>
      </c>
      <c r="I222" s="6"/>
      <c r="J222" s="6"/>
      <c r="K222" s="13" t="str">
        <f t="shared" si="3"/>
        <v/>
      </c>
      <c r="L222" s="13" t="s">
        <v>403</v>
      </c>
      <c r="M222" s="23">
        <f>countif(Quantities!A:A,L222)</f>
        <v>1</v>
      </c>
      <c r="N222" s="24" t="b">
        <f t="shared" si="4"/>
        <v>1</v>
      </c>
      <c r="O222" s="6" t="s">
        <v>1586</v>
      </c>
      <c r="P222" s="22" t="b">
        <f t="shared" si="5"/>
        <v>1</v>
      </c>
      <c r="Q222" s="22" t="b">
        <f t="shared" si="19"/>
        <v>1</v>
      </c>
      <c r="R222" s="22">
        <f>countif('v2022'!F:F,F222)</f>
        <v>1</v>
      </c>
      <c r="S222" s="22">
        <f>countif('v2018'!F:F,F222)</f>
        <v>1</v>
      </c>
      <c r="T222" s="22">
        <f>countif('v2014'!F:F,F222)</f>
        <v>1</v>
      </c>
      <c r="U222" s="22">
        <f>countif('v2010'!F:F,F222)</f>
        <v>1</v>
      </c>
      <c r="V222" s="22">
        <f>countif('v2006'!F:F,F222)</f>
        <v>1</v>
      </c>
      <c r="W222" s="22">
        <f>countif('v2002'!F:F,F222)</f>
        <v>1</v>
      </c>
      <c r="X222" s="22">
        <f>countif('v1998'!F:F,F222)</f>
        <v>1</v>
      </c>
    </row>
    <row r="223">
      <c r="A223" s="21" t="str">
        <f t="shared" si="17"/>
        <v>muon-tau mass ratio</v>
      </c>
      <c r="B223" s="6" t="s">
        <v>1587</v>
      </c>
      <c r="D223" s="13" t="s">
        <v>1588</v>
      </c>
      <c r="F223" s="22" t="str">
        <f t="shared" si="18"/>
        <v>MuonTauMassRatio</v>
      </c>
      <c r="G223" s="6" t="s">
        <v>1589</v>
      </c>
      <c r="H223" s="6" t="s">
        <v>1590</v>
      </c>
      <c r="I223" s="6"/>
      <c r="J223" s="6"/>
      <c r="K223" s="13" t="str">
        <f t="shared" si="3"/>
        <v/>
      </c>
      <c r="L223" s="13" t="s">
        <v>404</v>
      </c>
      <c r="M223" s="23">
        <f>countif(Quantities!A:A,L223)</f>
        <v>1</v>
      </c>
      <c r="N223" s="24" t="b">
        <f t="shared" si="4"/>
        <v>1</v>
      </c>
      <c r="O223" s="6" t="s">
        <v>1591</v>
      </c>
      <c r="P223" s="22" t="b">
        <f t="shared" si="5"/>
        <v>1</v>
      </c>
      <c r="Q223" s="22" t="b">
        <f t="shared" si="19"/>
        <v>1</v>
      </c>
      <c r="R223" s="22">
        <f>countif('v2022'!F:F,F223)</f>
        <v>1</v>
      </c>
      <c r="S223" s="22">
        <f>countif('v2018'!F:F,F223)</f>
        <v>1</v>
      </c>
      <c r="T223" s="22">
        <f>countif('v2014'!F:F,F223)</f>
        <v>1</v>
      </c>
      <c r="U223" s="22">
        <f>countif('v2010'!F:F,F223)</f>
        <v>1</v>
      </c>
      <c r="V223" s="22">
        <f>countif('v2006'!F:F,F223)</f>
        <v>1</v>
      </c>
      <c r="W223" s="22">
        <f>countif('v2002'!F:F,F223)</f>
        <v>1</v>
      </c>
      <c r="X223" s="22">
        <f>countif('v1998'!F:F,F223)</f>
        <v>1</v>
      </c>
    </row>
    <row r="224">
      <c r="A224" s="21" t="str">
        <f t="shared" si="17"/>
        <v>natural unit of action</v>
      </c>
      <c r="B224" s="6" t="s">
        <v>1592</v>
      </c>
      <c r="D224" s="13" t="s">
        <v>1593</v>
      </c>
      <c r="E224" s="13" t="s">
        <v>643</v>
      </c>
      <c r="F224" s="22" t="str">
        <f t="shared" si="18"/>
        <v>NaturalUnitOfAction</v>
      </c>
      <c r="G224" s="6" t="s">
        <v>1593</v>
      </c>
      <c r="H224" s="6" t="s">
        <v>1594</v>
      </c>
      <c r="I224" s="6"/>
      <c r="J224" s="6" t="s">
        <v>645</v>
      </c>
      <c r="K224" s="14" t="str">
        <f t="shared" si="3"/>
        <v>https://w3id.org/uom/J.s</v>
      </c>
      <c r="L224" s="13" t="s">
        <v>405</v>
      </c>
      <c r="M224" s="23">
        <f>countif(Quantities!A:A,L224)</f>
        <v>1</v>
      </c>
      <c r="N224" s="24" t="b">
        <f t="shared" si="4"/>
        <v>1</v>
      </c>
      <c r="O224" s="6" t="s">
        <v>1595</v>
      </c>
      <c r="P224" s="22" t="b">
        <f t="shared" si="5"/>
        <v>1</v>
      </c>
      <c r="Q224" s="22" t="b">
        <f t="shared" si="19"/>
        <v>1</v>
      </c>
      <c r="R224" s="22">
        <f>countif('v2022'!F:F,F224)</f>
        <v>1</v>
      </c>
      <c r="S224" s="22">
        <f>countif('v2018'!F:F,F224)</f>
        <v>1</v>
      </c>
      <c r="T224" s="22">
        <f>countif('v2014'!F:F,F224)</f>
        <v>1</v>
      </c>
      <c r="U224" s="22">
        <f>countif('v2010'!F:F,F224)</f>
        <v>1</v>
      </c>
      <c r="V224" s="22">
        <f>countif('v2006'!F:F,F224)</f>
        <v>1</v>
      </c>
      <c r="W224" s="22">
        <f>countif('v2002'!F:F,F224)</f>
        <v>1</v>
      </c>
      <c r="X224" s="22">
        <f>countif('v1998'!F:F,F224)</f>
        <v>1</v>
      </c>
    </row>
    <row r="225">
      <c r="A225" s="21" t="str">
        <f t="shared" si="17"/>
        <v>natural unit of action in eV s</v>
      </c>
      <c r="B225" s="6" t="s">
        <v>1596</v>
      </c>
      <c r="D225" s="13" t="s">
        <v>1597</v>
      </c>
      <c r="E225" s="13" t="s">
        <v>1598</v>
      </c>
      <c r="F225" s="22" t="str">
        <f t="shared" si="18"/>
        <v>NaturalUnitOfActionInEVS</v>
      </c>
      <c r="G225" s="6" t="s">
        <v>1597</v>
      </c>
      <c r="H225" s="6" t="s">
        <v>1594</v>
      </c>
      <c r="I225" s="6"/>
      <c r="J225" s="6" t="s">
        <v>1599</v>
      </c>
      <c r="K225" s="14" t="str">
        <f t="shared" si="3"/>
        <v>https://w3id.org/uom/eV.s</v>
      </c>
      <c r="L225" s="6" t="s">
        <v>405</v>
      </c>
      <c r="M225" s="23">
        <f>countif(Quantities!A:A,L225)</f>
        <v>1</v>
      </c>
      <c r="N225" s="24" t="b">
        <f t="shared" si="4"/>
        <v>0</v>
      </c>
      <c r="O225" s="6" t="s">
        <v>1600</v>
      </c>
      <c r="P225" s="22" t="b">
        <f t="shared" si="5"/>
        <v>1</v>
      </c>
      <c r="Q225" s="22" t="b">
        <f t="shared" si="19"/>
        <v>1</v>
      </c>
      <c r="R225" s="22">
        <f>countif('v2022'!F:F,F225)</f>
        <v>1</v>
      </c>
      <c r="S225" s="22">
        <f>countif('v2018'!F:F,F225)</f>
        <v>1</v>
      </c>
      <c r="T225" s="22">
        <f>countif('v2014'!F:F,F225)</f>
        <v>1</v>
      </c>
      <c r="U225" s="22">
        <f>countif('v2010'!F:F,F225)</f>
        <v>1</v>
      </c>
      <c r="V225" s="22">
        <f>countif('v2006'!F:F,F225)</f>
        <v>1</v>
      </c>
      <c r="W225" s="22">
        <f>countif('v2002'!F:F,F225)</f>
        <v>1</v>
      </c>
      <c r="X225" s="22">
        <f>countif('v1998'!F:F,F225)</f>
        <v>1</v>
      </c>
    </row>
    <row r="226">
      <c r="A226" s="21" t="str">
        <f t="shared" si="17"/>
        <v>natural unit of energy</v>
      </c>
      <c r="B226" s="6" t="s">
        <v>1601</v>
      </c>
      <c r="D226" s="13" t="s">
        <v>1602</v>
      </c>
      <c r="E226" s="13" t="s">
        <v>543</v>
      </c>
      <c r="F226" s="22" t="str">
        <f t="shared" si="18"/>
        <v>NaturalUnitOfEnergy</v>
      </c>
      <c r="G226" s="6" t="s">
        <v>1602</v>
      </c>
      <c r="H226" s="6" t="s">
        <v>1603</v>
      </c>
      <c r="I226" s="6"/>
      <c r="J226" s="6" t="s">
        <v>645</v>
      </c>
      <c r="K226" s="14" t="str">
        <f t="shared" si="3"/>
        <v>https://w3id.org/uom/J.s</v>
      </c>
      <c r="L226" s="13" t="s">
        <v>406</v>
      </c>
      <c r="M226" s="23">
        <f>countif(Quantities!A:A,L226)</f>
        <v>1</v>
      </c>
      <c r="N226" s="24" t="b">
        <f t="shared" si="4"/>
        <v>1</v>
      </c>
      <c r="O226" s="6" t="s">
        <v>1604</v>
      </c>
      <c r="P226" s="22" t="b">
        <f t="shared" si="5"/>
        <v>1</v>
      </c>
      <c r="Q226" s="22" t="b">
        <f t="shared" si="19"/>
        <v>1</v>
      </c>
      <c r="R226" s="22">
        <f>countif('v2022'!F:F,F226)</f>
        <v>1</v>
      </c>
      <c r="S226" s="22">
        <f>countif('v2018'!F:F,F226)</f>
        <v>1</v>
      </c>
      <c r="T226" s="22">
        <f>countif('v2014'!F:F,F226)</f>
        <v>1</v>
      </c>
      <c r="U226" s="22">
        <f>countif('v2010'!F:F,F226)</f>
        <v>1</v>
      </c>
      <c r="V226" s="22">
        <f>countif('v2006'!F:F,F226)</f>
        <v>1</v>
      </c>
      <c r="W226" s="22">
        <f>countif('v2002'!F:F,F226)</f>
        <v>1</v>
      </c>
      <c r="X226" s="22">
        <f>countif('v1998'!F:F,F226)</f>
        <v>1</v>
      </c>
    </row>
    <row r="227">
      <c r="A227" s="21" t="str">
        <f t="shared" si="17"/>
        <v>natural unit of energy in MeV</v>
      </c>
      <c r="B227" s="6" t="s">
        <v>1605</v>
      </c>
      <c r="D227" s="13" t="s">
        <v>1606</v>
      </c>
      <c r="E227" s="13" t="s">
        <v>548</v>
      </c>
      <c r="F227" s="22" t="str">
        <f t="shared" si="18"/>
        <v>NaturalUnitOfEnergyInMeV</v>
      </c>
      <c r="G227" s="6" t="s">
        <v>1606</v>
      </c>
      <c r="H227" s="6" t="s">
        <v>1603</v>
      </c>
      <c r="I227" s="6"/>
      <c r="J227" s="6" t="s">
        <v>548</v>
      </c>
      <c r="K227" s="14" t="str">
        <f t="shared" si="3"/>
        <v>https://w3id.org/uom/MeV</v>
      </c>
      <c r="L227" s="6" t="s">
        <v>406</v>
      </c>
      <c r="M227" s="23">
        <f>countif(Quantities!A:A,L227)</f>
        <v>1</v>
      </c>
      <c r="N227" s="24" t="b">
        <f t="shared" si="4"/>
        <v>0</v>
      </c>
      <c r="O227" s="6" t="s">
        <v>1607</v>
      </c>
      <c r="P227" s="22" t="b">
        <f t="shared" si="5"/>
        <v>1</v>
      </c>
      <c r="Q227" s="22" t="b">
        <f t="shared" si="19"/>
        <v>1</v>
      </c>
      <c r="R227" s="22">
        <f>countif('v2022'!F:F,F227)</f>
        <v>1</v>
      </c>
      <c r="S227" s="22">
        <f>countif('v2018'!F:F,F227)</f>
        <v>1</v>
      </c>
      <c r="T227" s="22">
        <f>countif('v2014'!F:F,F227)</f>
        <v>1</v>
      </c>
      <c r="U227" s="22">
        <f>countif('v2010'!F:F,F227)</f>
        <v>1</v>
      </c>
      <c r="V227" s="22">
        <f>countif('v2006'!F:F,F227)</f>
        <v>1</v>
      </c>
      <c r="W227" s="22">
        <f>countif('v2002'!F:F,F227)</f>
        <v>1</v>
      </c>
      <c r="X227" s="22">
        <f>countif('v1998'!F:F,F227)</f>
        <v>1</v>
      </c>
    </row>
    <row r="228">
      <c r="A228" s="21" t="str">
        <f t="shared" si="17"/>
        <v>natural unit of length</v>
      </c>
      <c r="B228" s="6" t="s">
        <v>1608</v>
      </c>
      <c r="D228" s="13" t="s">
        <v>1609</v>
      </c>
      <c r="E228" s="13" t="s">
        <v>571</v>
      </c>
      <c r="F228" s="22" t="str">
        <f t="shared" si="18"/>
        <v>NaturalUnitOfLength</v>
      </c>
      <c r="G228" s="6" t="s">
        <v>1609</v>
      </c>
      <c r="H228" s="6" t="s">
        <v>1610</v>
      </c>
      <c r="I228" s="6"/>
      <c r="J228" s="6" t="s">
        <v>548</v>
      </c>
      <c r="K228" s="14" t="str">
        <f t="shared" si="3"/>
        <v>https://w3id.org/uom/MeV</v>
      </c>
      <c r="L228" s="13" t="s">
        <v>407</v>
      </c>
      <c r="M228" s="23">
        <f>countif(Quantities!A:A,L228)</f>
        <v>1</v>
      </c>
      <c r="N228" s="24" t="b">
        <f t="shared" si="4"/>
        <v>1</v>
      </c>
      <c r="O228" s="6" t="s">
        <v>1611</v>
      </c>
      <c r="P228" s="22" t="b">
        <f t="shared" si="5"/>
        <v>1</v>
      </c>
      <c r="Q228" s="22" t="b">
        <f t="shared" si="19"/>
        <v>1</v>
      </c>
      <c r="R228" s="22">
        <f>countif('v2022'!F:F,F228)</f>
        <v>1</v>
      </c>
      <c r="S228" s="22">
        <f>countif('v2018'!F:F,F228)</f>
        <v>1</v>
      </c>
      <c r="T228" s="22">
        <f>countif('v2014'!F:F,F228)</f>
        <v>1</v>
      </c>
      <c r="U228" s="22">
        <f>countif('v2010'!F:F,F228)</f>
        <v>1</v>
      </c>
      <c r="V228" s="22">
        <f>countif('v2006'!F:F,F228)</f>
        <v>1</v>
      </c>
      <c r="W228" s="22">
        <f>countif('v2002'!F:F,F228)</f>
        <v>1</v>
      </c>
      <c r="X228" s="22">
        <f>countif('v1998'!F:F,F228)</f>
        <v>1</v>
      </c>
    </row>
    <row r="229">
      <c r="A229" s="21" t="str">
        <f t="shared" si="17"/>
        <v>natural unit of mass</v>
      </c>
      <c r="B229" s="6" t="s">
        <v>1612</v>
      </c>
      <c r="D229" s="13" t="s">
        <v>1613</v>
      </c>
      <c r="E229" s="13" t="s">
        <v>538</v>
      </c>
      <c r="F229" s="22" t="str">
        <f t="shared" si="18"/>
        <v>NaturalUnitOfMass</v>
      </c>
      <c r="G229" s="6" t="s">
        <v>1613</v>
      </c>
      <c r="H229" s="6" t="s">
        <v>1614</v>
      </c>
      <c r="I229" s="6"/>
      <c r="J229" s="6" t="s">
        <v>538</v>
      </c>
      <c r="K229" s="14" t="str">
        <f t="shared" si="3"/>
        <v>https://w3id.org/uom/kg</v>
      </c>
      <c r="L229" s="13" t="s">
        <v>408</v>
      </c>
      <c r="M229" s="23">
        <f>countif(Quantities!A:A,L229)</f>
        <v>1</v>
      </c>
      <c r="N229" s="24" t="b">
        <f t="shared" si="4"/>
        <v>1</v>
      </c>
      <c r="O229" s="6" t="s">
        <v>1615</v>
      </c>
      <c r="P229" s="22" t="b">
        <f t="shared" si="5"/>
        <v>1</v>
      </c>
      <c r="Q229" s="22" t="b">
        <f t="shared" si="19"/>
        <v>1</v>
      </c>
      <c r="R229" s="22">
        <f>countif('v2022'!F:F,F229)</f>
        <v>1</v>
      </c>
      <c r="S229" s="22">
        <f>countif('v2018'!F:F,F229)</f>
        <v>1</v>
      </c>
      <c r="T229" s="22">
        <f>countif('v2014'!F:F,F229)</f>
        <v>1</v>
      </c>
      <c r="U229" s="22">
        <f>countif('v2010'!F:F,F229)</f>
        <v>1</v>
      </c>
      <c r="V229" s="22">
        <f>countif('v2006'!F:F,F229)</f>
        <v>1</v>
      </c>
      <c r="W229" s="22">
        <f>countif('v2002'!F:F,F229)</f>
        <v>1</v>
      </c>
      <c r="X229" s="22">
        <f>countif('v1998'!F:F,F229)</f>
        <v>1</v>
      </c>
    </row>
    <row r="230">
      <c r="A230" s="21" t="str">
        <f t="shared" si="17"/>
        <v>natural unit of momentum</v>
      </c>
      <c r="B230" s="6" t="s">
        <v>1616</v>
      </c>
      <c r="D230" s="13" t="s">
        <v>1617</v>
      </c>
      <c r="E230" s="13" t="s">
        <v>736</v>
      </c>
      <c r="F230" s="22" t="str">
        <f t="shared" si="18"/>
        <v>NaturalUnitOfMomentum</v>
      </c>
      <c r="G230" s="6" t="s">
        <v>1618</v>
      </c>
      <c r="H230" s="6" t="s">
        <v>1619</v>
      </c>
      <c r="I230" s="6"/>
      <c r="J230" s="6" t="s">
        <v>739</v>
      </c>
      <c r="K230" s="14" t="str">
        <f t="shared" si="3"/>
        <v>https://w3id.org/uom/kg.m.s-1</v>
      </c>
      <c r="L230" s="13" t="s">
        <v>409</v>
      </c>
      <c r="M230" s="23">
        <f>countif(Quantities!A:A,L230)</f>
        <v>1</v>
      </c>
      <c r="N230" s="24" t="b">
        <f t="shared" si="4"/>
        <v>1</v>
      </c>
      <c r="O230" s="6" t="s">
        <v>1620</v>
      </c>
      <c r="P230" s="22" t="b">
        <f t="shared" si="5"/>
        <v>1</v>
      </c>
      <c r="Q230" s="22" t="b">
        <f t="shared" si="19"/>
        <v>1</v>
      </c>
      <c r="R230" s="22">
        <f>countif('v2022'!F:F,F230)</f>
        <v>1</v>
      </c>
      <c r="S230" s="22">
        <f>countif('v2018'!F:F,F230)</f>
        <v>1</v>
      </c>
      <c r="T230" s="22">
        <f>countif('v2014'!F:F,F230)</f>
        <v>1</v>
      </c>
      <c r="U230" s="22">
        <f>countif('v2010'!F:F,F230)</f>
        <v>1</v>
      </c>
      <c r="V230" s="22">
        <f>countif('v2006'!F:F,F230)</f>
        <v>1</v>
      </c>
      <c r="W230" s="22">
        <f>countif('v2002'!F:F,F230)</f>
        <v>1</v>
      </c>
      <c r="X230" s="22">
        <f>countif('v1998'!F:F,F230)</f>
        <v>1</v>
      </c>
    </row>
    <row r="231">
      <c r="A231" s="21" t="str">
        <f t="shared" si="17"/>
        <v>natural unit of momentum in MeV/c</v>
      </c>
      <c r="B231" s="6" t="s">
        <v>1621</v>
      </c>
      <c r="D231" s="13" t="s">
        <v>1622</v>
      </c>
      <c r="E231" s="13" t="s">
        <v>1623</v>
      </c>
      <c r="F231" s="22" t="str">
        <f t="shared" si="18"/>
        <v>NaturalUnitOfMomentumInMeV-PER-c</v>
      </c>
      <c r="G231" s="6" t="s">
        <v>1624</v>
      </c>
      <c r="H231" s="6" t="s">
        <v>1619</v>
      </c>
      <c r="I231" s="6"/>
      <c r="J231" s="6" t="s">
        <v>1625</v>
      </c>
      <c r="K231" s="14" t="str">
        <f t="shared" si="3"/>
        <v>https://w3id.org/uom/MeV.[c]-1</v>
      </c>
      <c r="L231" s="6" t="s">
        <v>409</v>
      </c>
      <c r="M231" s="23">
        <f>countif(Quantities!A:A,L231)</f>
        <v>1</v>
      </c>
      <c r="N231" s="24" t="b">
        <f t="shared" si="4"/>
        <v>0</v>
      </c>
      <c r="O231" s="6" t="s">
        <v>1626</v>
      </c>
      <c r="P231" s="22" t="b">
        <f t="shared" si="5"/>
        <v>1</v>
      </c>
      <c r="Q231" s="22" t="b">
        <f t="shared" si="19"/>
        <v>1</v>
      </c>
      <c r="R231" s="22">
        <f>countif('v2022'!F:F,F231)</f>
        <v>1</v>
      </c>
      <c r="S231" s="22">
        <f>countif('v2018'!F:F,F231)</f>
        <v>1</v>
      </c>
      <c r="T231" s="22">
        <f>countif('v2014'!F:F,F231)</f>
        <v>1</v>
      </c>
      <c r="U231" s="22">
        <f>countif('v2010'!F:F,F231)</f>
        <v>1</v>
      </c>
      <c r="V231" s="22">
        <f>countif('v2006'!F:F,F231)</f>
        <v>1</v>
      </c>
      <c r="W231" s="22">
        <f>countif('v2002'!F:F,F231)</f>
        <v>1</v>
      </c>
      <c r="X231" s="22">
        <f>countif('v1998'!F:F,F231)</f>
        <v>1</v>
      </c>
    </row>
    <row r="232">
      <c r="A232" s="21" t="str">
        <f t="shared" si="17"/>
        <v>natural unit of time</v>
      </c>
      <c r="B232" s="6" t="s">
        <v>1627</v>
      </c>
      <c r="D232" s="13" t="s">
        <v>1628</v>
      </c>
      <c r="E232" s="13" t="s">
        <v>749</v>
      </c>
      <c r="F232" s="22" t="str">
        <f t="shared" si="18"/>
        <v>NaturalUnitOfTime</v>
      </c>
      <c r="G232" s="6" t="s">
        <v>1628</v>
      </c>
      <c r="H232" s="6" t="s">
        <v>1629</v>
      </c>
      <c r="I232" s="6"/>
      <c r="J232" s="6" t="s">
        <v>749</v>
      </c>
      <c r="K232" s="14" t="str">
        <f t="shared" si="3"/>
        <v>https://w3id.org/uom/s</v>
      </c>
      <c r="L232" s="13" t="s">
        <v>410</v>
      </c>
      <c r="M232" s="23">
        <f>countif(Quantities!A:A,L232)</f>
        <v>1</v>
      </c>
      <c r="N232" s="24" t="b">
        <f t="shared" si="4"/>
        <v>1</v>
      </c>
      <c r="O232" s="6" t="s">
        <v>1630</v>
      </c>
      <c r="P232" s="22" t="b">
        <f t="shared" si="5"/>
        <v>1</v>
      </c>
      <c r="Q232" s="22" t="b">
        <f t="shared" si="19"/>
        <v>1</v>
      </c>
      <c r="R232" s="22">
        <f>countif('v2022'!F:F,F232)</f>
        <v>1</v>
      </c>
      <c r="S232" s="22">
        <f>countif('v2018'!F:F,F232)</f>
        <v>1</v>
      </c>
      <c r="T232" s="22">
        <f>countif('v2014'!F:F,F232)</f>
        <v>1</v>
      </c>
      <c r="U232" s="22">
        <f>countif('v2010'!F:F,F232)</f>
        <v>1</v>
      </c>
      <c r="V232" s="22">
        <f>countif('v2006'!F:F,F232)</f>
        <v>1</v>
      </c>
      <c r="W232" s="22">
        <f>countif('v2002'!F:F,F232)</f>
        <v>1</v>
      </c>
      <c r="X232" s="22">
        <f>countif('v1998'!F:F,F232)</f>
        <v>1</v>
      </c>
    </row>
    <row r="233">
      <c r="A233" s="21" t="str">
        <f t="shared" si="17"/>
        <v>natural unit of velocity</v>
      </c>
      <c r="B233" s="6" t="s">
        <v>1631</v>
      </c>
      <c r="D233" s="13" t="s">
        <v>1632</v>
      </c>
      <c r="E233" s="13" t="s">
        <v>754</v>
      </c>
      <c r="F233" s="22" t="str">
        <f t="shared" si="18"/>
        <v>NaturalUnitOfVelocity</v>
      </c>
      <c r="G233" s="6" t="s">
        <v>1632</v>
      </c>
      <c r="H233" s="6" t="s">
        <v>1633</v>
      </c>
      <c r="I233" s="6"/>
      <c r="J233" s="6" t="s">
        <v>756</v>
      </c>
      <c r="K233" s="14" t="str">
        <f t="shared" si="3"/>
        <v>https://w3id.org/uom/m.s-1</v>
      </c>
      <c r="L233" s="13" t="s">
        <v>411</v>
      </c>
      <c r="M233" s="23">
        <f>countif(Quantities!A:A,L233)</f>
        <v>1</v>
      </c>
      <c r="N233" s="24" t="b">
        <f t="shared" si="4"/>
        <v>1</v>
      </c>
      <c r="O233" s="6" t="s">
        <v>1634</v>
      </c>
      <c r="P233" s="22" t="b">
        <f t="shared" si="5"/>
        <v>1</v>
      </c>
      <c r="Q233" s="22" t="b">
        <f t="shared" si="19"/>
        <v>1</v>
      </c>
      <c r="R233" s="22">
        <f>countif('v2022'!F:F,F233)</f>
        <v>1</v>
      </c>
      <c r="S233" s="22">
        <f>countif('v2018'!F:F,F233)</f>
        <v>1</v>
      </c>
      <c r="T233" s="22">
        <f>countif('v2014'!F:F,F233)</f>
        <v>1</v>
      </c>
      <c r="U233" s="22">
        <f>countif('v2010'!F:F,F233)</f>
        <v>1</v>
      </c>
      <c r="V233" s="22">
        <f>countif('v2006'!F:F,F233)</f>
        <v>1</v>
      </c>
      <c r="W233" s="22">
        <f>countif('v2002'!F:F,F233)</f>
        <v>1</v>
      </c>
      <c r="X233" s="22">
        <f>countif('v1998'!F:F,F233)</f>
        <v>1</v>
      </c>
    </row>
    <row r="234">
      <c r="A234" s="21" t="str">
        <f t="shared" si="17"/>
        <v>neutron Compton wavelength</v>
      </c>
      <c r="B234" s="6" t="s">
        <v>1635</v>
      </c>
      <c r="D234" s="13" t="s">
        <v>1636</v>
      </c>
      <c r="E234" s="13" t="s">
        <v>571</v>
      </c>
      <c r="F234" s="22" t="str">
        <f t="shared" si="18"/>
        <v>NeutronComptonWavelength</v>
      </c>
      <c r="G234" s="6" t="s">
        <v>1636</v>
      </c>
      <c r="H234" s="6" t="s">
        <v>1637</v>
      </c>
      <c r="I234" s="6"/>
      <c r="J234" s="6" t="s">
        <v>571</v>
      </c>
      <c r="K234" s="14" t="str">
        <f t="shared" si="3"/>
        <v>https://w3id.org/uom/m</v>
      </c>
      <c r="L234" s="13" t="s">
        <v>412</v>
      </c>
      <c r="M234" s="23">
        <f>countif(Quantities!A:A,L234)</f>
        <v>1</v>
      </c>
      <c r="N234" s="24" t="b">
        <f t="shared" si="4"/>
        <v>1</v>
      </c>
      <c r="O234" s="6" t="s">
        <v>1638</v>
      </c>
      <c r="P234" s="22" t="b">
        <f t="shared" si="5"/>
        <v>1</v>
      </c>
      <c r="Q234" s="22" t="b">
        <f t="shared" si="19"/>
        <v>1</v>
      </c>
      <c r="R234" s="22">
        <f>countif('v2022'!F:F,F234)</f>
        <v>1</v>
      </c>
      <c r="S234" s="22">
        <f>countif('v2018'!F:F,F234)</f>
        <v>1</v>
      </c>
      <c r="T234" s="22">
        <f>countif('v2014'!F:F,F234)</f>
        <v>1</v>
      </c>
      <c r="U234" s="22">
        <f>countif('v2010'!F:F,F234)</f>
        <v>1</v>
      </c>
      <c r="V234" s="22">
        <f>countif('v2006'!F:F,F234)</f>
        <v>1</v>
      </c>
      <c r="W234" s="22">
        <f>countif('v2002'!F:F,F234)</f>
        <v>1</v>
      </c>
      <c r="X234" s="22">
        <f>countif('v1998'!F:F,F234)</f>
        <v>1</v>
      </c>
    </row>
    <row r="235">
      <c r="A235" s="21" t="str">
        <f t="shared" si="17"/>
        <v>neutron-electron mag. mom. ratio</v>
      </c>
      <c r="B235" s="6" t="s">
        <v>1639</v>
      </c>
      <c r="D235" s="13" t="s">
        <v>1640</v>
      </c>
      <c r="F235" s="22" t="str">
        <f t="shared" si="18"/>
        <v>NeutronElectronMagneticMomentRatio</v>
      </c>
      <c r="G235" s="6" t="s">
        <v>1641</v>
      </c>
      <c r="H235" s="6" t="s">
        <v>1642</v>
      </c>
      <c r="I235" s="6"/>
      <c r="J235" s="6"/>
      <c r="K235" s="13" t="str">
        <f t="shared" si="3"/>
        <v/>
      </c>
      <c r="L235" s="13" t="s">
        <v>413</v>
      </c>
      <c r="M235" s="23">
        <f>countif(Quantities!A:A,L235)</f>
        <v>1</v>
      </c>
      <c r="N235" s="24" t="b">
        <f t="shared" si="4"/>
        <v>1</v>
      </c>
      <c r="O235" s="6" t="s">
        <v>1643</v>
      </c>
      <c r="P235" s="22" t="b">
        <f t="shared" si="5"/>
        <v>1</v>
      </c>
      <c r="Q235" s="22" t="b">
        <f>sum(S235:X235)&gt;0</f>
        <v>1</v>
      </c>
      <c r="R235" s="22">
        <f>countif('v2022'!F:F,F235)</f>
        <v>1</v>
      </c>
      <c r="S235" s="22">
        <f>countif('v2018'!F:F,F235)</f>
        <v>1</v>
      </c>
      <c r="T235" s="22">
        <f>countif('v2014'!F:F,F235)</f>
        <v>1</v>
      </c>
      <c r="U235" s="22">
        <f>countif('v2010'!F:F,F235)</f>
        <v>1</v>
      </c>
      <c r="V235" s="22">
        <f>countif('v2006'!F:F,F235)</f>
        <v>1</v>
      </c>
      <c r="W235" s="22">
        <f>countif('v2002'!F:F,F235)</f>
        <v>1</v>
      </c>
      <c r="X235" s="22">
        <f>countif('v1998'!F:F,F235)</f>
        <v>1</v>
      </c>
    </row>
    <row r="236">
      <c r="A236" s="21" t="str">
        <f t="shared" si="17"/>
        <v>neutron-electron mass ratio</v>
      </c>
      <c r="B236" s="6" t="s">
        <v>1644</v>
      </c>
      <c r="D236" s="13" t="s">
        <v>1645</v>
      </c>
      <c r="F236" s="22" t="str">
        <f t="shared" si="18"/>
        <v>NeutronElectronMassRatio</v>
      </c>
      <c r="G236" s="6" t="s">
        <v>1646</v>
      </c>
      <c r="H236" s="6" t="s">
        <v>1647</v>
      </c>
      <c r="I236" s="6"/>
      <c r="J236" s="6"/>
      <c r="K236" s="13" t="str">
        <f t="shared" si="3"/>
        <v/>
      </c>
      <c r="L236" s="13" t="s">
        <v>414</v>
      </c>
      <c r="M236" s="23">
        <f>countif(Quantities!A:A,L236)</f>
        <v>1</v>
      </c>
      <c r="N236" s="24" t="b">
        <f t="shared" si="4"/>
        <v>1</v>
      </c>
      <c r="O236" s="6" t="s">
        <v>1648</v>
      </c>
      <c r="P236" s="22" t="b">
        <f t="shared" si="5"/>
        <v>1</v>
      </c>
      <c r="Q236" s="22" t="b">
        <f t="shared" ref="Q236:Q266" si="20">sum(S235:X236)&gt;0</f>
        <v>1</v>
      </c>
      <c r="R236" s="22">
        <f>countif('v2022'!F:F,F236)</f>
        <v>1</v>
      </c>
      <c r="S236" s="22">
        <f>countif('v2018'!F:F,F236)</f>
        <v>1</v>
      </c>
      <c r="T236" s="22">
        <f>countif('v2014'!F:F,F236)</f>
        <v>1</v>
      </c>
      <c r="U236" s="22">
        <f>countif('v2010'!F:F,F236)</f>
        <v>1</v>
      </c>
      <c r="V236" s="22">
        <f>countif('v2006'!F:F,F236)</f>
        <v>1</v>
      </c>
      <c r="W236" s="22">
        <f>countif('v2002'!F:F,F236)</f>
        <v>1</v>
      </c>
      <c r="X236" s="22">
        <f>countif('v1998'!F:F,F236)</f>
        <v>1</v>
      </c>
    </row>
    <row r="237">
      <c r="A237" s="21" t="str">
        <f t="shared" si="17"/>
        <v>neutron g factor</v>
      </c>
      <c r="B237" s="6" t="s">
        <v>1649</v>
      </c>
      <c r="D237" s="13" t="s">
        <v>1650</v>
      </c>
      <c r="F237" s="22" t="str">
        <f t="shared" si="18"/>
        <v>NeutronGFactor</v>
      </c>
      <c r="G237" s="6" t="s">
        <v>1650</v>
      </c>
      <c r="H237" s="6" t="s">
        <v>1651</v>
      </c>
      <c r="I237" s="6"/>
      <c r="J237" s="6"/>
      <c r="K237" s="13" t="str">
        <f t="shared" si="3"/>
        <v/>
      </c>
      <c r="L237" s="13" t="s">
        <v>415</v>
      </c>
      <c r="M237" s="23">
        <f>countif(Quantities!A:A,L237)</f>
        <v>1</v>
      </c>
      <c r="N237" s="24" t="b">
        <f t="shared" si="4"/>
        <v>1</v>
      </c>
      <c r="O237" s="6" t="s">
        <v>1652</v>
      </c>
      <c r="P237" s="22" t="b">
        <f t="shared" si="5"/>
        <v>1</v>
      </c>
      <c r="Q237" s="22" t="b">
        <f t="shared" si="20"/>
        <v>1</v>
      </c>
      <c r="R237" s="22">
        <f>countif('v2022'!F:F,F237)</f>
        <v>1</v>
      </c>
      <c r="S237" s="22">
        <f>countif('v2018'!F:F,F237)</f>
        <v>1</v>
      </c>
      <c r="T237" s="22">
        <f>countif('v2014'!F:F,F237)</f>
        <v>1</v>
      </c>
      <c r="U237" s="22">
        <f>countif('v2010'!F:F,F237)</f>
        <v>1</v>
      </c>
      <c r="V237" s="22">
        <f>countif('v2006'!F:F,F237)</f>
        <v>1</v>
      </c>
      <c r="W237" s="22">
        <f>countif('v2002'!F:F,F237)</f>
        <v>1</v>
      </c>
      <c r="X237" s="22">
        <f>countif('v1998'!F:F,F237)</f>
        <v>1</v>
      </c>
    </row>
    <row r="238">
      <c r="A238" s="21" t="str">
        <f t="shared" si="17"/>
        <v>neutron gyromag. ratio</v>
      </c>
      <c r="B238" s="6" t="s">
        <v>1653</v>
      </c>
      <c r="D238" s="13" t="s">
        <v>1654</v>
      </c>
      <c r="E238" s="13" t="s">
        <v>961</v>
      </c>
      <c r="F238" s="22" t="str">
        <f t="shared" si="18"/>
        <v>NeutronGyromagneticRatio</v>
      </c>
      <c r="G238" s="6" t="s">
        <v>1655</v>
      </c>
      <c r="H238" s="6" t="s">
        <v>1656</v>
      </c>
      <c r="I238" s="6"/>
      <c r="J238" s="6" t="s">
        <v>964</v>
      </c>
      <c r="K238" s="14" t="str">
        <f t="shared" si="3"/>
        <v>https://w3id.org/uom/s-1.T-1</v>
      </c>
      <c r="L238" s="13" t="s">
        <v>416</v>
      </c>
      <c r="M238" s="23">
        <f>countif(Quantities!A:A,L238)</f>
        <v>1</v>
      </c>
      <c r="N238" s="24" t="b">
        <f t="shared" si="4"/>
        <v>1</v>
      </c>
      <c r="O238" s="6" t="s">
        <v>1657</v>
      </c>
      <c r="P238" s="22" t="b">
        <f t="shared" si="5"/>
        <v>1</v>
      </c>
      <c r="Q238" s="22" t="b">
        <f t="shared" si="20"/>
        <v>1</v>
      </c>
      <c r="R238" s="22">
        <f>countif('v2022'!F:F,F238)</f>
        <v>1</v>
      </c>
      <c r="S238" s="22">
        <f>countif('v2018'!F:F,F238)</f>
        <v>1</v>
      </c>
      <c r="T238" s="22">
        <f>countif('v2014'!F:F,F238)</f>
        <v>1</v>
      </c>
      <c r="U238" s="22">
        <f>countif('v2010'!F:F,F238)</f>
        <v>1</v>
      </c>
      <c r="V238" s="22">
        <f>countif('v2006'!F:F,F238)</f>
        <v>1</v>
      </c>
      <c r="W238" s="22">
        <f>countif('v2002'!F:F,F238)</f>
        <v>1</v>
      </c>
      <c r="X238" s="22">
        <f>countif('v1998'!F:F,F238)</f>
        <v>1</v>
      </c>
    </row>
    <row r="239">
      <c r="A239" s="33" t="s">
        <v>1658</v>
      </c>
      <c r="B239" s="6" t="s">
        <v>1659</v>
      </c>
      <c r="E239" s="13" t="s">
        <v>969</v>
      </c>
      <c r="F239" s="22" t="str">
        <f t="shared" si="18"/>
        <v>NeutronGyromagneticRatioOver2Pi</v>
      </c>
      <c r="G239" s="6" t="s">
        <v>1658</v>
      </c>
      <c r="H239" s="6" t="s">
        <v>1660</v>
      </c>
      <c r="I239" s="6"/>
      <c r="J239" s="6" t="s">
        <v>972</v>
      </c>
      <c r="K239" s="14" t="str">
        <f t="shared" si="3"/>
        <v>https://w3id.org/uom/MHz.T-1</v>
      </c>
      <c r="L239" s="6" t="s">
        <v>416</v>
      </c>
      <c r="M239" s="23">
        <f>countif(Quantities!A:A,L239)</f>
        <v>1</v>
      </c>
      <c r="N239" s="24" t="b">
        <f t="shared" si="4"/>
        <v>0</v>
      </c>
      <c r="O239" s="6" t="s">
        <v>1661</v>
      </c>
      <c r="P239" s="22" t="b">
        <f t="shared" si="5"/>
        <v>1</v>
      </c>
      <c r="Q239" s="22" t="b">
        <f t="shared" si="20"/>
        <v>1</v>
      </c>
      <c r="R239" s="22">
        <f>countif('v2022'!F:F,F239)</f>
        <v>1</v>
      </c>
      <c r="S239" s="22">
        <f>countif('v2018'!F:F,F239)</f>
        <v>1</v>
      </c>
      <c r="T239" s="22">
        <f>countif('v2014'!F:F,F239)</f>
        <v>1</v>
      </c>
      <c r="U239" s="22">
        <f>countif('v2010'!F:F,F239)</f>
        <v>1</v>
      </c>
      <c r="V239" s="22">
        <f>countif('v2006'!F:F,F239)</f>
        <v>1</v>
      </c>
      <c r="W239" s="22">
        <f>countif('v2002'!F:F,F239)</f>
        <v>1</v>
      </c>
      <c r="X239" s="22">
        <f>countif('v1998'!F:F,F239)</f>
        <v>1</v>
      </c>
    </row>
    <row r="240">
      <c r="A240" s="21" t="str">
        <f t="shared" ref="A240:A276" si="21">D240</f>
        <v>neutron mag. mom.</v>
      </c>
      <c r="B240" s="6" t="s">
        <v>1662</v>
      </c>
      <c r="D240" s="13" t="s">
        <v>1663</v>
      </c>
      <c r="E240" s="13" t="s">
        <v>714</v>
      </c>
      <c r="F240" s="22" t="str">
        <f t="shared" si="18"/>
        <v>NeutronMagneticMoment</v>
      </c>
      <c r="G240" s="6" t="s">
        <v>1664</v>
      </c>
      <c r="H240" s="6" t="s">
        <v>1665</v>
      </c>
      <c r="I240" s="6"/>
      <c r="J240" s="6" t="s">
        <v>717</v>
      </c>
      <c r="K240" s="14" t="str">
        <f t="shared" si="3"/>
        <v>https://w3id.org/uom/J.T-1</v>
      </c>
      <c r="L240" s="13" t="s">
        <v>417</v>
      </c>
      <c r="M240" s="23">
        <f>countif(Quantities!A:A,L240)</f>
        <v>1</v>
      </c>
      <c r="N240" s="24" t="b">
        <f t="shared" si="4"/>
        <v>1</v>
      </c>
      <c r="O240" s="6" t="s">
        <v>1666</v>
      </c>
      <c r="P240" s="22" t="b">
        <f t="shared" si="5"/>
        <v>1</v>
      </c>
      <c r="Q240" s="22" t="b">
        <f t="shared" si="20"/>
        <v>1</v>
      </c>
      <c r="R240" s="22">
        <f>countif('v2022'!F:F,F240)</f>
        <v>1</v>
      </c>
      <c r="S240" s="22">
        <f>countif('v2018'!F:F,F240)</f>
        <v>1</v>
      </c>
      <c r="T240" s="22">
        <f>countif('v2014'!F:F,F240)</f>
        <v>1</v>
      </c>
      <c r="U240" s="22">
        <f>countif('v2010'!F:F,F240)</f>
        <v>1</v>
      </c>
      <c r="V240" s="22">
        <f>countif('v2006'!F:F,F240)</f>
        <v>1</v>
      </c>
      <c r="W240" s="22">
        <f>countif('v2002'!F:F,F240)</f>
        <v>1</v>
      </c>
      <c r="X240" s="22">
        <f>countif('v1998'!F:F,F240)</f>
        <v>1</v>
      </c>
    </row>
    <row r="241">
      <c r="A241" s="21" t="str">
        <f t="shared" si="21"/>
        <v>neutron mag. mom. to Bohr magneton ratio</v>
      </c>
      <c r="B241" s="6" t="s">
        <v>1667</v>
      </c>
      <c r="D241" s="13" t="s">
        <v>1668</v>
      </c>
      <c r="F241" s="22" t="str">
        <f t="shared" si="18"/>
        <v>NeutronMagneticMomentToBohrMagnetonRatio</v>
      </c>
      <c r="G241" s="6" t="s">
        <v>1669</v>
      </c>
      <c r="H241" s="6" t="s">
        <v>1670</v>
      </c>
      <c r="I241" s="6"/>
      <c r="J241" s="6"/>
      <c r="K241" s="13" t="str">
        <f t="shared" si="3"/>
        <v/>
      </c>
      <c r="L241" s="13" t="s">
        <v>418</v>
      </c>
      <c r="M241" s="23">
        <f>countif(Quantities!A:A,L241)</f>
        <v>1</v>
      </c>
      <c r="N241" s="24" t="b">
        <f t="shared" si="4"/>
        <v>1</v>
      </c>
      <c r="O241" s="6" t="s">
        <v>1671</v>
      </c>
      <c r="P241" s="22" t="b">
        <f t="shared" si="5"/>
        <v>1</v>
      </c>
      <c r="Q241" s="22" t="b">
        <f t="shared" si="20"/>
        <v>1</v>
      </c>
      <c r="R241" s="22">
        <f>countif('v2022'!F:F,F241)</f>
        <v>1</v>
      </c>
      <c r="S241" s="22">
        <f>countif('v2018'!F:F,F241)</f>
        <v>1</v>
      </c>
      <c r="T241" s="22">
        <f>countif('v2014'!F:F,F241)</f>
        <v>1</v>
      </c>
      <c r="U241" s="22">
        <f>countif('v2010'!F:F,F241)</f>
        <v>1</v>
      </c>
      <c r="V241" s="22">
        <f>countif('v2006'!F:F,F241)</f>
        <v>1</v>
      </c>
      <c r="W241" s="22">
        <f>countif('v2002'!F:F,F241)</f>
        <v>1</v>
      </c>
      <c r="X241" s="22">
        <f>countif('v1998'!F:F,F241)</f>
        <v>1</v>
      </c>
    </row>
    <row r="242">
      <c r="A242" s="21" t="str">
        <f t="shared" si="21"/>
        <v>neutron mag. mom. to nuclear magneton ratio</v>
      </c>
      <c r="B242" s="6" t="s">
        <v>1672</v>
      </c>
      <c r="D242" s="13" t="s">
        <v>1673</v>
      </c>
      <c r="F242" s="22" t="str">
        <f t="shared" si="18"/>
        <v>NeutronMagneticMomentToNuclearMagnetonRatio</v>
      </c>
      <c r="G242" s="6" t="s">
        <v>1674</v>
      </c>
      <c r="H242" s="6" t="s">
        <v>1675</v>
      </c>
      <c r="I242" s="6"/>
      <c r="J242" s="6"/>
      <c r="K242" s="13" t="str">
        <f t="shared" si="3"/>
        <v/>
      </c>
      <c r="L242" s="13" t="s">
        <v>419</v>
      </c>
      <c r="M242" s="23">
        <f>countif(Quantities!A:A,L242)</f>
        <v>1</v>
      </c>
      <c r="N242" s="24" t="b">
        <f t="shared" si="4"/>
        <v>1</v>
      </c>
      <c r="O242" s="6" t="s">
        <v>1676</v>
      </c>
      <c r="P242" s="22" t="b">
        <f t="shared" si="5"/>
        <v>1</v>
      </c>
      <c r="Q242" s="22" t="b">
        <f t="shared" si="20"/>
        <v>1</v>
      </c>
      <c r="R242" s="22">
        <f>countif('v2022'!F:F,F242)</f>
        <v>1</v>
      </c>
      <c r="S242" s="22">
        <f>countif('v2018'!F:F,F242)</f>
        <v>1</v>
      </c>
      <c r="T242" s="22">
        <f>countif('v2014'!F:F,F242)</f>
        <v>1</v>
      </c>
      <c r="U242" s="22">
        <f>countif('v2010'!F:F,F242)</f>
        <v>1</v>
      </c>
      <c r="V242" s="22">
        <f>countif('v2006'!F:F,F242)</f>
        <v>1</v>
      </c>
      <c r="W242" s="22">
        <f>countif('v2002'!F:F,F242)</f>
        <v>1</v>
      </c>
      <c r="X242" s="22">
        <f>countif('v1998'!F:F,F242)</f>
        <v>1</v>
      </c>
    </row>
    <row r="243">
      <c r="A243" s="21" t="str">
        <f t="shared" si="21"/>
        <v>neutron mass</v>
      </c>
      <c r="B243" s="6" t="s">
        <v>1677</v>
      </c>
      <c r="D243" s="13" t="s">
        <v>1678</v>
      </c>
      <c r="E243" s="13" t="s">
        <v>538</v>
      </c>
      <c r="F243" s="22" t="str">
        <f t="shared" si="18"/>
        <v>NeutronMass</v>
      </c>
      <c r="G243" s="6" t="s">
        <v>1678</v>
      </c>
      <c r="H243" s="6" t="s">
        <v>1679</v>
      </c>
      <c r="I243" s="6"/>
      <c r="J243" s="6" t="s">
        <v>538</v>
      </c>
      <c r="K243" s="14" t="str">
        <f t="shared" si="3"/>
        <v>https://w3id.org/uom/kg</v>
      </c>
      <c r="L243" s="13" t="s">
        <v>420</v>
      </c>
      <c r="M243" s="23">
        <f>countif(Quantities!A:A,L243)</f>
        <v>1</v>
      </c>
      <c r="N243" s="24" t="b">
        <f t="shared" si="4"/>
        <v>1</v>
      </c>
      <c r="O243" s="6" t="s">
        <v>1680</v>
      </c>
      <c r="P243" s="22" t="b">
        <f t="shared" si="5"/>
        <v>1</v>
      </c>
      <c r="Q243" s="22" t="b">
        <f t="shared" si="20"/>
        <v>1</v>
      </c>
      <c r="R243" s="22">
        <f>countif('v2022'!F:F,F243)</f>
        <v>1</v>
      </c>
      <c r="S243" s="22">
        <f>countif('v2018'!F:F,F243)</f>
        <v>1</v>
      </c>
      <c r="T243" s="22">
        <f>countif('v2014'!F:F,F243)</f>
        <v>1</v>
      </c>
      <c r="U243" s="22">
        <f>countif('v2010'!F:F,F243)</f>
        <v>1</v>
      </c>
      <c r="V243" s="22">
        <f>countif('v2006'!F:F,F243)</f>
        <v>1</v>
      </c>
      <c r="W243" s="22">
        <f>countif('v2002'!F:F,F243)</f>
        <v>1</v>
      </c>
      <c r="X243" s="22">
        <f>countif('v1998'!F:F,F243)</f>
        <v>1</v>
      </c>
    </row>
    <row r="244">
      <c r="A244" s="21" t="str">
        <f t="shared" si="21"/>
        <v>neutron mass energy equivalent</v>
      </c>
      <c r="B244" s="6" t="s">
        <v>1681</v>
      </c>
      <c r="D244" s="13" t="s">
        <v>1682</v>
      </c>
      <c r="E244" s="13" t="s">
        <v>543</v>
      </c>
      <c r="F244" s="22" t="str">
        <f t="shared" si="18"/>
        <v>NeutronMassEnergyEquivalent</v>
      </c>
      <c r="G244" s="6" t="s">
        <v>1682</v>
      </c>
      <c r="H244" s="6" t="s">
        <v>1683</v>
      </c>
      <c r="I244" s="6"/>
      <c r="J244" s="6" t="s">
        <v>543</v>
      </c>
      <c r="K244" s="14" t="str">
        <f t="shared" si="3"/>
        <v>https://w3id.org/uom/J</v>
      </c>
      <c r="L244" s="13" t="s">
        <v>420</v>
      </c>
      <c r="M244" s="23">
        <f>countif(Quantities!A:A,L244)</f>
        <v>1</v>
      </c>
      <c r="N244" s="24" t="b">
        <f t="shared" si="4"/>
        <v>0</v>
      </c>
      <c r="O244" s="6" t="s">
        <v>1684</v>
      </c>
      <c r="P244" s="22" t="b">
        <f t="shared" si="5"/>
        <v>1</v>
      </c>
      <c r="Q244" s="22" t="b">
        <f t="shared" si="20"/>
        <v>1</v>
      </c>
      <c r="R244" s="22">
        <f>countif('v2022'!F:F,F244)</f>
        <v>1</v>
      </c>
      <c r="S244" s="22">
        <f>countif('v2018'!F:F,F244)</f>
        <v>1</v>
      </c>
      <c r="T244" s="22">
        <f>countif('v2014'!F:F,F244)</f>
        <v>1</v>
      </c>
      <c r="U244" s="22">
        <f>countif('v2010'!F:F,F244)</f>
        <v>1</v>
      </c>
      <c r="V244" s="22">
        <f>countif('v2006'!F:F,F244)</f>
        <v>1</v>
      </c>
      <c r="W244" s="22">
        <f>countif('v2002'!F:F,F244)</f>
        <v>1</v>
      </c>
      <c r="X244" s="22">
        <f>countif('v1998'!F:F,F244)</f>
        <v>1</v>
      </c>
    </row>
    <row r="245">
      <c r="A245" s="21" t="str">
        <f t="shared" si="21"/>
        <v>neutron mass energy equivalent in MeV</v>
      </c>
      <c r="B245" s="6" t="s">
        <v>1685</v>
      </c>
      <c r="D245" s="13" t="s">
        <v>1686</v>
      </c>
      <c r="E245" s="13" t="s">
        <v>548</v>
      </c>
      <c r="F245" s="22" t="str">
        <f t="shared" si="18"/>
        <v>NeutronMassEnergyEquivalentInMeV</v>
      </c>
      <c r="G245" s="6" t="s">
        <v>1686</v>
      </c>
      <c r="H245" s="6" t="s">
        <v>1683</v>
      </c>
      <c r="I245" s="6"/>
      <c r="J245" s="6" t="s">
        <v>548</v>
      </c>
      <c r="K245" s="14" t="str">
        <f t="shared" si="3"/>
        <v>https://w3id.org/uom/MeV</v>
      </c>
      <c r="L245" s="13" t="s">
        <v>420</v>
      </c>
      <c r="M245" s="23">
        <f>countif(Quantities!A:A,L245)</f>
        <v>1</v>
      </c>
      <c r="N245" s="24" t="b">
        <f t="shared" si="4"/>
        <v>0</v>
      </c>
      <c r="O245" s="6" t="s">
        <v>1687</v>
      </c>
      <c r="P245" s="22" t="b">
        <f t="shared" si="5"/>
        <v>1</v>
      </c>
      <c r="Q245" s="22" t="b">
        <f t="shared" si="20"/>
        <v>1</v>
      </c>
      <c r="R245" s="22">
        <f>countif('v2022'!F:F,F245)</f>
        <v>1</v>
      </c>
      <c r="S245" s="22">
        <f>countif('v2018'!F:F,F245)</f>
        <v>1</v>
      </c>
      <c r="T245" s="22">
        <f>countif('v2014'!F:F,F245)</f>
        <v>1</v>
      </c>
      <c r="U245" s="22">
        <f>countif('v2010'!F:F,F245)</f>
        <v>1</v>
      </c>
      <c r="V245" s="22">
        <f>countif('v2006'!F:F,F245)</f>
        <v>1</v>
      </c>
      <c r="W245" s="22">
        <f>countif('v2002'!F:F,F245)</f>
        <v>1</v>
      </c>
      <c r="X245" s="22">
        <f>countif('v1998'!F:F,F245)</f>
        <v>1</v>
      </c>
    </row>
    <row r="246">
      <c r="A246" s="21" t="str">
        <f t="shared" si="21"/>
        <v>neutron mass in u</v>
      </c>
      <c r="B246" s="6" t="s">
        <v>1688</v>
      </c>
      <c r="D246" s="13" t="s">
        <v>1689</v>
      </c>
      <c r="E246" s="13" t="s">
        <v>553</v>
      </c>
      <c r="F246" s="22" t="str">
        <f t="shared" si="18"/>
        <v>NeutronMassInAtomicMassUnit</v>
      </c>
      <c r="G246" s="6" t="s">
        <v>1689</v>
      </c>
      <c r="H246" s="6" t="s">
        <v>1679</v>
      </c>
      <c r="I246" s="6"/>
      <c r="J246" s="6" t="s">
        <v>553</v>
      </c>
      <c r="K246" s="14" t="str">
        <f t="shared" si="3"/>
        <v>https://w3id.org/uom/u</v>
      </c>
      <c r="L246" s="13" t="s">
        <v>420</v>
      </c>
      <c r="M246" s="23">
        <f>countif(Quantities!A:A,L246)</f>
        <v>1</v>
      </c>
      <c r="N246" s="24" t="b">
        <f t="shared" si="4"/>
        <v>0</v>
      </c>
      <c r="O246" s="6" t="s">
        <v>1690</v>
      </c>
      <c r="P246" s="22" t="b">
        <f t="shared" si="5"/>
        <v>1</v>
      </c>
      <c r="Q246" s="22" t="b">
        <f t="shared" si="20"/>
        <v>1</v>
      </c>
      <c r="R246" s="22">
        <f>countif('v2022'!F:F,F246)</f>
        <v>1</v>
      </c>
      <c r="S246" s="22">
        <f>countif('v2018'!F:F,F246)</f>
        <v>1</v>
      </c>
      <c r="T246" s="22">
        <f>countif('v2014'!F:F,F246)</f>
        <v>1</v>
      </c>
      <c r="U246" s="22">
        <f>countif('v2010'!F:F,F246)</f>
        <v>1</v>
      </c>
      <c r="V246" s="22">
        <f>countif('v2006'!F:F,F246)</f>
        <v>1</v>
      </c>
      <c r="W246" s="22">
        <f>countif('v2002'!F:F,F246)</f>
        <v>1</v>
      </c>
      <c r="X246" s="22">
        <f>countif('v1998'!F:F,F246)</f>
        <v>1</v>
      </c>
    </row>
    <row r="247">
      <c r="A247" s="21" t="str">
        <f t="shared" si="21"/>
        <v>neutron molar mass</v>
      </c>
      <c r="B247" s="6" t="s">
        <v>1691</v>
      </c>
      <c r="D247" s="13" t="s">
        <v>1692</v>
      </c>
      <c r="E247" s="13" t="s">
        <v>557</v>
      </c>
      <c r="F247" s="22" t="str">
        <f t="shared" si="18"/>
        <v>NeutronMolarMass</v>
      </c>
      <c r="G247" s="6" t="s">
        <v>1692</v>
      </c>
      <c r="H247" s="6" t="s">
        <v>1693</v>
      </c>
      <c r="I247" s="6"/>
      <c r="J247" s="6" t="s">
        <v>559</v>
      </c>
      <c r="K247" s="14" t="str">
        <f t="shared" si="3"/>
        <v>https://w3id.org/uom/kg.mol-1</v>
      </c>
      <c r="L247" s="13" t="s">
        <v>421</v>
      </c>
      <c r="M247" s="23">
        <f>countif(Quantities!A:A,L247)</f>
        <v>1</v>
      </c>
      <c r="N247" s="24" t="b">
        <f t="shared" si="4"/>
        <v>1</v>
      </c>
      <c r="O247" s="6" t="s">
        <v>1694</v>
      </c>
      <c r="P247" s="22" t="b">
        <f t="shared" si="5"/>
        <v>1</v>
      </c>
      <c r="Q247" s="22" t="b">
        <f t="shared" si="20"/>
        <v>1</v>
      </c>
      <c r="R247" s="22">
        <f>countif('v2022'!F:F,F247)</f>
        <v>1</v>
      </c>
      <c r="S247" s="22">
        <f>countif('v2018'!F:F,F247)</f>
        <v>1</v>
      </c>
      <c r="T247" s="22">
        <f>countif('v2014'!F:F,F247)</f>
        <v>1</v>
      </c>
      <c r="U247" s="22">
        <f>countif('v2010'!F:F,F247)</f>
        <v>1</v>
      </c>
      <c r="V247" s="22">
        <f>countif('v2006'!F:F,F247)</f>
        <v>1</v>
      </c>
      <c r="W247" s="22">
        <f>countif('v2002'!F:F,F247)</f>
        <v>1</v>
      </c>
      <c r="X247" s="22">
        <f>countif('v1998'!F:F,F247)</f>
        <v>1</v>
      </c>
    </row>
    <row r="248">
      <c r="A248" s="21" t="str">
        <f t="shared" si="21"/>
        <v>neutron-muon mass ratio</v>
      </c>
      <c r="B248" s="6" t="s">
        <v>1695</v>
      </c>
      <c r="D248" s="13" t="s">
        <v>1696</v>
      </c>
      <c r="F248" s="22" t="str">
        <f t="shared" si="18"/>
        <v>NeutronMuonMassRatio</v>
      </c>
      <c r="G248" s="6" t="s">
        <v>1697</v>
      </c>
      <c r="H248" s="6" t="s">
        <v>1698</v>
      </c>
      <c r="I248" s="6"/>
      <c r="J248" s="6"/>
      <c r="K248" s="13" t="str">
        <f t="shared" si="3"/>
        <v/>
      </c>
      <c r="L248" s="13" t="s">
        <v>422</v>
      </c>
      <c r="M248" s="23">
        <f>countif(Quantities!A:A,L248)</f>
        <v>1</v>
      </c>
      <c r="N248" s="24" t="b">
        <f t="shared" si="4"/>
        <v>1</v>
      </c>
      <c r="O248" s="6" t="s">
        <v>1699</v>
      </c>
      <c r="P248" s="22" t="b">
        <f t="shared" si="5"/>
        <v>1</v>
      </c>
      <c r="Q248" s="22" t="b">
        <f t="shared" si="20"/>
        <v>1</v>
      </c>
      <c r="R248" s="22">
        <f>countif('v2022'!F:F,F248)</f>
        <v>1</v>
      </c>
      <c r="S248" s="22">
        <f>countif('v2018'!F:F,F248)</f>
        <v>1</v>
      </c>
      <c r="T248" s="22">
        <f>countif('v2014'!F:F,F248)</f>
        <v>1</v>
      </c>
      <c r="U248" s="22">
        <f>countif('v2010'!F:F,F248)</f>
        <v>1</v>
      </c>
      <c r="V248" s="22">
        <f>countif('v2006'!F:F,F248)</f>
        <v>1</v>
      </c>
      <c r="W248" s="22">
        <f>countif('v2002'!F:F,F248)</f>
        <v>1</v>
      </c>
      <c r="X248" s="22">
        <f>countif('v1998'!F:F,F248)</f>
        <v>1</v>
      </c>
    </row>
    <row r="249">
      <c r="A249" s="21" t="str">
        <f t="shared" si="21"/>
        <v>neutron-proton mag. mom. ratio</v>
      </c>
      <c r="B249" s="6" t="s">
        <v>1700</v>
      </c>
      <c r="D249" s="13" t="s">
        <v>1701</v>
      </c>
      <c r="F249" s="22" t="str">
        <f t="shared" si="18"/>
        <v>NeutronProtonMagneticMomentRatio</v>
      </c>
      <c r="G249" s="6" t="s">
        <v>1702</v>
      </c>
      <c r="H249" s="6" t="s">
        <v>1703</v>
      </c>
      <c r="I249" s="6"/>
      <c r="J249" s="6"/>
      <c r="K249" s="13" t="str">
        <f t="shared" si="3"/>
        <v/>
      </c>
      <c r="L249" s="13" t="s">
        <v>423</v>
      </c>
      <c r="M249" s="23">
        <f>countif(Quantities!A:A,L249)</f>
        <v>1</v>
      </c>
      <c r="N249" s="24" t="b">
        <f t="shared" si="4"/>
        <v>1</v>
      </c>
      <c r="O249" s="6" t="s">
        <v>1704</v>
      </c>
      <c r="P249" s="22" t="b">
        <f t="shared" si="5"/>
        <v>1</v>
      </c>
      <c r="Q249" s="22" t="b">
        <f t="shared" si="20"/>
        <v>1</v>
      </c>
      <c r="R249" s="22">
        <f>countif('v2022'!F:F,F249)</f>
        <v>1</v>
      </c>
      <c r="S249" s="22">
        <f>countif('v2018'!F:F,F249)</f>
        <v>1</v>
      </c>
      <c r="T249" s="22">
        <f>countif('v2014'!F:F,F249)</f>
        <v>1</v>
      </c>
      <c r="U249" s="22">
        <f>countif('v2010'!F:F,F249)</f>
        <v>1</v>
      </c>
      <c r="V249" s="22">
        <f>countif('v2006'!F:F,F249)</f>
        <v>1</v>
      </c>
      <c r="W249" s="22">
        <f>countif('v2002'!F:F,F249)</f>
        <v>1</v>
      </c>
      <c r="X249" s="22">
        <f>countif('v1998'!F:F,F249)</f>
        <v>1</v>
      </c>
    </row>
    <row r="250">
      <c r="A250" s="21" t="str">
        <f t="shared" si="21"/>
        <v>neutron-proton mass difference</v>
      </c>
      <c r="B250" s="6" t="s">
        <v>1705</v>
      </c>
      <c r="D250" s="13" t="s">
        <v>1706</v>
      </c>
      <c r="E250" s="13" t="s">
        <v>538</v>
      </c>
      <c r="F250" s="22" t="str">
        <f t="shared" si="18"/>
        <v>Neutron-ProtonMassDifference</v>
      </c>
      <c r="G250" s="6" t="s">
        <v>1707</v>
      </c>
      <c r="H250" s="6" t="s">
        <v>1708</v>
      </c>
      <c r="I250" s="6"/>
      <c r="J250" s="6" t="s">
        <v>538</v>
      </c>
      <c r="K250" s="14" t="str">
        <f t="shared" si="3"/>
        <v>https://w3id.org/uom/kg</v>
      </c>
      <c r="L250" s="13" t="s">
        <v>424</v>
      </c>
      <c r="M250" s="23">
        <f>countif(Quantities!A:A,L250)</f>
        <v>1</v>
      </c>
      <c r="N250" s="24" t="b">
        <f t="shared" si="4"/>
        <v>1</v>
      </c>
      <c r="P250" s="22" t="b">
        <f t="shared" si="5"/>
        <v>0</v>
      </c>
      <c r="Q250" s="22" t="b">
        <f t="shared" si="20"/>
        <v>1</v>
      </c>
      <c r="R250" s="22">
        <f>countif('v2022'!F:F,F250)</f>
        <v>1</v>
      </c>
      <c r="S250" s="22">
        <f>countif('v2018'!F:F,F250)</f>
        <v>1</v>
      </c>
      <c r="T250" s="22">
        <f>countif('v2014'!F:F,F250)</f>
        <v>1</v>
      </c>
      <c r="U250" s="22">
        <f>countif('v2010'!F:F,F250)</f>
        <v>1</v>
      </c>
      <c r="V250" s="22">
        <f>countif('v2006'!F:F,F250)</f>
        <v>0</v>
      </c>
      <c r="W250" s="22">
        <f>countif('v2002'!F:F,F250)</f>
        <v>0</v>
      </c>
      <c r="X250" s="22">
        <f>countif('v1998'!F:F,F250)</f>
        <v>0</v>
      </c>
    </row>
    <row r="251">
      <c r="A251" s="21" t="str">
        <f t="shared" si="21"/>
        <v>neutron-proton mass difference energy equivalent</v>
      </c>
      <c r="B251" s="6" t="s">
        <v>1709</v>
      </c>
      <c r="D251" s="13" t="s">
        <v>1710</v>
      </c>
      <c r="E251" s="13" t="s">
        <v>543</v>
      </c>
      <c r="F251" s="22" t="str">
        <f t="shared" si="18"/>
        <v>Neutron-ProtonMassDifferenceEnergyEquivalent</v>
      </c>
      <c r="G251" s="6" t="s">
        <v>1711</v>
      </c>
      <c r="H251" s="6" t="s">
        <v>1712</v>
      </c>
      <c r="I251" s="6"/>
      <c r="J251" s="6" t="s">
        <v>543</v>
      </c>
      <c r="K251" s="14" t="str">
        <f t="shared" si="3"/>
        <v>https://w3id.org/uom/J</v>
      </c>
      <c r="L251" s="13" t="s">
        <v>424</v>
      </c>
      <c r="M251" s="23">
        <f>countif(Quantities!A:A,L251)</f>
        <v>1</v>
      </c>
      <c r="N251" s="24" t="b">
        <f t="shared" si="4"/>
        <v>0</v>
      </c>
      <c r="P251" s="22" t="b">
        <f t="shared" si="5"/>
        <v>0</v>
      </c>
      <c r="Q251" s="22" t="b">
        <f t="shared" si="20"/>
        <v>1</v>
      </c>
      <c r="R251" s="22">
        <f>countif('v2022'!F:F,F251)</f>
        <v>1</v>
      </c>
      <c r="S251" s="22">
        <f>countif('v2018'!F:F,F251)</f>
        <v>1</v>
      </c>
      <c r="T251" s="22">
        <f>countif('v2014'!F:F,F251)</f>
        <v>1</v>
      </c>
      <c r="U251" s="22">
        <f>countif('v2010'!F:F,F251)</f>
        <v>1</v>
      </c>
      <c r="V251" s="22">
        <f>countif('v2006'!F:F,F251)</f>
        <v>0</v>
      </c>
      <c r="W251" s="22">
        <f>countif('v2002'!F:F,F251)</f>
        <v>0</v>
      </c>
      <c r="X251" s="22">
        <f>countif('v1998'!F:F,F251)</f>
        <v>0</v>
      </c>
    </row>
    <row r="252">
      <c r="A252" s="21" t="str">
        <f t="shared" si="21"/>
        <v>neutron-proton mass difference energy equivalent in MeV</v>
      </c>
      <c r="B252" s="6" t="s">
        <v>1713</v>
      </c>
      <c r="D252" s="13" t="s">
        <v>1714</v>
      </c>
      <c r="E252" s="13" t="s">
        <v>548</v>
      </c>
      <c r="F252" s="22" t="str">
        <f t="shared" si="18"/>
        <v>Neutron-ProtonMassDifferenceEnergyEquivalentInMev</v>
      </c>
      <c r="G252" s="6" t="s">
        <v>1715</v>
      </c>
      <c r="H252" s="6" t="s">
        <v>1712</v>
      </c>
      <c r="I252" s="6"/>
      <c r="J252" s="6" t="s">
        <v>548</v>
      </c>
      <c r="K252" s="14" t="str">
        <f t="shared" si="3"/>
        <v>https://w3id.org/uom/MeV</v>
      </c>
      <c r="L252" s="13" t="s">
        <v>424</v>
      </c>
      <c r="M252" s="23">
        <f>countif(Quantities!A:A,L252)</f>
        <v>1</v>
      </c>
      <c r="N252" s="24" t="b">
        <f t="shared" si="4"/>
        <v>0</v>
      </c>
      <c r="P252" s="22" t="b">
        <f t="shared" si="5"/>
        <v>0</v>
      </c>
      <c r="Q252" s="22" t="b">
        <f t="shared" si="20"/>
        <v>1</v>
      </c>
      <c r="R252" s="22">
        <f>countif('v2022'!F:F,F252)</f>
        <v>1</v>
      </c>
      <c r="S252" s="22">
        <f>countif('v2018'!F:F,F252)</f>
        <v>1</v>
      </c>
      <c r="T252" s="22">
        <f>countif('v2014'!F:F,F252)</f>
        <v>1</v>
      </c>
      <c r="U252" s="22">
        <f>countif('v2010'!F:F,F252)</f>
        <v>1</v>
      </c>
      <c r="V252" s="22">
        <f>countif('v2006'!F:F,F252)</f>
        <v>0</v>
      </c>
      <c r="W252" s="22">
        <f>countif('v2002'!F:F,F252)</f>
        <v>0</v>
      </c>
      <c r="X252" s="22">
        <f>countif('v1998'!F:F,F252)</f>
        <v>0</v>
      </c>
    </row>
    <row r="253">
      <c r="A253" s="21" t="str">
        <f t="shared" si="21"/>
        <v>neutron-proton mass difference in u</v>
      </c>
      <c r="B253" s="6" t="s">
        <v>1716</v>
      </c>
      <c r="D253" s="13" t="s">
        <v>1717</v>
      </c>
      <c r="E253" s="13" t="s">
        <v>553</v>
      </c>
      <c r="F253" s="22" t="str">
        <f t="shared" si="18"/>
        <v>Neutron-ProtonMassDifferenceInU</v>
      </c>
      <c r="G253" s="6" t="s">
        <v>1717</v>
      </c>
      <c r="H253" s="6" t="s">
        <v>1708</v>
      </c>
      <c r="I253" s="6"/>
      <c r="J253" s="6" t="s">
        <v>553</v>
      </c>
      <c r="K253" s="14" t="str">
        <f t="shared" si="3"/>
        <v>https://w3id.org/uom/u</v>
      </c>
      <c r="L253" s="13" t="s">
        <v>424</v>
      </c>
      <c r="M253" s="23">
        <f>countif(Quantities!A:A,L253)</f>
        <v>1</v>
      </c>
      <c r="N253" s="24" t="b">
        <f t="shared" si="4"/>
        <v>0</v>
      </c>
      <c r="P253" s="22" t="b">
        <f t="shared" si="5"/>
        <v>0</v>
      </c>
      <c r="Q253" s="22" t="b">
        <f t="shared" si="20"/>
        <v>1</v>
      </c>
      <c r="R253" s="22">
        <f>countif('v2022'!F:F,F253)</f>
        <v>1</v>
      </c>
      <c r="S253" s="22">
        <f>countif('v2018'!F:F,F253)</f>
        <v>1</v>
      </c>
      <c r="T253" s="22">
        <f>countif('v2014'!F:F,F253)</f>
        <v>1</v>
      </c>
      <c r="U253" s="22">
        <f>countif('v2010'!F:F,F253)</f>
        <v>1</v>
      </c>
      <c r="V253" s="22">
        <f>countif('v2006'!F:F,F253)</f>
        <v>0</v>
      </c>
      <c r="W253" s="22">
        <f>countif('v2002'!F:F,F253)</f>
        <v>0</v>
      </c>
      <c r="X253" s="22">
        <f>countif('v1998'!F:F,F253)</f>
        <v>0</v>
      </c>
    </row>
    <row r="254">
      <c r="A254" s="21" t="str">
        <f t="shared" si="21"/>
        <v>neutron-proton mass ratio</v>
      </c>
      <c r="B254" s="6" t="s">
        <v>1718</v>
      </c>
      <c r="D254" s="13" t="s">
        <v>1719</v>
      </c>
      <c r="F254" s="22" t="str">
        <f t="shared" si="18"/>
        <v>NeutronProtonMassRatio</v>
      </c>
      <c r="G254" s="6" t="s">
        <v>1720</v>
      </c>
      <c r="H254" s="6" t="s">
        <v>1721</v>
      </c>
      <c r="I254" s="6"/>
      <c r="J254" s="6"/>
      <c r="K254" s="13" t="str">
        <f t="shared" si="3"/>
        <v/>
      </c>
      <c r="L254" s="13" t="s">
        <v>425</v>
      </c>
      <c r="M254" s="23">
        <f>countif(Quantities!A:A,L254)</f>
        <v>1</v>
      </c>
      <c r="N254" s="24" t="b">
        <f t="shared" si="4"/>
        <v>1</v>
      </c>
      <c r="O254" s="6" t="s">
        <v>1722</v>
      </c>
      <c r="P254" s="22" t="b">
        <f t="shared" si="5"/>
        <v>1</v>
      </c>
      <c r="Q254" s="22" t="b">
        <f t="shared" si="20"/>
        <v>1</v>
      </c>
      <c r="R254" s="22">
        <f>countif('v2022'!F:F,F254)</f>
        <v>1</v>
      </c>
      <c r="S254" s="22">
        <f>countif('v2018'!F:F,F254)</f>
        <v>1</v>
      </c>
      <c r="T254" s="22">
        <f>countif('v2014'!F:F,F254)</f>
        <v>1</v>
      </c>
      <c r="U254" s="22">
        <f>countif('v2010'!F:F,F254)</f>
        <v>1</v>
      </c>
      <c r="V254" s="22">
        <f>countif('v2006'!F:F,F254)</f>
        <v>1</v>
      </c>
      <c r="W254" s="22">
        <f>countif('v2002'!F:F,F254)</f>
        <v>1</v>
      </c>
      <c r="X254" s="22">
        <f>countif('v1998'!F:F,F254)</f>
        <v>1</v>
      </c>
    </row>
    <row r="255">
      <c r="A255" s="21" t="str">
        <f t="shared" si="21"/>
        <v>neutron relative atomic mass</v>
      </c>
      <c r="B255" s="6" t="s">
        <v>1723</v>
      </c>
      <c r="C255" s="6"/>
      <c r="D255" s="13" t="s">
        <v>1724</v>
      </c>
      <c r="F255" s="22" t="str">
        <f t="shared" si="18"/>
        <v>NeutronRelativeAtomicMass</v>
      </c>
      <c r="G255" s="6" t="s">
        <v>1724</v>
      </c>
      <c r="H255" s="6" t="s">
        <v>1725</v>
      </c>
      <c r="K255" s="13" t="str">
        <f t="shared" si="3"/>
        <v/>
      </c>
      <c r="L255" s="13" t="s">
        <v>426</v>
      </c>
      <c r="M255" s="23">
        <f>countif(Quantities!A:A,L255)</f>
        <v>1</v>
      </c>
      <c r="N255" s="24" t="b">
        <f t="shared" si="4"/>
        <v>1</v>
      </c>
      <c r="P255" s="22" t="b">
        <f t="shared" si="5"/>
        <v>0</v>
      </c>
      <c r="Q255" s="22" t="b">
        <f t="shared" si="20"/>
        <v>1</v>
      </c>
      <c r="R255" s="22">
        <f>countif('v2022'!F:F,F255)</f>
        <v>1</v>
      </c>
      <c r="S255" s="22">
        <f>countif('v2018'!F:F,F255)</f>
        <v>1</v>
      </c>
      <c r="T255" s="22">
        <f>countif('v2014'!F:F,F255)</f>
        <v>0</v>
      </c>
      <c r="U255" s="22">
        <f>countif('v2010'!F:F,F255)</f>
        <v>0</v>
      </c>
      <c r="V255" s="22">
        <f>countif('v2006'!F:F,F255)</f>
        <v>0</v>
      </c>
      <c r="W255" s="22">
        <f>countif('v2002'!F:F,F255)</f>
        <v>0</v>
      </c>
      <c r="X255" s="22">
        <f>countif('v1998'!F:F,F255)</f>
        <v>0</v>
      </c>
    </row>
    <row r="256">
      <c r="A256" s="21" t="str">
        <f t="shared" si="21"/>
        <v>neutron-tau mass ratio</v>
      </c>
      <c r="B256" s="6" t="s">
        <v>1726</v>
      </c>
      <c r="D256" s="13" t="s">
        <v>1727</v>
      </c>
      <c r="F256" s="22" t="str">
        <f t="shared" si="18"/>
        <v>NeutronTauMassRatio</v>
      </c>
      <c r="G256" s="6" t="s">
        <v>1728</v>
      </c>
      <c r="H256" s="6" t="s">
        <v>1729</v>
      </c>
      <c r="I256" s="6"/>
      <c r="J256" s="6"/>
      <c r="K256" s="13" t="str">
        <f t="shared" si="3"/>
        <v/>
      </c>
      <c r="L256" s="13" t="s">
        <v>427</v>
      </c>
      <c r="M256" s="23">
        <f>countif(Quantities!A:A,L256)</f>
        <v>1</v>
      </c>
      <c r="N256" s="24" t="b">
        <f t="shared" si="4"/>
        <v>1</v>
      </c>
      <c r="O256" s="6" t="s">
        <v>1730</v>
      </c>
      <c r="P256" s="22" t="b">
        <f t="shared" si="5"/>
        <v>1</v>
      </c>
      <c r="Q256" s="22" t="b">
        <f t="shared" si="20"/>
        <v>1</v>
      </c>
      <c r="R256" s="22">
        <f>countif('v2022'!F:F,F256)</f>
        <v>1</v>
      </c>
      <c r="S256" s="22">
        <f>countif('v2018'!F:F,F256)</f>
        <v>1</v>
      </c>
      <c r="T256" s="22">
        <f>countif('v2014'!F:F,F256)</f>
        <v>1</v>
      </c>
      <c r="U256" s="22">
        <f>countif('v2010'!F:F,F256)</f>
        <v>1</v>
      </c>
      <c r="V256" s="22">
        <f>countif('v2006'!F:F,F256)</f>
        <v>1</v>
      </c>
      <c r="W256" s="22">
        <f>countif('v2002'!F:F,F256)</f>
        <v>1</v>
      </c>
      <c r="X256" s="22">
        <f>countif('v1998'!F:F,F256)</f>
        <v>1</v>
      </c>
    </row>
    <row r="257">
      <c r="A257" s="21" t="str">
        <f t="shared" si="21"/>
        <v>neutron to shielded proton mag. mom. ratio</v>
      </c>
      <c r="B257" s="6" t="s">
        <v>1731</v>
      </c>
      <c r="D257" s="13" t="s">
        <v>1732</v>
      </c>
      <c r="F257" s="22" t="str">
        <f t="shared" si="18"/>
        <v>NeutronToShieldedProtonMagneticMomentRatio</v>
      </c>
      <c r="G257" s="6" t="s">
        <v>1733</v>
      </c>
      <c r="H257" s="6" t="s">
        <v>1734</v>
      </c>
      <c r="I257" s="6"/>
      <c r="J257" s="6"/>
      <c r="K257" s="13" t="str">
        <f t="shared" si="3"/>
        <v/>
      </c>
      <c r="L257" s="13" t="s">
        <v>428</v>
      </c>
      <c r="M257" s="23">
        <f>countif(Quantities!A:A,L257)</f>
        <v>1</v>
      </c>
      <c r="N257" s="24" t="b">
        <f t="shared" si="4"/>
        <v>1</v>
      </c>
      <c r="O257" s="6" t="s">
        <v>1735</v>
      </c>
      <c r="P257" s="22" t="b">
        <f t="shared" si="5"/>
        <v>1</v>
      </c>
      <c r="Q257" s="22" t="b">
        <f t="shared" si="20"/>
        <v>1</v>
      </c>
      <c r="R257" s="22">
        <f>countif('v2022'!F:F,F257)</f>
        <v>1</v>
      </c>
      <c r="S257" s="22">
        <f>countif('v2018'!F:F,F257)</f>
        <v>1</v>
      </c>
      <c r="T257" s="22">
        <f>countif('v2014'!F:F,F257)</f>
        <v>1</v>
      </c>
      <c r="U257" s="22">
        <f>countif('v2010'!F:F,F257)</f>
        <v>1</v>
      </c>
      <c r="V257" s="22">
        <f>countif('v2006'!F:F,F257)</f>
        <v>1</v>
      </c>
      <c r="W257" s="22">
        <f>countif('v2002'!F:F,F257)</f>
        <v>1</v>
      </c>
      <c r="X257" s="22">
        <f>countif('v1998'!F:F,F257)</f>
        <v>1</v>
      </c>
    </row>
    <row r="258">
      <c r="A258" s="21" t="str">
        <f t="shared" si="21"/>
        <v>Newtonian constant of gravitation</v>
      </c>
      <c r="B258" s="6" t="s">
        <v>1736</v>
      </c>
      <c r="C258" s="6"/>
      <c r="D258" s="13" t="s">
        <v>1737</v>
      </c>
      <c r="E258" s="13" t="s">
        <v>1738</v>
      </c>
      <c r="F258" s="22" t="str">
        <f t="shared" si="18"/>
        <v>NewtonianConstantOfGravitation</v>
      </c>
      <c r="G258" s="6" t="s">
        <v>1737</v>
      </c>
      <c r="H258" s="6" t="s">
        <v>1739</v>
      </c>
      <c r="I258" s="6" t="s">
        <v>1740</v>
      </c>
      <c r="J258" s="6" t="s">
        <v>1741</v>
      </c>
      <c r="K258" s="14" t="str">
        <f t="shared" si="3"/>
        <v>https://w3id.org/uom/m3.kg-1.s-2</v>
      </c>
      <c r="L258" s="13" t="s">
        <v>429</v>
      </c>
      <c r="M258" s="23">
        <f>countif(Quantities!A:A,L258)</f>
        <v>1</v>
      </c>
      <c r="N258" s="24" t="b">
        <f t="shared" si="4"/>
        <v>1</v>
      </c>
      <c r="O258" s="6" t="s">
        <v>1742</v>
      </c>
      <c r="P258" s="22" t="b">
        <f t="shared" si="5"/>
        <v>1</v>
      </c>
      <c r="Q258" s="22" t="b">
        <f t="shared" si="20"/>
        <v>1</v>
      </c>
      <c r="R258" s="22">
        <f>countif('v2022'!F:F,F258)</f>
        <v>1</v>
      </c>
      <c r="S258" s="22">
        <f>countif('v2018'!F:F,F258)</f>
        <v>1</v>
      </c>
      <c r="T258" s="22">
        <f>countif('v2014'!F:F,F258)</f>
        <v>1</v>
      </c>
      <c r="U258" s="22">
        <f>countif('v2010'!F:F,F258)</f>
        <v>1</v>
      </c>
      <c r="V258" s="22">
        <f>countif('v2006'!F:F,F258)</f>
        <v>1</v>
      </c>
      <c r="W258" s="22">
        <f>countif('v2002'!F:F,F258)</f>
        <v>1</v>
      </c>
      <c r="X258" s="22">
        <f>countif('v1998'!F:F,F258)</f>
        <v>1</v>
      </c>
    </row>
    <row r="259">
      <c r="A259" s="21" t="str">
        <f t="shared" si="21"/>
        <v>Newtonian constant of gravitation over h-bar c</v>
      </c>
      <c r="B259" s="6" t="s">
        <v>1743</v>
      </c>
      <c r="C259" s="6"/>
      <c r="D259" s="13" t="s">
        <v>1744</v>
      </c>
      <c r="E259" s="13" t="s">
        <v>1745</v>
      </c>
      <c r="F259" s="6" t="s">
        <v>1746</v>
      </c>
      <c r="G259" s="6" t="s">
        <v>1744</v>
      </c>
      <c r="H259" s="6" t="s">
        <v>1747</v>
      </c>
      <c r="I259" s="6"/>
      <c r="J259" s="6" t="s">
        <v>1748</v>
      </c>
      <c r="K259" s="14" t="str">
        <f t="shared" si="3"/>
        <v>https://w3id.org/uom/GeV-2.[c]4</v>
      </c>
      <c r="L259" s="6" t="s">
        <v>429</v>
      </c>
      <c r="M259" s="23">
        <f>countif(Quantities!A:A,L259)</f>
        <v>1</v>
      </c>
      <c r="N259" s="24" t="b">
        <f t="shared" si="4"/>
        <v>0</v>
      </c>
      <c r="P259" s="22" t="b">
        <f t="shared" si="5"/>
        <v>0</v>
      </c>
      <c r="Q259" s="22" t="b">
        <f t="shared" si="20"/>
        <v>1</v>
      </c>
      <c r="R259" s="22">
        <f>countif('v2022'!F:F,F259)</f>
        <v>1</v>
      </c>
      <c r="S259" s="22">
        <f>countif('v2018'!F:F,F259)</f>
        <v>1</v>
      </c>
      <c r="T259" s="22">
        <f>countif('v2014'!F:F,F259)</f>
        <v>1</v>
      </c>
      <c r="U259" s="22">
        <f>countif('v2010'!F:F,F259)</f>
        <v>1</v>
      </c>
      <c r="V259" s="22">
        <f>countif('v2006'!F:F,F259)</f>
        <v>1</v>
      </c>
      <c r="W259" s="22">
        <f>countif('v2002'!F:F,F259)</f>
        <v>1</v>
      </c>
      <c r="X259" s="22">
        <f>countif('v1998'!F:F,F259)</f>
        <v>1</v>
      </c>
    </row>
    <row r="260">
      <c r="A260" s="21" t="str">
        <f t="shared" si="21"/>
        <v>nuclear magneton</v>
      </c>
      <c r="B260" s="6" t="s">
        <v>1749</v>
      </c>
      <c r="D260" s="13" t="s">
        <v>1750</v>
      </c>
      <c r="E260" s="13" t="s">
        <v>714</v>
      </c>
      <c r="F260" s="22" t="str">
        <f t="shared" ref="F260:F280" si="22">if(isblank(O260),concatenate(substitute(proper(D260)," ","")),SUBSTITUTE(O260,"constant:",""))</f>
        <v>NuclearMagneton</v>
      </c>
      <c r="G260" s="6" t="s">
        <v>1750</v>
      </c>
      <c r="H260" s="6" t="s">
        <v>1751</v>
      </c>
      <c r="I260" s="6"/>
      <c r="J260" s="6" t="s">
        <v>717</v>
      </c>
      <c r="K260" s="14" t="str">
        <f t="shared" si="3"/>
        <v>https://w3id.org/uom/J.T-1</v>
      </c>
      <c r="L260" s="13" t="s">
        <v>430</v>
      </c>
      <c r="M260" s="23">
        <f>countif(Quantities!A:A,L260)</f>
        <v>1</v>
      </c>
      <c r="N260" s="24" t="b">
        <f t="shared" si="4"/>
        <v>1</v>
      </c>
      <c r="O260" s="6" t="s">
        <v>1752</v>
      </c>
      <c r="P260" s="22" t="b">
        <f t="shared" si="5"/>
        <v>1</v>
      </c>
      <c r="Q260" s="22" t="b">
        <f t="shared" si="20"/>
        <v>1</v>
      </c>
      <c r="R260" s="22">
        <f>countif('v2022'!F:F,F260)</f>
        <v>1</v>
      </c>
      <c r="S260" s="22">
        <f>countif('v2018'!F:F,F260)</f>
        <v>1</v>
      </c>
      <c r="T260" s="22">
        <f>countif('v2014'!F:F,F260)</f>
        <v>1</v>
      </c>
      <c r="U260" s="22">
        <f>countif('v2010'!F:F,F260)</f>
        <v>1</v>
      </c>
      <c r="V260" s="22">
        <f>countif('v2006'!F:F,F260)</f>
        <v>1</v>
      </c>
      <c r="W260" s="22">
        <f>countif('v2002'!F:F,F260)</f>
        <v>1</v>
      </c>
      <c r="X260" s="22">
        <f>countif('v1998'!F:F,F260)</f>
        <v>1</v>
      </c>
    </row>
    <row r="261">
      <c r="A261" s="21" t="str">
        <f t="shared" si="21"/>
        <v>nuclear magneton in eV/T</v>
      </c>
      <c r="B261" s="6" t="s">
        <v>1753</v>
      </c>
      <c r="D261" s="13" t="s">
        <v>1754</v>
      </c>
      <c r="E261" s="13" t="s">
        <v>769</v>
      </c>
      <c r="F261" s="22" t="str">
        <f t="shared" si="22"/>
        <v>NuclearMagnetonInEVPerT</v>
      </c>
      <c r="G261" s="6" t="s">
        <v>1754</v>
      </c>
      <c r="H261" s="6" t="s">
        <v>1751</v>
      </c>
      <c r="I261" s="6"/>
      <c r="J261" s="6" t="s">
        <v>770</v>
      </c>
      <c r="K261" s="14" t="str">
        <f t="shared" si="3"/>
        <v>https://w3id.org/uom/eV.T-1</v>
      </c>
      <c r="L261" s="6" t="s">
        <v>430</v>
      </c>
      <c r="M261" s="23">
        <f>countif(Quantities!A:A,L261)</f>
        <v>1</v>
      </c>
      <c r="N261" s="24" t="b">
        <f t="shared" si="4"/>
        <v>0</v>
      </c>
      <c r="O261" s="6" t="s">
        <v>1755</v>
      </c>
      <c r="P261" s="22" t="b">
        <f t="shared" si="5"/>
        <v>1</v>
      </c>
      <c r="Q261" s="22" t="b">
        <f t="shared" si="20"/>
        <v>1</v>
      </c>
      <c r="R261" s="22">
        <f>countif('v2022'!F:F,F261)</f>
        <v>1</v>
      </c>
      <c r="S261" s="22">
        <f>countif('v2018'!F:F,F261)</f>
        <v>1</v>
      </c>
      <c r="T261" s="22">
        <f>countif('v2014'!F:F,F261)</f>
        <v>1</v>
      </c>
      <c r="U261" s="22">
        <f>countif('v2010'!F:F,F261)</f>
        <v>1</v>
      </c>
      <c r="V261" s="22">
        <f>countif('v2006'!F:F,F261)</f>
        <v>1</v>
      </c>
      <c r="W261" s="22">
        <f>countif('v2002'!F:F,F261)</f>
        <v>1</v>
      </c>
      <c r="X261" s="22">
        <f>countif('v1998'!F:F,F261)</f>
        <v>1</v>
      </c>
    </row>
    <row r="262">
      <c r="A262" s="21" t="str">
        <f t="shared" si="21"/>
        <v>nuclear magneton in inverse meter per tesla</v>
      </c>
      <c r="B262" s="6" t="s">
        <v>1756</v>
      </c>
      <c r="D262" s="13" t="s">
        <v>1757</v>
      </c>
      <c r="E262" s="13" t="s">
        <v>779</v>
      </c>
      <c r="F262" s="22" t="str">
        <f t="shared" si="22"/>
        <v>NuclearMagnetonInInverseMetersPerTesla</v>
      </c>
      <c r="G262" s="6" t="s">
        <v>1757</v>
      </c>
      <c r="H262" s="6" t="s">
        <v>1751</v>
      </c>
      <c r="I262" s="6"/>
      <c r="J262" s="6" t="s">
        <v>780</v>
      </c>
      <c r="K262" s="14" t="str">
        <f t="shared" si="3"/>
        <v>https://w3id.org/uom/m-1.T-1</v>
      </c>
      <c r="L262" s="6" t="s">
        <v>430</v>
      </c>
      <c r="M262" s="23">
        <f>countif(Quantities!A:A,L262)</f>
        <v>1</v>
      </c>
      <c r="N262" s="24" t="b">
        <f t="shared" si="4"/>
        <v>0</v>
      </c>
      <c r="O262" s="6" t="s">
        <v>1758</v>
      </c>
      <c r="P262" s="22" t="b">
        <f t="shared" si="5"/>
        <v>1</v>
      </c>
      <c r="Q262" s="22" t="b">
        <f t="shared" si="20"/>
        <v>1</v>
      </c>
      <c r="R262" s="22">
        <f>countif('v2022'!F:F,F262)</f>
        <v>1</v>
      </c>
      <c r="S262" s="22">
        <f>countif('v2018'!F:F,F262)</f>
        <v>1</v>
      </c>
      <c r="T262" s="22">
        <f>countif('v2014'!F:F,F262)</f>
        <v>1</v>
      </c>
      <c r="U262" s="22">
        <f>countif('v2010'!F:F,F262)</f>
        <v>1</v>
      </c>
      <c r="V262" s="22">
        <f>countif('v2006'!F:F,F262)</f>
        <v>1</v>
      </c>
      <c r="W262" s="22">
        <f>countif('v2002'!F:F,F262)</f>
        <v>1</v>
      </c>
      <c r="X262" s="22">
        <f>countif('v1998'!F:F,F262)</f>
        <v>1</v>
      </c>
    </row>
    <row r="263">
      <c r="A263" s="21" t="str">
        <f t="shared" si="21"/>
        <v>nuclear magneton in K/T</v>
      </c>
      <c r="B263" s="6" t="s">
        <v>1759</v>
      </c>
      <c r="D263" s="13" t="s">
        <v>1760</v>
      </c>
      <c r="E263" s="13" t="s">
        <v>784</v>
      </c>
      <c r="F263" s="22" t="str">
        <f t="shared" si="22"/>
        <v>NuclearMagnetonInKPerT</v>
      </c>
      <c r="G263" s="6" t="s">
        <v>1760</v>
      </c>
      <c r="H263" s="6" t="s">
        <v>1751</v>
      </c>
      <c r="I263" s="6"/>
      <c r="J263" s="6" t="s">
        <v>785</v>
      </c>
      <c r="K263" s="14" t="str">
        <f t="shared" si="3"/>
        <v>https://w3id.org/uom/K.T-1</v>
      </c>
      <c r="L263" s="13" t="s">
        <v>430</v>
      </c>
      <c r="M263" s="23">
        <f>countif(Quantities!A:A,L263)</f>
        <v>1</v>
      </c>
      <c r="N263" s="24" t="b">
        <f t="shared" si="4"/>
        <v>0</v>
      </c>
      <c r="O263" s="6" t="s">
        <v>1761</v>
      </c>
      <c r="P263" s="22" t="b">
        <f t="shared" si="5"/>
        <v>1</v>
      </c>
      <c r="Q263" s="22" t="b">
        <f t="shared" si="20"/>
        <v>1</v>
      </c>
      <c r="R263" s="22">
        <f>countif('v2022'!F:F,F263)</f>
        <v>1</v>
      </c>
      <c r="S263" s="22">
        <f>countif('v2018'!F:F,F263)</f>
        <v>1</v>
      </c>
      <c r="T263" s="22">
        <f>countif('v2014'!F:F,F263)</f>
        <v>1</v>
      </c>
      <c r="U263" s="22">
        <f>countif('v2010'!F:F,F263)</f>
        <v>1</v>
      </c>
      <c r="V263" s="22">
        <f>countif('v2006'!F:F,F263)</f>
        <v>1</v>
      </c>
      <c r="W263" s="22">
        <f>countif('v2002'!F:F,F263)</f>
        <v>1</v>
      </c>
      <c r="X263" s="22">
        <f>countif('v1998'!F:F,F263)</f>
        <v>1</v>
      </c>
    </row>
    <row r="264">
      <c r="A264" s="21" t="str">
        <f t="shared" si="21"/>
        <v>nuclear magneton in MHz/T</v>
      </c>
      <c r="B264" s="6" t="s">
        <v>1762</v>
      </c>
      <c r="D264" s="13" t="s">
        <v>1763</v>
      </c>
      <c r="E264" s="13" t="s">
        <v>969</v>
      </c>
      <c r="F264" s="22" t="str">
        <f t="shared" si="22"/>
        <v>NuclearMagnetonInMHzPerT</v>
      </c>
      <c r="G264" s="6" t="s">
        <v>1763</v>
      </c>
      <c r="H264" s="6" t="s">
        <v>1751</v>
      </c>
      <c r="I264" s="6"/>
      <c r="J264" s="6" t="s">
        <v>1764</v>
      </c>
      <c r="K264" s="14" t="str">
        <f t="shared" si="3"/>
        <v>https://w3id.org/uom/Mhz.T-1</v>
      </c>
      <c r="L264" s="13" t="s">
        <v>430</v>
      </c>
      <c r="M264" s="23">
        <f>countif(Quantities!A:A,L264)</f>
        <v>1</v>
      </c>
      <c r="N264" s="24" t="b">
        <f t="shared" si="4"/>
        <v>0</v>
      </c>
      <c r="O264" s="6" t="s">
        <v>1765</v>
      </c>
      <c r="P264" s="22" t="b">
        <f t="shared" si="5"/>
        <v>1</v>
      </c>
      <c r="Q264" s="22" t="b">
        <f t="shared" si="20"/>
        <v>1</v>
      </c>
      <c r="R264" s="22">
        <f>countif('v2022'!F:F,F264)</f>
        <v>1</v>
      </c>
      <c r="S264" s="22">
        <f>countif('v2018'!F:F,F264)</f>
        <v>1</v>
      </c>
      <c r="T264" s="22">
        <f>countif('v2014'!F:F,F264)</f>
        <v>1</v>
      </c>
      <c r="U264" s="22">
        <f>countif('v2010'!F:F,F264)</f>
        <v>1</v>
      </c>
      <c r="V264" s="22">
        <f>countif('v2006'!F:F,F264)</f>
        <v>1</v>
      </c>
      <c r="W264" s="22">
        <f>countif('v2002'!F:F,F264)</f>
        <v>1</v>
      </c>
      <c r="X264" s="22">
        <f>countif('v1998'!F:F,F264)</f>
        <v>1</v>
      </c>
    </row>
    <row r="265">
      <c r="A265" s="21" t="str">
        <f t="shared" si="21"/>
        <v>Planck constant</v>
      </c>
      <c r="B265" s="6" t="s">
        <v>209</v>
      </c>
      <c r="D265" s="13" t="s">
        <v>1766</v>
      </c>
      <c r="E265" s="13" t="s">
        <v>1767</v>
      </c>
      <c r="F265" s="22" t="str">
        <f t="shared" si="22"/>
        <v>PlanckConstant</v>
      </c>
      <c r="G265" s="6" t="s">
        <v>1766</v>
      </c>
      <c r="H265" s="6" t="s">
        <v>1768</v>
      </c>
      <c r="I265" s="6"/>
      <c r="J265" s="6" t="s">
        <v>1769</v>
      </c>
      <c r="K265" s="14" t="str">
        <f t="shared" si="3"/>
        <v>https://w3id.org/uom/J.Hz-1</v>
      </c>
      <c r="L265" s="13" t="s">
        <v>208</v>
      </c>
      <c r="M265" s="23">
        <f>countif(Quantities!A:A,L265)</f>
        <v>1</v>
      </c>
      <c r="N265" s="24" t="b">
        <f t="shared" si="4"/>
        <v>1</v>
      </c>
      <c r="O265" s="6" t="s">
        <v>1770</v>
      </c>
      <c r="P265" s="22" t="b">
        <f t="shared" si="5"/>
        <v>1</v>
      </c>
      <c r="Q265" s="22" t="b">
        <f t="shared" si="20"/>
        <v>1</v>
      </c>
      <c r="R265" s="22">
        <f>countif('v2022'!F:F,F265)</f>
        <v>1</v>
      </c>
      <c r="S265" s="22">
        <f>countif('v2018'!F:F,F265)</f>
        <v>1</v>
      </c>
      <c r="T265" s="22">
        <f>countif('v2014'!F:F,F265)</f>
        <v>1</v>
      </c>
      <c r="U265" s="22">
        <f>countif('v2010'!F:F,F265)</f>
        <v>1</v>
      </c>
      <c r="V265" s="22">
        <f>countif('v2006'!F:F,F265)</f>
        <v>1</v>
      </c>
      <c r="W265" s="22">
        <f>countif('v2002'!F:F,F265)</f>
        <v>1</v>
      </c>
      <c r="X265" s="22">
        <f>countif('v1998'!F:F,F265)</f>
        <v>1</v>
      </c>
    </row>
    <row r="266">
      <c r="A266" s="21" t="str">
        <f t="shared" si="21"/>
        <v>Planck constant in eV/Hz</v>
      </c>
      <c r="B266" s="6" t="s">
        <v>1771</v>
      </c>
      <c r="D266" s="13" t="s">
        <v>1772</v>
      </c>
      <c r="E266" s="13" t="s">
        <v>1773</v>
      </c>
      <c r="F266" s="22" t="str">
        <f t="shared" si="22"/>
        <v>PlanckConstantInEVS</v>
      </c>
      <c r="G266" s="6" t="s">
        <v>1772</v>
      </c>
      <c r="H266" s="6" t="s">
        <v>1768</v>
      </c>
      <c r="I266" s="6"/>
      <c r="J266" s="6" t="s">
        <v>1774</v>
      </c>
      <c r="K266" s="14" t="str">
        <f t="shared" si="3"/>
        <v>https://w3id.org/uom/eV.Hz-1</v>
      </c>
      <c r="L266" s="6" t="s">
        <v>208</v>
      </c>
      <c r="M266" s="23">
        <f>countif(Quantities!A:A,L266)</f>
        <v>1</v>
      </c>
      <c r="N266" s="24" t="b">
        <f t="shared" si="4"/>
        <v>0</v>
      </c>
      <c r="O266" s="6" t="s">
        <v>1775</v>
      </c>
      <c r="P266" s="22" t="b">
        <f t="shared" si="5"/>
        <v>1</v>
      </c>
      <c r="Q266" s="22" t="b">
        <f t="shared" si="20"/>
        <v>1</v>
      </c>
      <c r="R266" s="22">
        <f>countif('v2022'!F:F,F266)</f>
        <v>1</v>
      </c>
      <c r="S266" s="22">
        <f>countif('v2018'!F:F,F266)</f>
        <v>1</v>
      </c>
      <c r="T266" s="22">
        <f>countif('v2014'!F:F,F266)</f>
        <v>1</v>
      </c>
      <c r="U266" s="22">
        <f>countif('v2010'!F:F,F266)</f>
        <v>1</v>
      </c>
      <c r="V266" s="22">
        <f>countif('v2006'!F:F,F266)</f>
        <v>1</v>
      </c>
      <c r="W266" s="22">
        <f>countif('v2002'!F:F,F266)</f>
        <v>1</v>
      </c>
      <c r="X266" s="22">
        <f>countif('v1998'!F:F,F266)</f>
        <v>1</v>
      </c>
    </row>
    <row r="267">
      <c r="A267" s="21" t="str">
        <f t="shared" si="21"/>
        <v>Planck length</v>
      </c>
      <c r="B267" s="6" t="s">
        <v>1776</v>
      </c>
      <c r="D267" s="13" t="s">
        <v>1777</v>
      </c>
      <c r="E267" s="13" t="s">
        <v>571</v>
      </c>
      <c r="F267" s="22" t="str">
        <f t="shared" si="22"/>
        <v>PlanckLength</v>
      </c>
      <c r="G267" s="6" t="s">
        <v>1777</v>
      </c>
      <c r="H267" s="6" t="s">
        <v>1778</v>
      </c>
      <c r="I267" s="6"/>
      <c r="J267" s="6" t="s">
        <v>571</v>
      </c>
      <c r="K267" s="14" t="str">
        <f t="shared" si="3"/>
        <v>https://w3id.org/uom/m</v>
      </c>
      <c r="L267" s="13" t="s">
        <v>431</v>
      </c>
      <c r="M267" s="23">
        <f>countif(Quantities!A:A,L267)</f>
        <v>1</v>
      </c>
      <c r="N267" s="24" t="b">
        <f t="shared" si="4"/>
        <v>1</v>
      </c>
      <c r="O267" s="6" t="s">
        <v>1779</v>
      </c>
      <c r="P267" s="22" t="b">
        <f t="shared" si="5"/>
        <v>1</v>
      </c>
      <c r="Q267" s="22" t="b">
        <f>sum(S267:X267)&gt;0</f>
        <v>1</v>
      </c>
      <c r="R267" s="22">
        <f>countif('v2022'!F:F,F267)</f>
        <v>1</v>
      </c>
      <c r="S267" s="22">
        <f>countif('v2018'!F:F,F267)</f>
        <v>1</v>
      </c>
      <c r="T267" s="22">
        <f>countif('v2014'!F:F,F267)</f>
        <v>1</v>
      </c>
      <c r="U267" s="22">
        <f>countif('v2010'!F:F,F267)</f>
        <v>1</v>
      </c>
      <c r="V267" s="22">
        <f>countif('v2006'!F:F,F267)</f>
        <v>1</v>
      </c>
      <c r="W267" s="22">
        <f>countif('v2002'!F:F,F267)</f>
        <v>1</v>
      </c>
      <c r="X267" s="22">
        <f>countif('v1998'!F:F,F267)</f>
        <v>1</v>
      </c>
    </row>
    <row r="268">
      <c r="A268" s="21" t="str">
        <f t="shared" si="21"/>
        <v>Planck mass</v>
      </c>
      <c r="B268" s="6" t="s">
        <v>1780</v>
      </c>
      <c r="D268" s="13" t="s">
        <v>1781</v>
      </c>
      <c r="E268" s="13" t="s">
        <v>538</v>
      </c>
      <c r="F268" s="22" t="str">
        <f t="shared" si="22"/>
        <v>PlanckMass</v>
      </c>
      <c r="G268" s="6" t="s">
        <v>1781</v>
      </c>
      <c r="H268" s="6" t="s">
        <v>1782</v>
      </c>
      <c r="I268" s="6"/>
      <c r="J268" s="6" t="s">
        <v>538</v>
      </c>
      <c r="K268" s="14" t="str">
        <f t="shared" si="3"/>
        <v>https://w3id.org/uom/kg</v>
      </c>
      <c r="L268" s="13" t="s">
        <v>432</v>
      </c>
      <c r="M268" s="23">
        <f>countif(Quantities!A:A,L268)</f>
        <v>1</v>
      </c>
      <c r="N268" s="24" t="b">
        <f t="shared" si="4"/>
        <v>1</v>
      </c>
      <c r="O268" s="6" t="s">
        <v>1783</v>
      </c>
      <c r="P268" s="22" t="b">
        <f t="shared" si="5"/>
        <v>1</v>
      </c>
      <c r="Q268" s="22" t="b">
        <f t="shared" ref="Q268:Q273" si="23">sum(S267:X268)&gt;0</f>
        <v>1</v>
      </c>
      <c r="R268" s="22">
        <f>countif('v2022'!F:F,F268)</f>
        <v>1</v>
      </c>
      <c r="S268" s="22">
        <f>countif('v2018'!F:F,F268)</f>
        <v>1</v>
      </c>
      <c r="T268" s="22">
        <f>countif('v2014'!F:F,F268)</f>
        <v>1</v>
      </c>
      <c r="U268" s="22">
        <f>countif('v2010'!F:F,F268)</f>
        <v>1</v>
      </c>
      <c r="V268" s="22">
        <f>countif('v2006'!F:F,F268)</f>
        <v>1</v>
      </c>
      <c r="W268" s="22">
        <f>countif('v2002'!F:F,F268)</f>
        <v>1</v>
      </c>
      <c r="X268" s="22">
        <f>countif('v1998'!F:F,F268)</f>
        <v>1</v>
      </c>
    </row>
    <row r="269">
      <c r="A269" s="21" t="str">
        <f t="shared" si="21"/>
        <v>Planck mass energy equivalent in GeV</v>
      </c>
      <c r="B269" s="6" t="s">
        <v>1784</v>
      </c>
      <c r="D269" s="13" t="s">
        <v>1785</v>
      </c>
      <c r="E269" s="13" t="s">
        <v>1786</v>
      </c>
      <c r="F269" s="22" t="str">
        <f t="shared" si="22"/>
        <v>PlanckMassEnergyEquivalentInGeV</v>
      </c>
      <c r="G269" s="6" t="s">
        <v>1785</v>
      </c>
      <c r="H269" s="6" t="s">
        <v>1787</v>
      </c>
      <c r="I269" s="6"/>
      <c r="J269" s="6" t="s">
        <v>1786</v>
      </c>
      <c r="K269" s="14" t="str">
        <f t="shared" si="3"/>
        <v>https://w3id.org/uom/GeV</v>
      </c>
      <c r="L269" s="6" t="s">
        <v>432</v>
      </c>
      <c r="M269" s="23">
        <f>countif(Quantities!A:A,L269)</f>
        <v>1</v>
      </c>
      <c r="N269" s="24" t="b">
        <f t="shared" si="4"/>
        <v>0</v>
      </c>
      <c r="O269" s="6" t="s">
        <v>1788</v>
      </c>
      <c r="P269" s="22" t="b">
        <f t="shared" si="5"/>
        <v>1</v>
      </c>
      <c r="Q269" s="22" t="b">
        <f t="shared" si="23"/>
        <v>1</v>
      </c>
      <c r="R269" s="22">
        <f>countif('v2022'!F:F,F269)</f>
        <v>1</v>
      </c>
      <c r="S269" s="22">
        <f>countif('v2018'!F:F,F269)</f>
        <v>1</v>
      </c>
      <c r="T269" s="22">
        <f>countif('v2014'!F:F,F269)</f>
        <v>1</v>
      </c>
      <c r="U269" s="22">
        <f>countif('v2010'!F:F,F269)</f>
        <v>1</v>
      </c>
      <c r="V269" s="22">
        <f>countif('v2006'!F:F,F269)</f>
        <v>1</v>
      </c>
      <c r="W269" s="22">
        <f>countif('v2002'!F:F,F269)</f>
        <v>0</v>
      </c>
      <c r="X269" s="22">
        <f>countif('v1998'!F:F,F269)</f>
        <v>0</v>
      </c>
    </row>
    <row r="270">
      <c r="A270" s="21" t="str">
        <f t="shared" si="21"/>
        <v>Planck temperature</v>
      </c>
      <c r="B270" s="6" t="s">
        <v>1789</v>
      </c>
      <c r="D270" s="13" t="s">
        <v>1790</v>
      </c>
      <c r="E270" s="13" t="s">
        <v>618</v>
      </c>
      <c r="F270" s="22" t="str">
        <f t="shared" si="22"/>
        <v>PlanckTemperature</v>
      </c>
      <c r="G270" s="6" t="s">
        <v>1790</v>
      </c>
      <c r="H270" s="6" t="s">
        <v>1791</v>
      </c>
      <c r="I270" s="6"/>
      <c r="J270" s="6" t="s">
        <v>1792</v>
      </c>
      <c r="K270" s="14" t="str">
        <f t="shared" si="3"/>
        <v>https://w3id.org/uom/Kg</v>
      </c>
      <c r="L270" s="13" t="s">
        <v>433</v>
      </c>
      <c r="M270" s="23">
        <f>countif(Quantities!A:A,L270)</f>
        <v>1</v>
      </c>
      <c r="N270" s="24" t="b">
        <f t="shared" si="4"/>
        <v>1</v>
      </c>
      <c r="O270" s="6" t="s">
        <v>1793</v>
      </c>
      <c r="P270" s="22" t="b">
        <f t="shared" si="5"/>
        <v>1</v>
      </c>
      <c r="Q270" s="22" t="b">
        <f t="shared" si="23"/>
        <v>1</v>
      </c>
      <c r="R270" s="22">
        <f>countif('v2022'!F:F,F270)</f>
        <v>1</v>
      </c>
      <c r="S270" s="22">
        <f>countif('v2018'!F:F,F270)</f>
        <v>1</v>
      </c>
      <c r="T270" s="22">
        <f>countif('v2014'!F:F,F270)</f>
        <v>1</v>
      </c>
      <c r="U270" s="22">
        <f>countif('v2010'!F:F,F270)</f>
        <v>1</v>
      </c>
      <c r="V270" s="22">
        <f>countif('v2006'!F:F,F270)</f>
        <v>1</v>
      </c>
      <c r="W270" s="22">
        <f>countif('v2002'!F:F,F270)</f>
        <v>1</v>
      </c>
      <c r="X270" s="22">
        <f>countif('v1998'!F:F,F270)</f>
        <v>0</v>
      </c>
    </row>
    <row r="271">
      <c r="A271" s="21" t="str">
        <f t="shared" si="21"/>
        <v>Planck time</v>
      </c>
      <c r="B271" s="6" t="s">
        <v>1794</v>
      </c>
      <c r="D271" s="13" t="s">
        <v>1795</v>
      </c>
      <c r="E271" s="13" t="s">
        <v>749</v>
      </c>
      <c r="F271" s="22" t="str">
        <f t="shared" si="22"/>
        <v>PlanckTime</v>
      </c>
      <c r="G271" s="6" t="s">
        <v>1795</v>
      </c>
      <c r="H271" s="6" t="s">
        <v>1796</v>
      </c>
      <c r="I271" s="6"/>
      <c r="J271" s="6" t="s">
        <v>749</v>
      </c>
      <c r="K271" s="14" t="str">
        <f t="shared" si="3"/>
        <v>https://w3id.org/uom/s</v>
      </c>
      <c r="L271" s="13" t="s">
        <v>434</v>
      </c>
      <c r="M271" s="23">
        <f>countif(Quantities!A:A,L271)</f>
        <v>1</v>
      </c>
      <c r="N271" s="24" t="b">
        <f t="shared" si="4"/>
        <v>1</v>
      </c>
      <c r="O271" s="6" t="s">
        <v>1797</v>
      </c>
      <c r="P271" s="22" t="b">
        <f t="shared" si="5"/>
        <v>1</v>
      </c>
      <c r="Q271" s="22" t="b">
        <f t="shared" si="23"/>
        <v>1</v>
      </c>
      <c r="R271" s="22">
        <f>countif('v2022'!F:F,F271)</f>
        <v>1</v>
      </c>
      <c r="S271" s="22">
        <f>countif('v2018'!F:F,F271)</f>
        <v>1</v>
      </c>
      <c r="T271" s="22">
        <f>countif('v2014'!F:F,F271)</f>
        <v>1</v>
      </c>
      <c r="U271" s="22">
        <f>countif('v2010'!F:F,F271)</f>
        <v>1</v>
      </c>
      <c r="V271" s="22">
        <f>countif('v2006'!F:F,F271)</f>
        <v>1</v>
      </c>
      <c r="W271" s="22">
        <f>countif('v2002'!F:F,F271)</f>
        <v>1</v>
      </c>
      <c r="X271" s="22">
        <f>countif('v1998'!F:F,F271)</f>
        <v>1</v>
      </c>
    </row>
    <row r="272">
      <c r="A272" s="21" t="str">
        <f t="shared" si="21"/>
        <v>proton charge to mass quotient</v>
      </c>
      <c r="B272" s="6" t="s">
        <v>1798</v>
      </c>
      <c r="D272" s="13" t="s">
        <v>1799</v>
      </c>
      <c r="E272" s="13" t="s">
        <v>941</v>
      </c>
      <c r="F272" s="22" t="str">
        <f t="shared" si="22"/>
        <v>ProtonChargeToMassQuotient</v>
      </c>
      <c r="G272" s="6" t="s">
        <v>1799</v>
      </c>
      <c r="H272" s="6" t="s">
        <v>1800</v>
      </c>
      <c r="I272" s="6"/>
      <c r="J272" s="6" t="s">
        <v>943</v>
      </c>
      <c r="K272" s="14" t="str">
        <f t="shared" si="3"/>
        <v>https://w3id.org/uom/C.kg-1</v>
      </c>
      <c r="L272" s="13" t="s">
        <v>435</v>
      </c>
      <c r="M272" s="23">
        <f>countif(Quantities!A:A,L272)</f>
        <v>1</v>
      </c>
      <c r="N272" s="24" t="b">
        <f t="shared" si="4"/>
        <v>1</v>
      </c>
      <c r="O272" s="6" t="s">
        <v>1801</v>
      </c>
      <c r="P272" s="22" t="b">
        <f t="shared" si="5"/>
        <v>1</v>
      </c>
      <c r="Q272" s="22" t="b">
        <f t="shared" si="23"/>
        <v>1</v>
      </c>
      <c r="R272" s="22">
        <f>countif('v2022'!F:F,F272)</f>
        <v>1</v>
      </c>
      <c r="S272" s="22">
        <f>countif('v2018'!F:F,F272)</f>
        <v>1</v>
      </c>
      <c r="T272" s="22">
        <f>countif('v2014'!F:F,F272)</f>
        <v>1</v>
      </c>
      <c r="U272" s="22">
        <f>countif('v2010'!F:F,F272)</f>
        <v>1</v>
      </c>
      <c r="V272" s="22">
        <f>countif('v2006'!F:F,F272)</f>
        <v>1</v>
      </c>
      <c r="W272" s="22">
        <f>countif('v2002'!F:F,F272)</f>
        <v>1</v>
      </c>
      <c r="X272" s="22">
        <f>countif('v1998'!F:F,F272)</f>
        <v>1</v>
      </c>
    </row>
    <row r="273">
      <c r="A273" s="21" t="str">
        <f t="shared" si="21"/>
        <v>proton Compton wavelength</v>
      </c>
      <c r="B273" s="6" t="s">
        <v>1802</v>
      </c>
      <c r="D273" s="13" t="s">
        <v>1803</v>
      </c>
      <c r="E273" s="13" t="s">
        <v>571</v>
      </c>
      <c r="F273" s="22" t="str">
        <f t="shared" si="22"/>
        <v>ProtonComptonWavelength</v>
      </c>
      <c r="G273" s="6" t="s">
        <v>1803</v>
      </c>
      <c r="H273" s="6" t="s">
        <v>1804</v>
      </c>
      <c r="I273" s="6"/>
      <c r="J273" s="6" t="s">
        <v>571</v>
      </c>
      <c r="K273" s="14" t="str">
        <f t="shared" si="3"/>
        <v>https://w3id.org/uom/m</v>
      </c>
      <c r="L273" s="13" t="s">
        <v>436</v>
      </c>
      <c r="M273" s="23">
        <f>countif(Quantities!A:A,L273)</f>
        <v>1</v>
      </c>
      <c r="N273" s="24" t="b">
        <f t="shared" si="4"/>
        <v>1</v>
      </c>
      <c r="O273" s="6" t="s">
        <v>1805</v>
      </c>
      <c r="P273" s="22" t="b">
        <f t="shared" si="5"/>
        <v>1</v>
      </c>
      <c r="Q273" s="22" t="b">
        <f t="shared" si="23"/>
        <v>1</v>
      </c>
      <c r="R273" s="22">
        <f>countif('v2022'!F:F,F273)</f>
        <v>1</v>
      </c>
      <c r="S273" s="22">
        <f>countif('v2018'!F:F,F273)</f>
        <v>1</v>
      </c>
      <c r="T273" s="22">
        <f>countif('v2014'!F:F,F273)</f>
        <v>1</v>
      </c>
      <c r="U273" s="22">
        <f>countif('v2010'!F:F,F273)</f>
        <v>1</v>
      </c>
      <c r="V273" s="22">
        <f>countif('v2006'!F:F,F273)</f>
        <v>1</v>
      </c>
      <c r="W273" s="22">
        <f>countif('v2002'!F:F,F273)</f>
        <v>1</v>
      </c>
      <c r="X273" s="22">
        <f>countif('v1998'!F:F,F273)</f>
        <v>1</v>
      </c>
    </row>
    <row r="274">
      <c r="A274" s="21" t="str">
        <f t="shared" si="21"/>
        <v>proton-electron mass ratio</v>
      </c>
      <c r="B274" s="6" t="s">
        <v>1806</v>
      </c>
      <c r="D274" s="13" t="s">
        <v>1807</v>
      </c>
      <c r="F274" s="22" t="str">
        <f t="shared" si="22"/>
        <v>ProtonElectronMassRatio</v>
      </c>
      <c r="G274" s="6" t="s">
        <v>1807</v>
      </c>
      <c r="H274" s="6" t="s">
        <v>1808</v>
      </c>
      <c r="I274" s="6"/>
      <c r="J274" s="6"/>
      <c r="K274" s="13" t="str">
        <f t="shared" si="3"/>
        <v/>
      </c>
      <c r="L274" s="13" t="s">
        <v>437</v>
      </c>
      <c r="M274" s="23">
        <f>countif(Quantities!A:A,L274)</f>
        <v>1</v>
      </c>
      <c r="N274" s="24" t="b">
        <f t="shared" si="4"/>
        <v>1</v>
      </c>
      <c r="O274" s="6" t="s">
        <v>1809</v>
      </c>
      <c r="P274" s="22" t="b">
        <f t="shared" si="5"/>
        <v>1</v>
      </c>
      <c r="Q274" s="22" t="b">
        <f>sum(S274:X274)&gt;0</f>
        <v>1</v>
      </c>
      <c r="R274" s="22">
        <f>countif('v2022'!F:F,F274)</f>
        <v>1</v>
      </c>
      <c r="S274" s="22">
        <f>countif('v2018'!F:F,F274)</f>
        <v>1</v>
      </c>
      <c r="T274" s="22">
        <f>countif('v2014'!F:F,F274)</f>
        <v>1</v>
      </c>
      <c r="U274" s="22">
        <f>countif('v2010'!F:F,F274)</f>
        <v>1</v>
      </c>
      <c r="V274" s="22">
        <f>countif('v2006'!F:F,F274)</f>
        <v>1</v>
      </c>
      <c r="W274" s="22">
        <f>countif('v2002'!F:F,F274)</f>
        <v>1</v>
      </c>
      <c r="X274" s="22">
        <f>countif('v1998'!F:F,F274)</f>
        <v>1</v>
      </c>
    </row>
    <row r="275">
      <c r="A275" s="21" t="str">
        <f t="shared" si="21"/>
        <v>proton g factor</v>
      </c>
      <c r="B275" s="6" t="s">
        <v>1810</v>
      </c>
      <c r="D275" s="13" t="s">
        <v>1811</v>
      </c>
      <c r="F275" s="22" t="str">
        <f t="shared" si="22"/>
        <v>ProtonGFactor</v>
      </c>
      <c r="G275" s="6" t="s">
        <v>1811</v>
      </c>
      <c r="H275" s="6" t="s">
        <v>1812</v>
      </c>
      <c r="I275" s="6"/>
      <c r="J275" s="6"/>
      <c r="K275" s="13" t="str">
        <f t="shared" si="3"/>
        <v/>
      </c>
      <c r="L275" s="13" t="s">
        <v>438</v>
      </c>
      <c r="M275" s="23">
        <f>countif(Quantities!A:A,L275)</f>
        <v>1</v>
      </c>
      <c r="N275" s="24" t="b">
        <f t="shared" si="4"/>
        <v>1</v>
      </c>
      <c r="O275" s="6" t="s">
        <v>1813</v>
      </c>
      <c r="P275" s="22" t="b">
        <f t="shared" si="5"/>
        <v>1</v>
      </c>
      <c r="Q275" s="22" t="b">
        <f t="shared" ref="Q275:Q294" si="24">sum(S274:X275)&gt;0</f>
        <v>1</v>
      </c>
      <c r="R275" s="22">
        <f>countif('v2022'!F:F,F275)</f>
        <v>1</v>
      </c>
      <c r="S275" s="22">
        <f>countif('v2018'!F:F,F275)</f>
        <v>1</v>
      </c>
      <c r="T275" s="22">
        <f>countif('v2014'!F:F,F275)</f>
        <v>1</v>
      </c>
      <c r="U275" s="22">
        <f>countif('v2010'!F:F,F275)</f>
        <v>1</v>
      </c>
      <c r="V275" s="22">
        <f>countif('v2006'!F:F,F275)</f>
        <v>1</v>
      </c>
      <c r="W275" s="22">
        <f>countif('v2002'!F:F,F275)</f>
        <v>1</v>
      </c>
      <c r="X275" s="22">
        <f>countif('v1998'!F:F,F275)</f>
        <v>1</v>
      </c>
    </row>
    <row r="276">
      <c r="A276" s="21" t="str">
        <f t="shared" si="21"/>
        <v>proton gyromag. ratio</v>
      </c>
      <c r="B276" s="6" t="s">
        <v>1814</v>
      </c>
      <c r="D276" s="13" t="s">
        <v>1815</v>
      </c>
      <c r="E276" s="13" t="s">
        <v>961</v>
      </c>
      <c r="F276" s="22" t="str">
        <f t="shared" si="22"/>
        <v>ProtonGyromagneticRatio</v>
      </c>
      <c r="G276" s="6" t="s">
        <v>1816</v>
      </c>
      <c r="H276" s="6" t="s">
        <v>1817</v>
      </c>
      <c r="I276" s="6"/>
      <c r="J276" s="6" t="s">
        <v>964</v>
      </c>
      <c r="K276" s="14" t="str">
        <f t="shared" si="3"/>
        <v>https://w3id.org/uom/s-1.T-1</v>
      </c>
      <c r="L276" s="13" t="s">
        <v>439</v>
      </c>
      <c r="M276" s="23">
        <f>countif(Quantities!A:A,L276)</f>
        <v>1</v>
      </c>
      <c r="N276" s="24" t="b">
        <f t="shared" si="4"/>
        <v>1</v>
      </c>
      <c r="O276" s="6" t="s">
        <v>1818</v>
      </c>
      <c r="P276" s="22" t="b">
        <f t="shared" si="5"/>
        <v>1</v>
      </c>
      <c r="Q276" s="22" t="b">
        <f t="shared" si="24"/>
        <v>1</v>
      </c>
      <c r="R276" s="22">
        <f>countif('v2022'!F:F,F276)</f>
        <v>1</v>
      </c>
      <c r="S276" s="22">
        <f>countif('v2018'!F:F,F276)</f>
        <v>1</v>
      </c>
      <c r="T276" s="22">
        <f>countif('v2014'!F:F,F276)</f>
        <v>1</v>
      </c>
      <c r="U276" s="22">
        <f>countif('v2010'!F:F,F276)</f>
        <v>1</v>
      </c>
      <c r="V276" s="22">
        <f>countif('v2006'!F:F,F276)</f>
        <v>1</v>
      </c>
      <c r="W276" s="22">
        <f>countif('v2002'!F:F,F276)</f>
        <v>1</v>
      </c>
      <c r="X276" s="22">
        <f>countif('v1998'!F:F,F276)</f>
        <v>1</v>
      </c>
    </row>
    <row r="277">
      <c r="A277" s="34" t="s">
        <v>1819</v>
      </c>
      <c r="B277" s="6" t="s">
        <v>1820</v>
      </c>
      <c r="E277" s="6" t="s">
        <v>969</v>
      </c>
      <c r="F277" s="22" t="str">
        <f t="shared" si="22"/>
        <v>ProtonGyromagneticRatioOver2Pi</v>
      </c>
      <c r="G277" s="6" t="s">
        <v>1819</v>
      </c>
      <c r="H277" s="6" t="s">
        <v>1821</v>
      </c>
      <c r="I277" s="6"/>
      <c r="J277" s="6" t="s">
        <v>972</v>
      </c>
      <c r="K277" s="14" t="str">
        <f t="shared" si="3"/>
        <v>https://w3id.org/uom/MHz.T-1</v>
      </c>
      <c r="L277" s="6" t="s">
        <v>439</v>
      </c>
      <c r="M277" s="23">
        <f>countif(Quantities!A:A,L277)</f>
        <v>1</v>
      </c>
      <c r="N277" s="24" t="b">
        <f t="shared" si="4"/>
        <v>0</v>
      </c>
      <c r="O277" s="6" t="s">
        <v>1822</v>
      </c>
      <c r="P277" s="22" t="b">
        <f t="shared" si="5"/>
        <v>1</v>
      </c>
      <c r="Q277" s="22" t="b">
        <f t="shared" si="24"/>
        <v>1</v>
      </c>
      <c r="R277" s="22">
        <f>countif('v2022'!F:F,F277)</f>
        <v>1</v>
      </c>
      <c r="S277" s="22">
        <f>countif('v2018'!F:F,F277)</f>
        <v>1</v>
      </c>
      <c r="T277" s="22">
        <f>countif('v2014'!F:F,F277)</f>
        <v>1</v>
      </c>
      <c r="U277" s="22">
        <f>countif('v2010'!F:F,F277)</f>
        <v>1</v>
      </c>
      <c r="V277" s="22">
        <f>countif('v2006'!F:F,F277)</f>
        <v>1</v>
      </c>
      <c r="W277" s="22">
        <f>countif('v2002'!F:F,F277)</f>
        <v>1</v>
      </c>
      <c r="X277" s="22">
        <f>countif('v1998'!F:F,F277)</f>
        <v>1</v>
      </c>
    </row>
    <row r="278">
      <c r="A278" s="21" t="str">
        <f t="shared" ref="A278:A295" si="25">D278</f>
        <v>proton mag. mom.</v>
      </c>
      <c r="B278" s="6" t="s">
        <v>1823</v>
      </c>
      <c r="D278" s="13" t="s">
        <v>1824</v>
      </c>
      <c r="E278" s="13" t="s">
        <v>714</v>
      </c>
      <c r="F278" s="22" t="str">
        <f t="shared" si="22"/>
        <v>ProtonMagneticMoment</v>
      </c>
      <c r="G278" s="6" t="s">
        <v>1825</v>
      </c>
      <c r="H278" s="6" t="s">
        <v>1826</v>
      </c>
      <c r="I278" s="6"/>
      <c r="J278" s="6" t="s">
        <v>717</v>
      </c>
      <c r="K278" s="14" t="str">
        <f t="shared" si="3"/>
        <v>https://w3id.org/uom/J.T-1</v>
      </c>
      <c r="L278" s="13" t="s">
        <v>440</v>
      </c>
      <c r="M278" s="23">
        <f>countif(Quantities!A:A,L278)</f>
        <v>1</v>
      </c>
      <c r="N278" s="24" t="b">
        <f t="shared" si="4"/>
        <v>1</v>
      </c>
      <c r="O278" s="6" t="s">
        <v>1827</v>
      </c>
      <c r="P278" s="22" t="b">
        <f t="shared" si="5"/>
        <v>1</v>
      </c>
      <c r="Q278" s="22" t="b">
        <f t="shared" si="24"/>
        <v>1</v>
      </c>
      <c r="R278" s="22">
        <f>countif('v2022'!F:F,F278)</f>
        <v>1</v>
      </c>
      <c r="S278" s="22">
        <f>countif('v2018'!F:F,F278)</f>
        <v>1</v>
      </c>
      <c r="T278" s="22">
        <f>countif('v2014'!F:F,F278)</f>
        <v>1</v>
      </c>
      <c r="U278" s="22">
        <f>countif('v2010'!F:F,F278)</f>
        <v>1</v>
      </c>
      <c r="V278" s="22">
        <f>countif('v2006'!F:F,F278)</f>
        <v>1</v>
      </c>
      <c r="W278" s="22">
        <f>countif('v2002'!F:F,F278)</f>
        <v>1</v>
      </c>
      <c r="X278" s="22">
        <f>countif('v1998'!F:F,F278)</f>
        <v>1</v>
      </c>
    </row>
    <row r="279">
      <c r="A279" s="21" t="str">
        <f t="shared" si="25"/>
        <v>proton mag. mom. to Bohr magneton ratio</v>
      </c>
      <c r="B279" s="6" t="s">
        <v>1828</v>
      </c>
      <c r="D279" s="13" t="s">
        <v>1829</v>
      </c>
      <c r="F279" s="22" t="str">
        <f t="shared" si="22"/>
        <v>ProtonMagneticMomentToBohrMagnetonRatio</v>
      </c>
      <c r="G279" s="6" t="s">
        <v>1830</v>
      </c>
      <c r="H279" s="6" t="s">
        <v>1831</v>
      </c>
      <c r="I279" s="6"/>
      <c r="J279" s="6"/>
      <c r="K279" s="13" t="str">
        <f t="shared" si="3"/>
        <v/>
      </c>
      <c r="L279" s="13" t="s">
        <v>441</v>
      </c>
      <c r="M279" s="23">
        <f>countif(Quantities!A:A,L279)</f>
        <v>1</v>
      </c>
      <c r="N279" s="24" t="b">
        <f t="shared" si="4"/>
        <v>1</v>
      </c>
      <c r="O279" s="6" t="s">
        <v>1832</v>
      </c>
      <c r="P279" s="22" t="b">
        <f t="shared" si="5"/>
        <v>1</v>
      </c>
      <c r="Q279" s="22" t="b">
        <f t="shared" si="24"/>
        <v>1</v>
      </c>
      <c r="R279" s="22">
        <f>countif('v2022'!F:F,F279)</f>
        <v>1</v>
      </c>
      <c r="S279" s="22">
        <f>countif('v2018'!F:F,F279)</f>
        <v>1</v>
      </c>
      <c r="T279" s="22">
        <f>countif('v2014'!F:F,F279)</f>
        <v>1</v>
      </c>
      <c r="U279" s="22">
        <f>countif('v2010'!F:F,F279)</f>
        <v>1</v>
      </c>
      <c r="V279" s="22">
        <f>countif('v2006'!F:F,F279)</f>
        <v>1</v>
      </c>
      <c r="W279" s="22">
        <f>countif('v2002'!F:F,F279)</f>
        <v>1</v>
      </c>
      <c r="X279" s="22">
        <f>countif('v1998'!F:F,F279)</f>
        <v>1</v>
      </c>
    </row>
    <row r="280">
      <c r="A280" s="21" t="str">
        <f t="shared" si="25"/>
        <v>proton mag. mom. to nuclear magneton ratio</v>
      </c>
      <c r="B280" s="6" t="s">
        <v>1833</v>
      </c>
      <c r="D280" s="13" t="s">
        <v>1834</v>
      </c>
      <c r="F280" s="22" t="str">
        <f t="shared" si="22"/>
        <v>ProtonMagneticMomentToNuclearMagnetonRatio</v>
      </c>
      <c r="G280" s="6" t="s">
        <v>1835</v>
      </c>
      <c r="H280" s="6" t="s">
        <v>1836</v>
      </c>
      <c r="I280" s="6"/>
      <c r="J280" s="6"/>
      <c r="K280" s="13" t="str">
        <f t="shared" si="3"/>
        <v/>
      </c>
      <c r="L280" s="13" t="s">
        <v>442</v>
      </c>
      <c r="M280" s="23">
        <f>countif(Quantities!A:A,L280)</f>
        <v>1</v>
      </c>
      <c r="N280" s="24" t="b">
        <f t="shared" si="4"/>
        <v>1</v>
      </c>
      <c r="O280" s="6" t="s">
        <v>1837</v>
      </c>
      <c r="P280" s="22" t="b">
        <f t="shared" si="5"/>
        <v>1</v>
      </c>
      <c r="Q280" s="22" t="b">
        <f t="shared" si="24"/>
        <v>1</v>
      </c>
      <c r="R280" s="22">
        <f>countif('v2022'!F:F,F280)</f>
        <v>1</v>
      </c>
      <c r="S280" s="22">
        <f>countif('v2018'!F:F,F280)</f>
        <v>1</v>
      </c>
      <c r="T280" s="22">
        <f>countif('v2014'!F:F,F280)</f>
        <v>1</v>
      </c>
      <c r="U280" s="22">
        <f>countif('v2010'!F:F,F280)</f>
        <v>1</v>
      </c>
      <c r="V280" s="22">
        <f>countif('v2006'!F:F,F280)</f>
        <v>1</v>
      </c>
      <c r="W280" s="22">
        <f>countif('v2002'!F:F,F280)</f>
        <v>1</v>
      </c>
      <c r="X280" s="22">
        <f>countif('v1998'!F:F,F280)</f>
        <v>1</v>
      </c>
    </row>
    <row r="281">
      <c r="A281" s="21" t="str">
        <f t="shared" si="25"/>
        <v>proton mag. shielding correction</v>
      </c>
      <c r="B281" s="6" t="s">
        <v>1838</v>
      </c>
      <c r="D281" s="13" t="s">
        <v>1839</v>
      </c>
      <c r="F281" s="6" t="s">
        <v>443</v>
      </c>
      <c r="G281" s="6" t="s">
        <v>1840</v>
      </c>
      <c r="H281" s="6" t="s">
        <v>1841</v>
      </c>
      <c r="K281" s="13" t="str">
        <f t="shared" si="3"/>
        <v/>
      </c>
      <c r="L281" s="6" t="s">
        <v>443</v>
      </c>
      <c r="M281" s="23">
        <f>countif(Quantities!A:A,L281)</f>
        <v>1</v>
      </c>
      <c r="N281" s="24" t="b">
        <f t="shared" si="4"/>
        <v>1</v>
      </c>
      <c r="P281" s="22" t="b">
        <f t="shared" si="5"/>
        <v>0</v>
      </c>
      <c r="Q281" s="22" t="b">
        <f t="shared" si="24"/>
        <v>1</v>
      </c>
      <c r="R281" s="22">
        <f>countif('v2022'!F:F,F281)</f>
        <v>1</v>
      </c>
      <c r="S281" s="22">
        <f>countif('v2018'!F:F,F281)</f>
        <v>1</v>
      </c>
      <c r="T281" s="22">
        <f>countif('v2014'!F:F,F281)</f>
        <v>1</v>
      </c>
      <c r="U281" s="22">
        <f>countif('v2010'!F:F,F281)</f>
        <v>1</v>
      </c>
      <c r="V281" s="22">
        <f>countif('v2006'!F:F,F281)</f>
        <v>1</v>
      </c>
      <c r="W281" s="22">
        <f>countif('v2002'!F:F,F281)</f>
        <v>1</v>
      </c>
      <c r="X281" s="22">
        <f>countif('v1998'!F:F,F281)</f>
        <v>1</v>
      </c>
    </row>
    <row r="282">
      <c r="A282" s="21" t="str">
        <f t="shared" si="25"/>
        <v>proton mass</v>
      </c>
      <c r="B282" s="6" t="s">
        <v>1842</v>
      </c>
      <c r="D282" s="13" t="s">
        <v>1843</v>
      </c>
      <c r="E282" s="13" t="s">
        <v>538</v>
      </c>
      <c r="F282" s="22" t="str">
        <f t="shared" ref="F282:F294" si="26">if(isblank(O282),concatenate(substitute(proper(D282)," ","")),SUBSTITUTE(O282,"constant:",""))</f>
        <v>ProtonMass</v>
      </c>
      <c r="G282" s="6" t="s">
        <v>1843</v>
      </c>
      <c r="H282" s="6" t="s">
        <v>1844</v>
      </c>
      <c r="I282" s="6" t="s">
        <v>1845</v>
      </c>
      <c r="J282" s="6" t="s">
        <v>538</v>
      </c>
      <c r="K282" s="14" t="str">
        <f t="shared" si="3"/>
        <v>https://w3id.org/uom/kg</v>
      </c>
      <c r="L282" s="13" t="s">
        <v>444</v>
      </c>
      <c r="M282" s="23">
        <f>countif(Quantities!A:A,L282)</f>
        <v>1</v>
      </c>
      <c r="N282" s="24" t="b">
        <f t="shared" si="4"/>
        <v>1</v>
      </c>
      <c r="O282" s="6" t="s">
        <v>1846</v>
      </c>
      <c r="P282" s="22" t="b">
        <f t="shared" si="5"/>
        <v>1</v>
      </c>
      <c r="Q282" s="22" t="b">
        <f t="shared" si="24"/>
        <v>1</v>
      </c>
      <c r="R282" s="22">
        <f>countif('v2022'!F:F,F282)</f>
        <v>1</v>
      </c>
      <c r="S282" s="22">
        <f>countif('v2018'!F:F,F282)</f>
        <v>1</v>
      </c>
      <c r="T282" s="22">
        <f>countif('v2014'!F:F,F282)</f>
        <v>1</v>
      </c>
      <c r="U282" s="22">
        <f>countif('v2010'!F:F,F282)</f>
        <v>1</v>
      </c>
      <c r="V282" s="22">
        <f>countif('v2006'!F:F,F282)</f>
        <v>1</v>
      </c>
      <c r="W282" s="22">
        <f>countif('v2002'!F:F,F282)</f>
        <v>1</v>
      </c>
      <c r="X282" s="22">
        <f>countif('v1998'!F:F,F282)</f>
        <v>1</v>
      </c>
    </row>
    <row r="283">
      <c r="A283" s="21" t="str">
        <f t="shared" si="25"/>
        <v>proton mass energy equivalent</v>
      </c>
      <c r="B283" s="6" t="s">
        <v>1847</v>
      </c>
      <c r="D283" s="13" t="s">
        <v>1848</v>
      </c>
      <c r="E283" s="13" t="s">
        <v>543</v>
      </c>
      <c r="F283" s="22" t="str">
        <f t="shared" si="26"/>
        <v>ProtonMassEnergyEquivalent</v>
      </c>
      <c r="G283" s="6" t="s">
        <v>1848</v>
      </c>
      <c r="H283" s="6" t="s">
        <v>1849</v>
      </c>
      <c r="I283" s="6"/>
      <c r="J283" s="6" t="s">
        <v>543</v>
      </c>
      <c r="K283" s="14" t="str">
        <f t="shared" si="3"/>
        <v>https://w3id.org/uom/J</v>
      </c>
      <c r="L283" s="6" t="s">
        <v>444</v>
      </c>
      <c r="M283" s="23">
        <f>countif(Quantities!A:A,L283)</f>
        <v>1</v>
      </c>
      <c r="N283" s="24" t="b">
        <f t="shared" si="4"/>
        <v>0</v>
      </c>
      <c r="O283" s="6" t="s">
        <v>1850</v>
      </c>
      <c r="P283" s="22" t="b">
        <f t="shared" si="5"/>
        <v>1</v>
      </c>
      <c r="Q283" s="22" t="b">
        <f t="shared" si="24"/>
        <v>1</v>
      </c>
      <c r="R283" s="22">
        <f>countif('v2022'!F:F,F283)</f>
        <v>1</v>
      </c>
      <c r="S283" s="22">
        <f>countif('v2018'!F:F,F283)</f>
        <v>1</v>
      </c>
      <c r="T283" s="22">
        <f>countif('v2014'!F:F,F283)</f>
        <v>1</v>
      </c>
      <c r="U283" s="22">
        <f>countif('v2010'!F:F,F283)</f>
        <v>1</v>
      </c>
      <c r="V283" s="22">
        <f>countif('v2006'!F:F,F283)</f>
        <v>1</v>
      </c>
      <c r="W283" s="22">
        <f>countif('v2002'!F:F,F283)</f>
        <v>1</v>
      </c>
      <c r="X283" s="22">
        <f>countif('v1998'!F:F,F283)</f>
        <v>1</v>
      </c>
    </row>
    <row r="284">
      <c r="A284" s="21" t="str">
        <f t="shared" si="25"/>
        <v>proton mass energy equivalent in MeV</v>
      </c>
      <c r="B284" s="6" t="s">
        <v>1851</v>
      </c>
      <c r="D284" s="13" t="s">
        <v>1852</v>
      </c>
      <c r="E284" s="13" t="s">
        <v>548</v>
      </c>
      <c r="F284" s="22" t="str">
        <f t="shared" si="26"/>
        <v>ProtonMassEnergyEquivalentInMeV</v>
      </c>
      <c r="G284" s="6" t="s">
        <v>1852</v>
      </c>
      <c r="H284" s="6" t="s">
        <v>1849</v>
      </c>
      <c r="I284" s="6"/>
      <c r="J284" s="6" t="s">
        <v>548</v>
      </c>
      <c r="K284" s="14" t="str">
        <f t="shared" si="3"/>
        <v>https://w3id.org/uom/MeV</v>
      </c>
      <c r="L284" s="6" t="s">
        <v>444</v>
      </c>
      <c r="M284" s="23">
        <f>countif(Quantities!A:A,L284)</f>
        <v>1</v>
      </c>
      <c r="N284" s="24" t="b">
        <f t="shared" si="4"/>
        <v>0</v>
      </c>
      <c r="O284" s="6" t="s">
        <v>1853</v>
      </c>
      <c r="P284" s="22" t="b">
        <f t="shared" si="5"/>
        <v>1</v>
      </c>
      <c r="Q284" s="22" t="b">
        <f t="shared" si="24"/>
        <v>1</v>
      </c>
      <c r="R284" s="22">
        <f>countif('v2022'!F:F,F284)</f>
        <v>1</v>
      </c>
      <c r="S284" s="22">
        <f>countif('v2018'!F:F,F284)</f>
        <v>1</v>
      </c>
      <c r="T284" s="22">
        <f>countif('v2014'!F:F,F284)</f>
        <v>1</v>
      </c>
      <c r="U284" s="22">
        <f>countif('v2010'!F:F,F284)</f>
        <v>1</v>
      </c>
      <c r="V284" s="22">
        <f>countif('v2006'!F:F,F284)</f>
        <v>1</v>
      </c>
      <c r="W284" s="22">
        <f>countif('v2002'!F:F,F284)</f>
        <v>1</v>
      </c>
      <c r="X284" s="22">
        <f>countif('v1998'!F:F,F284)</f>
        <v>1</v>
      </c>
    </row>
    <row r="285">
      <c r="A285" s="21" t="str">
        <f t="shared" si="25"/>
        <v>proton mass in u</v>
      </c>
      <c r="B285" s="6" t="s">
        <v>1854</v>
      </c>
      <c r="D285" s="13" t="s">
        <v>1855</v>
      </c>
      <c r="E285" s="13" t="s">
        <v>553</v>
      </c>
      <c r="F285" s="22" t="str">
        <f t="shared" si="26"/>
        <v>ProtonMassInAtomicMassUnit</v>
      </c>
      <c r="G285" s="6" t="s">
        <v>1855</v>
      </c>
      <c r="H285" s="6" t="s">
        <v>1844</v>
      </c>
      <c r="I285" s="6"/>
      <c r="J285" s="6" t="s">
        <v>553</v>
      </c>
      <c r="K285" s="14" t="str">
        <f t="shared" si="3"/>
        <v>https://w3id.org/uom/u</v>
      </c>
      <c r="L285" s="6" t="s">
        <v>444</v>
      </c>
      <c r="M285" s="23">
        <f>countif(Quantities!A:A,L285)</f>
        <v>1</v>
      </c>
      <c r="N285" s="24" t="b">
        <f t="shared" si="4"/>
        <v>0</v>
      </c>
      <c r="O285" s="6" t="s">
        <v>1856</v>
      </c>
      <c r="P285" s="22" t="b">
        <f t="shared" si="5"/>
        <v>1</v>
      </c>
      <c r="Q285" s="22" t="b">
        <f t="shared" si="24"/>
        <v>1</v>
      </c>
      <c r="R285" s="22">
        <f>countif('v2022'!F:F,F285)</f>
        <v>1</v>
      </c>
      <c r="S285" s="22">
        <f>countif('v2018'!F:F,F285)</f>
        <v>1</v>
      </c>
      <c r="T285" s="22">
        <f>countif('v2014'!F:F,F285)</f>
        <v>1</v>
      </c>
      <c r="U285" s="22">
        <f>countif('v2010'!F:F,F285)</f>
        <v>1</v>
      </c>
      <c r="V285" s="22">
        <f>countif('v2006'!F:F,F285)</f>
        <v>1</v>
      </c>
      <c r="W285" s="22">
        <f>countif('v2002'!F:F,F285)</f>
        <v>1</v>
      </c>
      <c r="X285" s="22">
        <f>countif('v1998'!F:F,F285)</f>
        <v>1</v>
      </c>
    </row>
    <row r="286">
      <c r="A286" s="21" t="str">
        <f t="shared" si="25"/>
        <v>proton molar mass</v>
      </c>
      <c r="B286" s="6" t="s">
        <v>1857</v>
      </c>
      <c r="D286" s="13" t="s">
        <v>1858</v>
      </c>
      <c r="E286" s="13" t="s">
        <v>557</v>
      </c>
      <c r="F286" s="22" t="str">
        <f t="shared" si="26"/>
        <v>ProtonMolarMass</v>
      </c>
      <c r="G286" s="6" t="s">
        <v>1858</v>
      </c>
      <c r="H286" s="6" t="s">
        <v>1859</v>
      </c>
      <c r="I286" s="6"/>
      <c r="J286" s="6" t="s">
        <v>559</v>
      </c>
      <c r="K286" s="14" t="str">
        <f t="shared" si="3"/>
        <v>https://w3id.org/uom/kg.mol-1</v>
      </c>
      <c r="L286" s="13" t="s">
        <v>445</v>
      </c>
      <c r="M286" s="23">
        <f>countif(Quantities!A:A,L286)</f>
        <v>1</v>
      </c>
      <c r="N286" s="24" t="b">
        <f t="shared" si="4"/>
        <v>1</v>
      </c>
      <c r="O286" s="6" t="s">
        <v>1860</v>
      </c>
      <c r="P286" s="22" t="b">
        <f t="shared" si="5"/>
        <v>1</v>
      </c>
      <c r="Q286" s="22" t="b">
        <f t="shared" si="24"/>
        <v>1</v>
      </c>
      <c r="R286" s="22">
        <f>countif('v2022'!F:F,F286)</f>
        <v>1</v>
      </c>
      <c r="S286" s="22">
        <f>countif('v2018'!F:F,F286)</f>
        <v>1</v>
      </c>
      <c r="T286" s="22">
        <f>countif('v2014'!F:F,F286)</f>
        <v>1</v>
      </c>
      <c r="U286" s="22">
        <f>countif('v2010'!F:F,F286)</f>
        <v>1</v>
      </c>
      <c r="V286" s="22">
        <f>countif('v2006'!F:F,F286)</f>
        <v>1</v>
      </c>
      <c r="W286" s="22">
        <f>countif('v2002'!F:F,F286)</f>
        <v>1</v>
      </c>
      <c r="X286" s="22">
        <f>countif('v1998'!F:F,F286)</f>
        <v>1</v>
      </c>
    </row>
    <row r="287">
      <c r="A287" s="21" t="str">
        <f t="shared" si="25"/>
        <v>proton-muon mass ratio</v>
      </c>
      <c r="B287" s="6" t="s">
        <v>1861</v>
      </c>
      <c r="D287" s="13" t="s">
        <v>1862</v>
      </c>
      <c r="F287" s="22" t="str">
        <f t="shared" si="26"/>
        <v>ProtonMuonMassRatio</v>
      </c>
      <c r="G287" s="6" t="s">
        <v>1863</v>
      </c>
      <c r="H287" s="6" t="s">
        <v>1864</v>
      </c>
      <c r="I287" s="6"/>
      <c r="J287" s="6"/>
      <c r="K287" s="13" t="str">
        <f t="shared" si="3"/>
        <v/>
      </c>
      <c r="L287" s="13" t="s">
        <v>446</v>
      </c>
      <c r="M287" s="23">
        <f>countif(Quantities!A:A,L287)</f>
        <v>1</v>
      </c>
      <c r="N287" s="24" t="b">
        <f t="shared" si="4"/>
        <v>1</v>
      </c>
      <c r="O287" s="6" t="s">
        <v>1865</v>
      </c>
      <c r="P287" s="22" t="b">
        <f t="shared" si="5"/>
        <v>1</v>
      </c>
      <c r="Q287" s="22" t="b">
        <f t="shared" si="24"/>
        <v>1</v>
      </c>
      <c r="R287" s="22">
        <f>countif('v2022'!F:F,F287)</f>
        <v>1</v>
      </c>
      <c r="S287" s="22">
        <f>countif('v2018'!F:F,F287)</f>
        <v>1</v>
      </c>
      <c r="T287" s="22">
        <f>countif('v2014'!F:F,F287)</f>
        <v>1</v>
      </c>
      <c r="U287" s="22">
        <f>countif('v2010'!F:F,F287)</f>
        <v>1</v>
      </c>
      <c r="V287" s="22">
        <f>countif('v2006'!F:F,F287)</f>
        <v>1</v>
      </c>
      <c r="W287" s="22">
        <f>countif('v2002'!F:F,F287)</f>
        <v>1</v>
      </c>
      <c r="X287" s="22">
        <f>countif('v1998'!F:F,F287)</f>
        <v>1</v>
      </c>
    </row>
    <row r="288">
      <c r="A288" s="21" t="str">
        <f t="shared" si="25"/>
        <v>proton-neutron mag. mom. ratio</v>
      </c>
      <c r="B288" s="6" t="s">
        <v>1866</v>
      </c>
      <c r="D288" s="13" t="s">
        <v>1867</v>
      </c>
      <c r="F288" s="22" t="str">
        <f t="shared" si="26"/>
        <v>ProtonNeutronMagneticMomentRatio</v>
      </c>
      <c r="G288" s="6" t="s">
        <v>1868</v>
      </c>
      <c r="H288" s="6" t="s">
        <v>1869</v>
      </c>
      <c r="I288" s="6"/>
      <c r="J288" s="6"/>
      <c r="K288" s="13" t="str">
        <f t="shared" si="3"/>
        <v/>
      </c>
      <c r="L288" s="13" t="s">
        <v>447</v>
      </c>
      <c r="M288" s="23">
        <f>countif(Quantities!A:A,L288)</f>
        <v>1</v>
      </c>
      <c r="N288" s="24" t="b">
        <f t="shared" si="4"/>
        <v>1</v>
      </c>
      <c r="O288" s="6" t="s">
        <v>1870</v>
      </c>
      <c r="P288" s="22" t="b">
        <f t="shared" si="5"/>
        <v>1</v>
      </c>
      <c r="Q288" s="22" t="b">
        <f t="shared" si="24"/>
        <v>1</v>
      </c>
      <c r="R288" s="22">
        <f>countif('v2022'!F:F,F288)</f>
        <v>1</v>
      </c>
      <c r="S288" s="22">
        <f>countif('v2018'!F:F,F288)</f>
        <v>1</v>
      </c>
      <c r="T288" s="22">
        <f>countif('v2014'!F:F,F288)</f>
        <v>1</v>
      </c>
      <c r="U288" s="22">
        <f>countif('v2010'!F:F,F288)</f>
        <v>1</v>
      </c>
      <c r="V288" s="22">
        <f>countif('v2006'!F:F,F288)</f>
        <v>1</v>
      </c>
      <c r="W288" s="22">
        <f>countif('v2002'!F:F,F288)</f>
        <v>1</v>
      </c>
      <c r="X288" s="22">
        <f>countif('v1998'!F:F,F288)</f>
        <v>1</v>
      </c>
    </row>
    <row r="289">
      <c r="A289" s="21" t="str">
        <f t="shared" si="25"/>
        <v>proton-neutron mass ratio</v>
      </c>
      <c r="B289" s="6" t="s">
        <v>1871</v>
      </c>
      <c r="D289" s="13" t="s">
        <v>1872</v>
      </c>
      <c r="F289" s="22" t="str">
        <f t="shared" si="26"/>
        <v>ProtonNeutronMassRatio</v>
      </c>
      <c r="G289" s="6" t="s">
        <v>1873</v>
      </c>
      <c r="H289" s="6" t="s">
        <v>1874</v>
      </c>
      <c r="I289" s="6"/>
      <c r="J289" s="6"/>
      <c r="K289" s="13" t="str">
        <f t="shared" si="3"/>
        <v/>
      </c>
      <c r="L289" s="13" t="s">
        <v>448</v>
      </c>
      <c r="M289" s="23">
        <f>countif(Quantities!A:A,L289)</f>
        <v>1</v>
      </c>
      <c r="N289" s="24" t="b">
        <f t="shared" si="4"/>
        <v>1</v>
      </c>
      <c r="O289" s="6" t="s">
        <v>1875</v>
      </c>
      <c r="P289" s="22" t="b">
        <f t="shared" si="5"/>
        <v>1</v>
      </c>
      <c r="Q289" s="22" t="b">
        <f t="shared" si="24"/>
        <v>1</v>
      </c>
      <c r="R289" s="22">
        <f>countif('v2022'!F:F,F289)</f>
        <v>1</v>
      </c>
      <c r="S289" s="22">
        <f>countif('v2018'!F:F,F289)</f>
        <v>1</v>
      </c>
      <c r="T289" s="22">
        <f>countif('v2014'!F:F,F289)</f>
        <v>1</v>
      </c>
      <c r="U289" s="22">
        <f>countif('v2010'!F:F,F289)</f>
        <v>1</v>
      </c>
      <c r="V289" s="22">
        <f>countif('v2006'!F:F,F289)</f>
        <v>1</v>
      </c>
      <c r="W289" s="22">
        <f>countif('v2002'!F:F,F289)</f>
        <v>1</v>
      </c>
      <c r="X289" s="22">
        <f>countif('v1998'!F:F,F289)</f>
        <v>1</v>
      </c>
    </row>
    <row r="290">
      <c r="A290" s="21" t="str">
        <f t="shared" si="25"/>
        <v>proton relative atomic mass</v>
      </c>
      <c r="B290" s="6" t="s">
        <v>1876</v>
      </c>
      <c r="C290" s="6"/>
      <c r="D290" s="13" t="s">
        <v>1877</v>
      </c>
      <c r="F290" s="22" t="str">
        <f t="shared" si="26"/>
        <v>ProtonRelativeAtomicMass</v>
      </c>
      <c r="G290" s="6" t="s">
        <v>1877</v>
      </c>
      <c r="H290" s="6" t="s">
        <v>1878</v>
      </c>
      <c r="K290" s="13" t="str">
        <f t="shared" si="3"/>
        <v/>
      </c>
      <c r="L290" s="13" t="s">
        <v>449</v>
      </c>
      <c r="M290" s="23">
        <f>countif(Quantities!A:A,L290)</f>
        <v>1</v>
      </c>
      <c r="N290" s="24" t="b">
        <f t="shared" si="4"/>
        <v>1</v>
      </c>
      <c r="P290" s="22" t="b">
        <f t="shared" si="5"/>
        <v>0</v>
      </c>
      <c r="Q290" s="22" t="b">
        <f t="shared" si="24"/>
        <v>1</v>
      </c>
      <c r="R290" s="22">
        <f>countif('v2022'!F:F,F290)</f>
        <v>1</v>
      </c>
      <c r="S290" s="22">
        <f>countif('v2018'!F:F,F290)</f>
        <v>1</v>
      </c>
      <c r="T290" s="22">
        <f>countif('v2014'!F:F,F290)</f>
        <v>0</v>
      </c>
      <c r="U290" s="22">
        <f>countif('v2010'!F:F,F290)</f>
        <v>0</v>
      </c>
      <c r="V290" s="22">
        <f>countif('v2006'!F:F,F290)</f>
        <v>0</v>
      </c>
      <c r="W290" s="22">
        <f>countif('v2002'!F:F,F290)</f>
        <v>0</v>
      </c>
      <c r="X290" s="22">
        <f>countif('v1998'!F:F,F290)</f>
        <v>0</v>
      </c>
    </row>
    <row r="291">
      <c r="A291" s="21" t="str">
        <f t="shared" si="25"/>
        <v>proton rms charge radius</v>
      </c>
      <c r="B291" s="6" t="s">
        <v>1879</v>
      </c>
      <c r="D291" s="13" t="s">
        <v>1880</v>
      </c>
      <c r="E291" s="13" t="s">
        <v>571</v>
      </c>
      <c r="F291" s="22" t="str">
        <f t="shared" si="26"/>
        <v>ProtonRmsChargeRadius</v>
      </c>
      <c r="G291" s="6" t="s">
        <v>1880</v>
      </c>
      <c r="H291" s="6" t="s">
        <v>1881</v>
      </c>
      <c r="I291" s="6"/>
      <c r="J291" s="6" t="s">
        <v>571</v>
      </c>
      <c r="K291" s="14" t="str">
        <f t="shared" si="3"/>
        <v>https://w3id.org/uom/m</v>
      </c>
      <c r="L291" s="13" t="s">
        <v>450</v>
      </c>
      <c r="M291" s="23">
        <f>countif(Quantities!A:A,L291)</f>
        <v>1</v>
      </c>
      <c r="N291" s="24" t="b">
        <f t="shared" si="4"/>
        <v>1</v>
      </c>
      <c r="O291" s="6" t="s">
        <v>1882</v>
      </c>
      <c r="P291" s="22" t="b">
        <f t="shared" si="5"/>
        <v>1</v>
      </c>
      <c r="Q291" s="22" t="b">
        <f t="shared" si="24"/>
        <v>1</v>
      </c>
      <c r="R291" s="22">
        <f>countif('v2022'!F:F,F291)</f>
        <v>1</v>
      </c>
      <c r="S291" s="22">
        <f>countif('v2018'!F:F,F291)</f>
        <v>1</v>
      </c>
      <c r="T291" s="22">
        <f>countif('v2014'!F:F,F291)</f>
        <v>1</v>
      </c>
      <c r="U291" s="22">
        <f>countif('v2010'!F:F,F291)</f>
        <v>1</v>
      </c>
      <c r="V291" s="22">
        <f>countif('v2006'!F:F,F291)</f>
        <v>1</v>
      </c>
      <c r="W291" s="22">
        <f>countif('v2002'!F:F,F291)</f>
        <v>1</v>
      </c>
      <c r="X291" s="22">
        <f>countif('v1998'!F:F,F291)</f>
        <v>0</v>
      </c>
    </row>
    <row r="292">
      <c r="A292" s="21" t="str">
        <f t="shared" si="25"/>
        <v>proton-tau mass ratio</v>
      </c>
      <c r="B292" s="6" t="s">
        <v>1883</v>
      </c>
      <c r="D292" s="13" t="s">
        <v>1884</v>
      </c>
      <c r="F292" s="22" t="str">
        <f t="shared" si="26"/>
        <v>ProtonTauMassRatio</v>
      </c>
      <c r="G292" s="6" t="s">
        <v>1885</v>
      </c>
      <c r="H292" s="6" t="s">
        <v>1886</v>
      </c>
      <c r="I292" s="6"/>
      <c r="J292" s="6"/>
      <c r="K292" s="13" t="str">
        <f t="shared" si="3"/>
        <v/>
      </c>
      <c r="L292" s="13" t="s">
        <v>451</v>
      </c>
      <c r="M292" s="23">
        <f>countif(Quantities!A:A,L292)</f>
        <v>1</v>
      </c>
      <c r="N292" s="24" t="b">
        <f t="shared" si="4"/>
        <v>1</v>
      </c>
      <c r="O292" s="6" t="s">
        <v>1887</v>
      </c>
      <c r="P292" s="22" t="b">
        <f t="shared" si="5"/>
        <v>1</v>
      </c>
      <c r="Q292" s="22" t="b">
        <f t="shared" si="24"/>
        <v>1</v>
      </c>
      <c r="R292" s="22">
        <f>countif('v2022'!F:F,F292)</f>
        <v>1</v>
      </c>
      <c r="S292" s="22">
        <f>countif('v2018'!F:F,F292)</f>
        <v>1</v>
      </c>
      <c r="T292" s="22">
        <f>countif('v2014'!F:F,F292)</f>
        <v>1</v>
      </c>
      <c r="U292" s="22">
        <f>countif('v2010'!F:F,F292)</f>
        <v>1</v>
      </c>
      <c r="V292" s="22">
        <f>countif('v2006'!F:F,F292)</f>
        <v>1</v>
      </c>
      <c r="W292" s="22">
        <f>countif('v2002'!F:F,F292)</f>
        <v>1</v>
      </c>
      <c r="X292" s="22">
        <f>countif('v1998'!F:F,F292)</f>
        <v>1</v>
      </c>
    </row>
    <row r="293">
      <c r="A293" s="21" t="str">
        <f t="shared" si="25"/>
        <v>quantum of circulation</v>
      </c>
      <c r="B293" s="6" t="s">
        <v>1888</v>
      </c>
      <c r="D293" s="13" t="s">
        <v>1889</v>
      </c>
      <c r="E293" s="13" t="s">
        <v>1890</v>
      </c>
      <c r="F293" s="22" t="str">
        <f t="shared" si="26"/>
        <v>QuantumOfCirculation</v>
      </c>
      <c r="G293" s="6" t="s">
        <v>1889</v>
      </c>
      <c r="H293" s="6" t="s">
        <v>1891</v>
      </c>
      <c r="I293" s="6"/>
      <c r="J293" s="6" t="s">
        <v>1892</v>
      </c>
      <c r="K293" s="14" t="str">
        <f t="shared" si="3"/>
        <v>https://w3id.org/uom/m2.s-1</v>
      </c>
      <c r="L293" s="13" t="s">
        <v>452</v>
      </c>
      <c r="M293" s="23">
        <f>countif(Quantities!A:A,L293)</f>
        <v>1</v>
      </c>
      <c r="N293" s="24" t="b">
        <f t="shared" si="4"/>
        <v>1</v>
      </c>
      <c r="O293" s="6" t="s">
        <v>1893</v>
      </c>
      <c r="P293" s="22" t="b">
        <f t="shared" si="5"/>
        <v>1</v>
      </c>
      <c r="Q293" s="22" t="b">
        <f t="shared" si="24"/>
        <v>1</v>
      </c>
      <c r="R293" s="22">
        <f>countif('v2022'!F:F,F293)</f>
        <v>1</v>
      </c>
      <c r="S293" s="22">
        <f>countif('v2018'!F:F,F293)</f>
        <v>1</v>
      </c>
      <c r="T293" s="22">
        <f>countif('v2014'!F:F,F293)</f>
        <v>1</v>
      </c>
      <c r="U293" s="22">
        <f>countif('v2010'!F:F,F293)</f>
        <v>1</v>
      </c>
      <c r="V293" s="22">
        <f>countif('v2006'!F:F,F293)</f>
        <v>1</v>
      </c>
      <c r="W293" s="22">
        <f>countif('v2002'!F:F,F293)</f>
        <v>1</v>
      </c>
      <c r="X293" s="22">
        <f>countif('v1998'!F:F,F293)</f>
        <v>1</v>
      </c>
    </row>
    <row r="294">
      <c r="A294" s="21" t="str">
        <f t="shared" si="25"/>
        <v>quantum of circulation times 2</v>
      </c>
      <c r="B294" s="6" t="s">
        <v>1894</v>
      </c>
      <c r="D294" s="13" t="s">
        <v>1895</v>
      </c>
      <c r="E294" s="13" t="s">
        <v>1890</v>
      </c>
      <c r="F294" s="22" t="str">
        <f t="shared" si="26"/>
        <v>QuantumOfCirculationTimes2</v>
      </c>
      <c r="G294" s="6" t="s">
        <v>1895</v>
      </c>
      <c r="H294" s="6" t="s">
        <v>1896</v>
      </c>
      <c r="I294" s="6"/>
      <c r="J294" s="6" t="s">
        <v>1892</v>
      </c>
      <c r="K294" s="14" t="str">
        <f t="shared" si="3"/>
        <v>https://w3id.org/uom/m2.s-1</v>
      </c>
      <c r="L294" s="13" t="s">
        <v>453</v>
      </c>
      <c r="M294" s="23">
        <f>countif(Quantities!A:A,L294)</f>
        <v>1</v>
      </c>
      <c r="N294" s="24" t="b">
        <f t="shared" si="4"/>
        <v>1</v>
      </c>
      <c r="O294" s="6" t="s">
        <v>1897</v>
      </c>
      <c r="P294" s="22" t="b">
        <f t="shared" si="5"/>
        <v>1</v>
      </c>
      <c r="Q294" s="22" t="b">
        <f t="shared" si="24"/>
        <v>1</v>
      </c>
      <c r="R294" s="22">
        <f>countif('v2022'!F:F,F294)</f>
        <v>1</v>
      </c>
      <c r="S294" s="22">
        <f>countif('v2018'!F:F,F294)</f>
        <v>1</v>
      </c>
      <c r="T294" s="22">
        <f>countif('v2014'!F:F,F294)</f>
        <v>1</v>
      </c>
      <c r="U294" s="22">
        <f>countif('v2010'!F:F,F294)</f>
        <v>1</v>
      </c>
      <c r="V294" s="22">
        <f>countif('v2006'!F:F,F294)</f>
        <v>1</v>
      </c>
      <c r="W294" s="22">
        <f>countif('v2002'!F:F,F294)</f>
        <v>1</v>
      </c>
      <c r="X294" s="22">
        <f>countif('v1998'!F:F,F294)</f>
        <v>1</v>
      </c>
    </row>
    <row r="295">
      <c r="A295" s="21" t="str">
        <f t="shared" si="25"/>
        <v>reduced Compton wavelength</v>
      </c>
      <c r="B295" s="34" t="s">
        <v>1898</v>
      </c>
      <c r="D295" s="13" t="s">
        <v>1899</v>
      </c>
      <c r="E295" s="13" t="s">
        <v>571</v>
      </c>
      <c r="F295" s="6" t="s">
        <v>261</v>
      </c>
      <c r="G295" s="6" t="s">
        <v>1899</v>
      </c>
      <c r="H295" s="6" t="s">
        <v>1900</v>
      </c>
      <c r="I295" s="6"/>
      <c r="J295" s="6" t="s">
        <v>571</v>
      </c>
      <c r="K295" s="14" t="str">
        <f t="shared" si="3"/>
        <v>https://w3id.org/uom/m</v>
      </c>
      <c r="L295" s="13" t="s">
        <v>454</v>
      </c>
      <c r="M295" s="23">
        <f>countif(Quantities!A:A,L295)</f>
        <v>1</v>
      </c>
      <c r="N295" s="24" t="b">
        <f t="shared" si="4"/>
        <v>0</v>
      </c>
      <c r="P295" s="22" t="b">
        <f t="shared" si="5"/>
        <v>0</v>
      </c>
      <c r="Q295" s="22" t="b">
        <f>sum(S294:X294)&gt;0</f>
        <v>1</v>
      </c>
      <c r="R295" s="22">
        <f>countif('v2022'!F:F,F295)</f>
        <v>1</v>
      </c>
      <c r="S295" s="22">
        <f>countif('v2018'!F:F,F295)</f>
        <v>1</v>
      </c>
      <c r="T295" s="22">
        <f>countif('v2014'!F:F,F295)</f>
        <v>1</v>
      </c>
      <c r="U295" s="22">
        <f>countif('v2010'!F:F,F295)</f>
        <v>1</v>
      </c>
      <c r="V295" s="22">
        <f>countif('v2006'!F:F,F295)</f>
        <v>1</v>
      </c>
      <c r="W295" s="22">
        <f>countif('v2002'!F:F,F295)</f>
        <v>1</v>
      </c>
      <c r="X295" s="22">
        <f>countif('v1998'!F:F,F295)</f>
        <v>1</v>
      </c>
    </row>
    <row r="296">
      <c r="A296" s="33" t="s">
        <v>1901</v>
      </c>
      <c r="B296" s="34" t="s">
        <v>1898</v>
      </c>
      <c r="C296" s="34"/>
      <c r="D296" s="34"/>
      <c r="E296" s="6" t="s">
        <v>571</v>
      </c>
      <c r="F296" s="22" t="str">
        <f t="shared" ref="F296:F310" si="27">if(isblank(O296),concatenate(substitute(proper(D296)," ","")),SUBSTITUTE(O296,"constant:",""))</f>
        <v>ComptonWavelengthOver2Pi</v>
      </c>
      <c r="G296" s="6" t="s">
        <v>1901</v>
      </c>
      <c r="H296" s="6" t="s">
        <v>1900</v>
      </c>
      <c r="I296" s="6"/>
      <c r="J296" s="6" t="s">
        <v>571</v>
      </c>
      <c r="K296" s="14" t="str">
        <f t="shared" si="3"/>
        <v>https://w3id.org/uom/m</v>
      </c>
      <c r="L296" s="13" t="s">
        <v>261</v>
      </c>
      <c r="M296" s="23">
        <f>countif(Quantities!A:A,L296)</f>
        <v>1</v>
      </c>
      <c r="N296" s="24" t="b">
        <f t="shared" si="4"/>
        <v>1</v>
      </c>
      <c r="O296" s="6" t="s">
        <v>1902</v>
      </c>
      <c r="P296" s="22" t="b">
        <f t="shared" si="5"/>
        <v>1</v>
      </c>
      <c r="Q296" s="22" t="b">
        <f>sum(S58:X296)&gt;0</f>
        <v>1</v>
      </c>
      <c r="R296" s="22">
        <f>countif('v2022'!F:F,F296)</f>
        <v>1</v>
      </c>
      <c r="S296" s="22">
        <f>countif('v2018'!F:F,F296)</f>
        <v>1</v>
      </c>
      <c r="T296" s="22">
        <f>countif('v2014'!F:F,F296)</f>
        <v>1</v>
      </c>
      <c r="U296" s="22">
        <f>countif('v2010'!F:F,F296)</f>
        <v>1</v>
      </c>
      <c r="V296" s="22">
        <f>countif('v2006'!F:F,F296)</f>
        <v>1</v>
      </c>
      <c r="W296" s="22">
        <f>countif('v2002'!F:F,F296)</f>
        <v>1</v>
      </c>
      <c r="X296" s="22">
        <f>countif('v1998'!F:F,F296)</f>
        <v>1</v>
      </c>
    </row>
    <row r="297">
      <c r="A297" s="26" t="str">
        <f>D297</f>
        <v>reduced Planck constant</v>
      </c>
      <c r="B297" s="27" t="s">
        <v>1903</v>
      </c>
      <c r="C297" s="28"/>
      <c r="D297" s="28" t="s">
        <v>1904</v>
      </c>
      <c r="E297" s="28" t="s">
        <v>643</v>
      </c>
      <c r="F297" s="32" t="str">
        <f t="shared" si="27"/>
        <v>ReducedPlanckConstant</v>
      </c>
      <c r="G297" s="27" t="s">
        <v>1904</v>
      </c>
      <c r="H297" s="27" t="s">
        <v>1905</v>
      </c>
      <c r="I297" s="27" t="s">
        <v>1906</v>
      </c>
      <c r="J297" s="27" t="s">
        <v>645</v>
      </c>
      <c r="K297" s="29" t="str">
        <f t="shared" si="3"/>
        <v>https://w3id.org/uom/J.s</v>
      </c>
      <c r="L297" s="28" t="s">
        <v>457</v>
      </c>
      <c r="M297" s="30">
        <f>countif(Quantities!A:A,L297)</f>
        <v>1</v>
      </c>
      <c r="N297" s="31" t="b">
        <f t="shared" si="4"/>
        <v>1</v>
      </c>
      <c r="O297" s="27" t="s">
        <v>1907</v>
      </c>
      <c r="P297" s="32" t="b">
        <f t="shared" si="5"/>
        <v>1</v>
      </c>
      <c r="Q297" s="32" t="b">
        <f>sum(S305:X305)&gt;0</f>
        <v>1</v>
      </c>
      <c r="R297" s="22">
        <f>countif('v2022'!F:F,F297)</f>
        <v>1</v>
      </c>
      <c r="S297" s="32">
        <f>countif('v2018'!F:F,F297)</f>
        <v>1</v>
      </c>
      <c r="T297" s="32">
        <f>countif('v2014'!F:F,F297)</f>
        <v>0</v>
      </c>
      <c r="U297" s="32">
        <f>countif('v2010'!F:F,F297)</f>
        <v>0</v>
      </c>
      <c r="V297" s="32">
        <f>countif('v2006'!F:F,F297)</f>
        <v>0</v>
      </c>
      <c r="W297" s="32">
        <f>countif('v2002'!F:F,F297)</f>
        <v>0</v>
      </c>
      <c r="X297" s="32">
        <f>countif('v1998'!F:F,F297)</f>
        <v>0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</row>
    <row r="298">
      <c r="A298" s="33" t="s">
        <v>1908</v>
      </c>
      <c r="B298" s="6" t="s">
        <v>1903</v>
      </c>
      <c r="E298" s="13" t="s">
        <v>643</v>
      </c>
      <c r="F298" s="22" t="str">
        <f t="shared" si="27"/>
        <v>PlanckConstantOver2Pi</v>
      </c>
      <c r="G298" s="6" t="s">
        <v>1908</v>
      </c>
      <c r="H298" s="6" t="s">
        <v>1905</v>
      </c>
      <c r="I298" s="6"/>
      <c r="J298" s="6" t="s">
        <v>645</v>
      </c>
      <c r="K298" s="14" t="str">
        <f t="shared" si="3"/>
        <v>https://w3id.org/uom/J.s</v>
      </c>
      <c r="L298" s="6" t="s">
        <v>208</v>
      </c>
      <c r="M298" s="23">
        <f>countif(Quantities!A:A,L298)</f>
        <v>1</v>
      </c>
      <c r="N298" s="24" t="b">
        <f t="shared" si="4"/>
        <v>0</v>
      </c>
      <c r="O298" s="6" t="s">
        <v>1909</v>
      </c>
      <c r="P298" s="22" t="b">
        <f t="shared" si="5"/>
        <v>1</v>
      </c>
      <c r="Q298" s="22" t="b">
        <f>sum(S266:X304)&gt;0</f>
        <v>1</v>
      </c>
      <c r="R298" s="22">
        <f>countif('v2022'!F:F,F298)</f>
        <v>0</v>
      </c>
      <c r="S298" s="22">
        <f>countif('v2018'!F:F,F298)</f>
        <v>0</v>
      </c>
      <c r="T298" s="22">
        <f>countif('v2014'!F:F,F298)</f>
        <v>1</v>
      </c>
      <c r="U298" s="22">
        <f>countif('v2010'!F:F,F298)</f>
        <v>1</v>
      </c>
      <c r="V298" s="22">
        <f>countif('v2006'!F:F,F298)</f>
        <v>1</v>
      </c>
      <c r="W298" s="22">
        <f>countif('v2002'!F:F,F298)</f>
        <v>1</v>
      </c>
      <c r="X298" s="22">
        <f>countif('v1998'!F:F,F298)</f>
        <v>1</v>
      </c>
    </row>
    <row r="299">
      <c r="A299" s="26" t="str">
        <f>D299</f>
        <v>reduced Planck constant in eV s</v>
      </c>
      <c r="B299" s="27" t="s">
        <v>1910</v>
      </c>
      <c r="C299" s="28"/>
      <c r="D299" s="28" t="s">
        <v>1911</v>
      </c>
      <c r="E299" s="28" t="s">
        <v>1598</v>
      </c>
      <c r="F299" s="32" t="str">
        <f t="shared" si="27"/>
        <v>ReducedPlanckConstantInEvS</v>
      </c>
      <c r="G299" s="27" t="s">
        <v>1911</v>
      </c>
      <c r="H299" s="27" t="s">
        <v>1905</v>
      </c>
      <c r="I299" s="27"/>
      <c r="J299" s="27" t="s">
        <v>1599</v>
      </c>
      <c r="K299" s="29" t="str">
        <f t="shared" si="3"/>
        <v>https://w3id.org/uom/eV.s</v>
      </c>
      <c r="L299" s="27" t="s">
        <v>457</v>
      </c>
      <c r="M299" s="30">
        <f>countif(Quantities!A:A,L299)</f>
        <v>1</v>
      </c>
      <c r="N299" s="31" t="b">
        <f t="shared" si="4"/>
        <v>0</v>
      </c>
      <c r="O299" s="28"/>
      <c r="P299" s="32" t="b">
        <f t="shared" si="5"/>
        <v>0</v>
      </c>
      <c r="Q299" s="32" t="b">
        <f>sum(S267:X294)&gt;0</f>
        <v>1</v>
      </c>
      <c r="R299" s="22">
        <f>countif('v2022'!F:F,F299)</f>
        <v>1</v>
      </c>
      <c r="S299" s="32">
        <f>countif('v2018'!F:F,F299)</f>
        <v>1</v>
      </c>
      <c r="T299" s="32">
        <f>countif('v2014'!F:F,F299)</f>
        <v>0</v>
      </c>
      <c r="U299" s="32">
        <f>countif('v2010'!F:F,F299)</f>
        <v>0</v>
      </c>
      <c r="V299" s="32">
        <f>countif('v2006'!F:F,F299)</f>
        <v>0</v>
      </c>
      <c r="W299" s="32">
        <f>countif('v2002'!F:F,F299)</f>
        <v>0</v>
      </c>
      <c r="X299" s="32">
        <f>countif('v1998'!F:F,F299)</f>
        <v>0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</row>
    <row r="300">
      <c r="A300" s="33" t="s">
        <v>1912</v>
      </c>
      <c r="B300" s="6" t="s">
        <v>1910</v>
      </c>
      <c r="E300" s="13" t="s">
        <v>1598</v>
      </c>
      <c r="F300" s="22" t="str">
        <f t="shared" si="27"/>
        <v>PlanckConstantOver2PiInEVS</v>
      </c>
      <c r="G300" s="6" t="s">
        <v>1912</v>
      </c>
      <c r="H300" s="6" t="s">
        <v>1905</v>
      </c>
      <c r="I300" s="6"/>
      <c r="J300" s="6" t="s">
        <v>1599</v>
      </c>
      <c r="K300" s="14" t="str">
        <f t="shared" si="3"/>
        <v>https://w3id.org/uom/eV.s</v>
      </c>
      <c r="L300" s="6" t="s">
        <v>208</v>
      </c>
      <c r="M300" s="23">
        <f>countif(Quantities!A:A,L300)</f>
        <v>1</v>
      </c>
      <c r="N300" s="24" t="b">
        <f t="shared" si="4"/>
        <v>0</v>
      </c>
      <c r="O300" s="6" t="s">
        <v>1913</v>
      </c>
      <c r="P300" s="22" t="b">
        <f t="shared" si="5"/>
        <v>1</v>
      </c>
      <c r="Q300" s="22" t="b">
        <f>sum(S300:X300)&gt;0</f>
        <v>1</v>
      </c>
      <c r="R300" s="22">
        <f>countif('v2022'!F:F,F300)</f>
        <v>0</v>
      </c>
      <c r="S300" s="22">
        <f>countif('v2018'!F:F,F300)</f>
        <v>0</v>
      </c>
      <c r="T300" s="22">
        <f>countif('v2014'!F:F,F300)</f>
        <v>1</v>
      </c>
      <c r="U300" s="22">
        <f>countif('v2010'!F:F,F300)</f>
        <v>1</v>
      </c>
      <c r="V300" s="22">
        <f>countif('v2006'!F:F,F300)</f>
        <v>1</v>
      </c>
      <c r="W300" s="22">
        <f>countif('v2002'!F:F,F300)</f>
        <v>1</v>
      </c>
      <c r="X300" s="22">
        <f>countif('v1998'!F:F,F300)</f>
        <v>1</v>
      </c>
    </row>
    <row r="301">
      <c r="A301" s="26" t="str">
        <f>D301</f>
        <v>reduced Planck constant times c in MeV fm</v>
      </c>
      <c r="B301" s="27" t="s">
        <v>1914</v>
      </c>
      <c r="C301" s="28"/>
      <c r="D301" s="28" t="s">
        <v>1915</v>
      </c>
      <c r="E301" s="28" t="s">
        <v>1916</v>
      </c>
      <c r="F301" s="32" t="str">
        <f t="shared" si="27"/>
        <v>ReducedPlanckConstantTimesCInMevFm</v>
      </c>
      <c r="G301" s="27" t="s">
        <v>1915</v>
      </c>
      <c r="H301" s="27" t="s">
        <v>1917</v>
      </c>
      <c r="I301" s="35"/>
      <c r="J301" s="35" t="s">
        <v>1918</v>
      </c>
      <c r="K301" s="29" t="str">
        <f t="shared" si="3"/>
        <v>https://w3id.org/uom/MeV.fm</v>
      </c>
      <c r="L301" s="27" t="s">
        <v>457</v>
      </c>
      <c r="M301" s="30">
        <f>countif(Quantities!A:A,L301)</f>
        <v>1</v>
      </c>
      <c r="N301" s="31" t="b">
        <f t="shared" si="4"/>
        <v>0</v>
      </c>
      <c r="O301" s="28"/>
      <c r="P301" s="32" t="b">
        <f t="shared" si="5"/>
        <v>0</v>
      </c>
      <c r="Q301" s="32" t="b">
        <f>sum(S267:X294)&gt;0</f>
        <v>1</v>
      </c>
      <c r="R301" s="22">
        <f>countif('v2022'!F:F,F301)</f>
        <v>1</v>
      </c>
      <c r="S301" s="32">
        <f>countif('v2018'!F:F,F301)</f>
        <v>1</v>
      </c>
      <c r="T301" s="32">
        <f>countif('v2014'!F:F,F301)</f>
        <v>0</v>
      </c>
      <c r="U301" s="32">
        <f>countif('v2010'!F:F,F301)</f>
        <v>0</v>
      </c>
      <c r="V301" s="32">
        <f>countif('v2006'!F:F,F301)</f>
        <v>0</v>
      </c>
      <c r="W301" s="32">
        <f>countif('v2002'!F:F,F301)</f>
        <v>0</v>
      </c>
      <c r="X301" s="32">
        <f>countif('v1998'!F:F,F301)</f>
        <v>0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</row>
    <row r="302">
      <c r="A302" s="33" t="s">
        <v>1919</v>
      </c>
      <c r="B302" s="6" t="s">
        <v>1914</v>
      </c>
      <c r="E302" s="13" t="s">
        <v>1916</v>
      </c>
      <c r="F302" s="22" t="str">
        <f t="shared" si="27"/>
        <v>PlanckConstantOver2PiTimesCInMeVFm</v>
      </c>
      <c r="G302" s="6" t="s">
        <v>1919</v>
      </c>
      <c r="H302" s="6" t="s">
        <v>1917</v>
      </c>
      <c r="I302" s="6"/>
      <c r="J302" s="36" t="s">
        <v>1918</v>
      </c>
      <c r="K302" s="14" t="str">
        <f t="shared" si="3"/>
        <v>https://w3id.org/uom/MeV.fm</v>
      </c>
      <c r="L302" s="6" t="s">
        <v>208</v>
      </c>
      <c r="M302" s="23">
        <f>countif(Quantities!A:A,L302)</f>
        <v>1</v>
      </c>
      <c r="N302" s="24" t="b">
        <f t="shared" si="4"/>
        <v>0</v>
      </c>
      <c r="O302" s="6" t="s">
        <v>1920</v>
      </c>
      <c r="P302" s="22" t="b">
        <f t="shared" si="5"/>
        <v>1</v>
      </c>
      <c r="Q302" s="22" t="b">
        <f>sum(S300:X302)&gt;0</f>
        <v>1</v>
      </c>
      <c r="R302" s="22">
        <f>countif('v2022'!F:F,F302)</f>
        <v>0</v>
      </c>
      <c r="S302" s="22">
        <f>countif('v2018'!F:F,F302)</f>
        <v>0</v>
      </c>
      <c r="T302" s="22">
        <f>countif('v2014'!F:F,F302)</f>
        <v>1</v>
      </c>
      <c r="U302" s="22">
        <f>countif('v2010'!F:F,F302)</f>
        <v>1</v>
      </c>
      <c r="V302" s="22">
        <f>countif('v2006'!F:F,F302)</f>
        <v>1</v>
      </c>
      <c r="W302" s="22">
        <f>countif('v2002'!F:F,F302)</f>
        <v>1</v>
      </c>
      <c r="X302" s="22">
        <f>countif('v1998'!F:F,F302)</f>
        <v>0</v>
      </c>
    </row>
    <row r="303">
      <c r="A303" s="21" t="str">
        <f>D303</f>
        <v>reduced proton Compton wavelength</v>
      </c>
      <c r="B303" s="6" t="s">
        <v>1921</v>
      </c>
      <c r="D303" s="13" t="s">
        <v>1922</v>
      </c>
      <c r="E303" s="13" t="s">
        <v>571</v>
      </c>
      <c r="F303" s="22" t="str">
        <f t="shared" si="27"/>
        <v>ReducedProtonComptonWavelength</v>
      </c>
      <c r="G303" s="6" t="s">
        <v>1922</v>
      </c>
      <c r="H303" s="6" t="s">
        <v>1923</v>
      </c>
      <c r="I303" s="6"/>
      <c r="J303" s="6" t="s">
        <v>571</v>
      </c>
      <c r="K303" s="14" t="str">
        <f t="shared" si="3"/>
        <v>https://w3id.org/uom/m</v>
      </c>
      <c r="L303" s="13" t="s">
        <v>458</v>
      </c>
      <c r="M303" s="23">
        <f>countif(Quantities!A:A,L303)</f>
        <v>1</v>
      </c>
      <c r="N303" s="24" t="b">
        <f t="shared" si="4"/>
        <v>1</v>
      </c>
      <c r="P303" s="22" t="b">
        <f t="shared" si="5"/>
        <v>0</v>
      </c>
      <c r="Q303" s="22" t="b">
        <f>sum(S267:X294)&gt;0</f>
        <v>1</v>
      </c>
      <c r="R303" s="22">
        <f>countif('v2022'!F:F,F303)</f>
        <v>1</v>
      </c>
      <c r="S303" s="22">
        <f>countif('v2018'!F:F,F303)</f>
        <v>1</v>
      </c>
      <c r="T303" s="22">
        <f>countif('v2014'!F:F,F303)</f>
        <v>0</v>
      </c>
      <c r="U303" s="22">
        <f>countif('v2010'!F:F,F303)</f>
        <v>0</v>
      </c>
      <c r="V303" s="22">
        <f>countif('v2006'!F:F,F303)</f>
        <v>0</v>
      </c>
      <c r="W303" s="22">
        <f>countif('v2002'!F:F,F303)</f>
        <v>0</v>
      </c>
      <c r="X303" s="22">
        <f>countif('v1998'!F:F,F303)</f>
        <v>0</v>
      </c>
    </row>
    <row r="304">
      <c r="A304" s="6" t="s">
        <v>1924</v>
      </c>
      <c r="B304" s="6" t="s">
        <v>1921</v>
      </c>
      <c r="E304" s="6" t="s">
        <v>571</v>
      </c>
      <c r="F304" s="22" t="str">
        <f t="shared" si="27"/>
        <v>ProtonComptonWavelengthOver2Pi</v>
      </c>
      <c r="G304" s="6" t="s">
        <v>1924</v>
      </c>
      <c r="H304" s="6" t="s">
        <v>1923</v>
      </c>
      <c r="I304" s="6"/>
      <c r="J304" s="6" t="s">
        <v>571</v>
      </c>
      <c r="K304" s="14" t="str">
        <f t="shared" si="3"/>
        <v>https://w3id.org/uom/m</v>
      </c>
      <c r="L304" s="6" t="s">
        <v>436</v>
      </c>
      <c r="M304" s="23">
        <f>countif(Quantities!A:A,L304)</f>
        <v>1</v>
      </c>
      <c r="N304" s="24" t="b">
        <f t="shared" si="4"/>
        <v>0</v>
      </c>
      <c r="O304" s="6" t="s">
        <v>1925</v>
      </c>
      <c r="P304" s="22" t="b">
        <f t="shared" si="5"/>
        <v>1</v>
      </c>
      <c r="Q304" s="22" t="b">
        <f>sum(S273:X304)&gt;0</f>
        <v>1</v>
      </c>
      <c r="R304" s="22">
        <f>countif('v2022'!F:F,F304)</f>
        <v>0</v>
      </c>
      <c r="S304" s="22">
        <f>countif('v2018'!F:F,F304)</f>
        <v>0</v>
      </c>
      <c r="T304" s="22">
        <f>countif('v2014'!F:F,F304)</f>
        <v>1</v>
      </c>
      <c r="U304" s="22">
        <f>countif('v2010'!F:F,F304)</f>
        <v>1</v>
      </c>
      <c r="V304" s="22">
        <f>countif('v2006'!F:F,F304)</f>
        <v>1</v>
      </c>
      <c r="W304" s="22">
        <f>countif('v2002'!F:F,F304)</f>
        <v>1</v>
      </c>
      <c r="X304" s="22">
        <f>countif('v1998'!F:F,F304)</f>
        <v>1</v>
      </c>
    </row>
    <row r="305">
      <c r="A305" s="26" t="str">
        <f>D305</f>
        <v>reduced neutron Compton wavelength</v>
      </c>
      <c r="B305" s="27" t="s">
        <v>1926</v>
      </c>
      <c r="C305" s="28"/>
      <c r="D305" s="28" t="s">
        <v>1927</v>
      </c>
      <c r="E305" s="28" t="s">
        <v>571</v>
      </c>
      <c r="F305" s="32" t="str">
        <f t="shared" si="27"/>
        <v>ReducedNeutronComptonWavelength</v>
      </c>
      <c r="G305" s="27" t="s">
        <v>1927</v>
      </c>
      <c r="H305" s="27" t="s">
        <v>1928</v>
      </c>
      <c r="I305" s="27"/>
      <c r="J305" s="27" t="s">
        <v>571</v>
      </c>
      <c r="K305" s="29" t="str">
        <f t="shared" si="3"/>
        <v>https://w3id.org/uom/m</v>
      </c>
      <c r="L305" s="28" t="s">
        <v>456</v>
      </c>
      <c r="M305" s="30">
        <f>countif(Quantities!A:A,L305)</f>
        <v>1</v>
      </c>
      <c r="N305" s="31" t="b">
        <f t="shared" si="4"/>
        <v>1</v>
      </c>
      <c r="O305" s="28"/>
      <c r="P305" s="32" t="b">
        <f t="shared" si="5"/>
        <v>0</v>
      </c>
      <c r="Q305" s="32" t="b">
        <f>sum(S208:X294)&gt;0</f>
        <v>1</v>
      </c>
      <c r="R305" s="22">
        <f>countif('v2022'!F:F,F305)</f>
        <v>1</v>
      </c>
      <c r="S305" s="32">
        <f>countif('v2018'!F:F,F305)</f>
        <v>1</v>
      </c>
      <c r="T305" s="32">
        <f>countif('v2014'!F:F,F305)</f>
        <v>0</v>
      </c>
      <c r="U305" s="32">
        <f>countif('v2010'!F:F,F305)</f>
        <v>0</v>
      </c>
      <c r="V305" s="32">
        <f>countif('v2006'!F:F,F305)</f>
        <v>0</v>
      </c>
      <c r="W305" s="32">
        <f>countif('v2002'!F:F,F305)</f>
        <v>0</v>
      </c>
      <c r="X305" s="32">
        <f>countif('v1998'!F:F,F305)</f>
        <v>0</v>
      </c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</row>
    <row r="306">
      <c r="A306" s="33" t="s">
        <v>1929</v>
      </c>
      <c r="B306" s="6" t="s">
        <v>1926</v>
      </c>
      <c r="E306" s="6" t="s">
        <v>571</v>
      </c>
      <c r="F306" s="22" t="str">
        <f t="shared" si="27"/>
        <v>NeutronComptonWavelengthOver2Pi</v>
      </c>
      <c r="G306" s="6" t="s">
        <v>1929</v>
      </c>
      <c r="H306" s="6" t="s">
        <v>1930</v>
      </c>
      <c r="I306" s="6"/>
      <c r="J306" s="6" t="s">
        <v>571</v>
      </c>
      <c r="K306" s="14" t="str">
        <f t="shared" si="3"/>
        <v>https://w3id.org/uom/m</v>
      </c>
      <c r="L306" s="6" t="s">
        <v>412</v>
      </c>
      <c r="M306" s="23">
        <f>countif(Quantities!A:A,L306)</f>
        <v>1</v>
      </c>
      <c r="N306" s="24" t="b">
        <f t="shared" si="4"/>
        <v>0</v>
      </c>
      <c r="O306" s="6" t="s">
        <v>1931</v>
      </c>
      <c r="P306" s="22" t="b">
        <f t="shared" si="5"/>
        <v>1</v>
      </c>
      <c r="Q306" s="22" t="b">
        <f>sum(S234:X306)&gt;0</f>
        <v>1</v>
      </c>
      <c r="R306" s="22">
        <f>countif('v2022'!F:F,F306)</f>
        <v>0</v>
      </c>
      <c r="S306" s="22">
        <f>countif('v2018'!F:F,F306)</f>
        <v>0</v>
      </c>
      <c r="T306" s="22">
        <f>countif('v2014'!F:F,F306)</f>
        <v>1</v>
      </c>
      <c r="U306" s="22">
        <f>countif('v2010'!F:F,F306)</f>
        <v>1</v>
      </c>
      <c r="V306" s="22">
        <f>countif('v2006'!F:F,F306)</f>
        <v>1</v>
      </c>
      <c r="W306" s="22">
        <f>countif('v2002'!F:F,F306)</f>
        <v>1</v>
      </c>
      <c r="X306" s="22">
        <f>countif('v1998'!F:F,F306)</f>
        <v>1</v>
      </c>
    </row>
    <row r="307">
      <c r="A307" s="21" t="str">
        <f t="shared" ref="A307:A314" si="28">D307</f>
        <v>Rydberg constant</v>
      </c>
      <c r="B307" s="6" t="s">
        <v>1932</v>
      </c>
      <c r="D307" s="13" t="s">
        <v>1933</v>
      </c>
      <c r="E307" s="13" t="s">
        <v>606</v>
      </c>
      <c r="F307" s="22" t="str">
        <f t="shared" si="27"/>
        <v>RydbergConstant</v>
      </c>
      <c r="G307" s="6" t="s">
        <v>1933</v>
      </c>
      <c r="H307" s="6" t="s">
        <v>1934</v>
      </c>
      <c r="I307" s="6"/>
      <c r="J307" s="6" t="s">
        <v>609</v>
      </c>
      <c r="K307" s="14" t="str">
        <f t="shared" si="3"/>
        <v>https://w3id.org/uom/m-1</v>
      </c>
      <c r="L307" s="13" t="s">
        <v>460</v>
      </c>
      <c r="M307" s="23">
        <f>countif(Quantities!A:A,L307)</f>
        <v>1</v>
      </c>
      <c r="N307" s="24" t="b">
        <f t="shared" si="4"/>
        <v>1</v>
      </c>
      <c r="O307" s="6" t="s">
        <v>1935</v>
      </c>
      <c r="P307" s="22" t="b">
        <f t="shared" si="5"/>
        <v>1</v>
      </c>
      <c r="Q307" s="22" t="b">
        <f>sum(S307:X307)&gt;0</f>
        <v>1</v>
      </c>
      <c r="R307" s="22">
        <f>countif('v2022'!F:F,F307)</f>
        <v>1</v>
      </c>
      <c r="S307" s="22">
        <f>countif('v2018'!F:F,F307)</f>
        <v>1</v>
      </c>
      <c r="T307" s="22">
        <f>countif('v2014'!F:F,F307)</f>
        <v>1</v>
      </c>
      <c r="U307" s="22">
        <f>countif('v2010'!F:F,F307)</f>
        <v>1</v>
      </c>
      <c r="V307" s="22">
        <f>countif('v2006'!F:F,F307)</f>
        <v>1</v>
      </c>
      <c r="W307" s="22">
        <f>countif('v2002'!F:F,F307)</f>
        <v>1</v>
      </c>
      <c r="X307" s="22">
        <f>countif('v1998'!F:F,F307)</f>
        <v>1</v>
      </c>
    </row>
    <row r="308">
      <c r="A308" s="21" t="str">
        <f t="shared" si="28"/>
        <v>Rydberg constant times c in Hz</v>
      </c>
      <c r="B308" s="6" t="s">
        <v>1936</v>
      </c>
      <c r="D308" s="13" t="s">
        <v>1937</v>
      </c>
      <c r="E308" s="13" t="s">
        <v>600</v>
      </c>
      <c r="F308" s="22" t="str">
        <f t="shared" si="27"/>
        <v>RydbergConstantTimesCInHz</v>
      </c>
      <c r="G308" s="6" t="s">
        <v>1937</v>
      </c>
      <c r="H308" s="6" t="s">
        <v>1938</v>
      </c>
      <c r="I308" s="6"/>
      <c r="J308" s="6" t="s">
        <v>600</v>
      </c>
      <c r="K308" s="14" t="str">
        <f t="shared" si="3"/>
        <v>https://w3id.org/uom/Hz</v>
      </c>
      <c r="L308" s="6" t="s">
        <v>460</v>
      </c>
      <c r="M308" s="23">
        <f>countif(Quantities!A:A,L308)</f>
        <v>1</v>
      </c>
      <c r="N308" s="24" t="b">
        <f t="shared" si="4"/>
        <v>0</v>
      </c>
      <c r="O308" s="6" t="s">
        <v>1939</v>
      </c>
      <c r="P308" s="22" t="b">
        <f t="shared" si="5"/>
        <v>1</v>
      </c>
      <c r="Q308" s="22" t="b">
        <f t="shared" ref="Q308:Q334" si="29">sum(S307:X308)&gt;0</f>
        <v>1</v>
      </c>
      <c r="R308" s="22">
        <f>countif('v2022'!F:F,F308)</f>
        <v>1</v>
      </c>
      <c r="S308" s="22">
        <f>countif('v2018'!F:F,F308)</f>
        <v>1</v>
      </c>
      <c r="T308" s="22">
        <f>countif('v2014'!F:F,F308)</f>
        <v>1</v>
      </c>
      <c r="U308" s="22">
        <f>countif('v2010'!F:F,F308)</f>
        <v>1</v>
      </c>
      <c r="V308" s="22">
        <f>countif('v2006'!F:F,F308)</f>
        <v>1</v>
      </c>
      <c r="W308" s="22">
        <f>countif('v2002'!F:F,F308)</f>
        <v>1</v>
      </c>
      <c r="X308" s="22">
        <f>countif('v1998'!F:F,F308)</f>
        <v>1</v>
      </c>
    </row>
    <row r="309">
      <c r="A309" s="21" t="str">
        <f t="shared" si="28"/>
        <v>Rydberg constant times hc in eV</v>
      </c>
      <c r="B309" s="6" t="s">
        <v>1940</v>
      </c>
      <c r="D309" s="13" t="s">
        <v>1941</v>
      </c>
      <c r="E309" s="13" t="s">
        <v>175</v>
      </c>
      <c r="F309" s="22" t="str">
        <f t="shared" si="27"/>
        <v>RydbergConstantTimesHcInEV</v>
      </c>
      <c r="G309" s="6" t="s">
        <v>1941</v>
      </c>
      <c r="H309" s="6" t="s">
        <v>1942</v>
      </c>
      <c r="I309" s="6"/>
      <c r="J309" s="6" t="s">
        <v>175</v>
      </c>
      <c r="K309" s="14" t="str">
        <f t="shared" si="3"/>
        <v>https://w3id.org/uom/eV</v>
      </c>
      <c r="L309" s="6" t="s">
        <v>460</v>
      </c>
      <c r="M309" s="23">
        <f>countif(Quantities!A:A,L309)</f>
        <v>1</v>
      </c>
      <c r="N309" s="24" t="b">
        <f t="shared" si="4"/>
        <v>0</v>
      </c>
      <c r="O309" s="6" t="s">
        <v>1943</v>
      </c>
      <c r="P309" s="22" t="b">
        <f t="shared" si="5"/>
        <v>1</v>
      </c>
      <c r="Q309" s="22" t="b">
        <f t="shared" si="29"/>
        <v>1</v>
      </c>
      <c r="R309" s="22">
        <f>countif('v2022'!F:F,F309)</f>
        <v>1</v>
      </c>
      <c r="S309" s="22">
        <f>countif('v2018'!F:F,F309)</f>
        <v>1</v>
      </c>
      <c r="T309" s="22">
        <f>countif('v2014'!F:F,F309)</f>
        <v>1</v>
      </c>
      <c r="U309" s="22">
        <f>countif('v2010'!F:F,F309)</f>
        <v>1</v>
      </c>
      <c r="V309" s="22">
        <f>countif('v2006'!F:F,F309)</f>
        <v>1</v>
      </c>
      <c r="W309" s="22">
        <f>countif('v2002'!F:F,F309)</f>
        <v>1</v>
      </c>
      <c r="X309" s="22">
        <f>countif('v1998'!F:F,F309)</f>
        <v>1</v>
      </c>
    </row>
    <row r="310">
      <c r="A310" s="21" t="str">
        <f t="shared" si="28"/>
        <v>Rydberg constant times hc in J</v>
      </c>
      <c r="B310" s="6" t="s">
        <v>1944</v>
      </c>
      <c r="D310" s="13" t="s">
        <v>1945</v>
      </c>
      <c r="E310" s="13" t="s">
        <v>543</v>
      </c>
      <c r="F310" s="22" t="str">
        <f t="shared" si="27"/>
        <v>RydbergConstantTimesHcInJ</v>
      </c>
      <c r="G310" s="6" t="s">
        <v>1945</v>
      </c>
      <c r="H310" s="6" t="s">
        <v>1942</v>
      </c>
      <c r="I310" s="6"/>
      <c r="J310" s="6" t="s">
        <v>543</v>
      </c>
      <c r="K310" s="14" t="str">
        <f t="shared" si="3"/>
        <v>https://w3id.org/uom/J</v>
      </c>
      <c r="L310" s="6" t="s">
        <v>460</v>
      </c>
      <c r="M310" s="23">
        <f>countif(Quantities!A:A,L310)</f>
        <v>1</v>
      </c>
      <c r="N310" s="24" t="b">
        <f t="shared" si="4"/>
        <v>0</v>
      </c>
      <c r="O310" s="6" t="s">
        <v>1946</v>
      </c>
      <c r="P310" s="22" t="b">
        <f t="shared" si="5"/>
        <v>1</v>
      </c>
      <c r="Q310" s="22" t="b">
        <f t="shared" si="29"/>
        <v>1</v>
      </c>
      <c r="R310" s="22">
        <f>countif('v2022'!F:F,F310)</f>
        <v>1</v>
      </c>
      <c r="S310" s="22">
        <f>countif('v2018'!F:F,F310)</f>
        <v>1</v>
      </c>
      <c r="T310" s="22">
        <f>countif('v2014'!F:F,F310)</f>
        <v>1</v>
      </c>
      <c r="U310" s="22">
        <f>countif('v2010'!F:F,F310)</f>
        <v>1</v>
      </c>
      <c r="V310" s="22">
        <f>countif('v2006'!F:F,F310)</f>
        <v>1</v>
      </c>
      <c r="W310" s="22">
        <f>countif('v2002'!F:F,F310)</f>
        <v>1</v>
      </c>
      <c r="X310" s="22">
        <f>countif('v1998'!F:F,F310)</f>
        <v>1</v>
      </c>
    </row>
    <row r="311">
      <c r="A311" s="21" t="str">
        <f t="shared" si="28"/>
        <v>Sackur-Tetrode constant (1 K, 100 kPa)</v>
      </c>
      <c r="B311" s="6" t="s">
        <v>1947</v>
      </c>
      <c r="D311" s="13" t="s">
        <v>1948</v>
      </c>
      <c r="F311" s="6" t="s">
        <v>461</v>
      </c>
      <c r="G311" s="6" t="s">
        <v>1948</v>
      </c>
      <c r="H311" s="6"/>
      <c r="I311" s="6"/>
      <c r="J311" s="6"/>
      <c r="K311" s="13" t="str">
        <f t="shared" si="3"/>
        <v/>
      </c>
      <c r="L311" s="6" t="s">
        <v>461</v>
      </c>
      <c r="M311" s="23">
        <f>countif(Quantities!A:A,L311)</f>
        <v>1</v>
      </c>
      <c r="N311" s="24" t="b">
        <f t="shared" si="4"/>
        <v>1</v>
      </c>
      <c r="O311" s="6" t="s">
        <v>1949</v>
      </c>
      <c r="P311" s="22" t="b">
        <f t="shared" si="5"/>
        <v>1</v>
      </c>
      <c r="Q311" s="22" t="b">
        <f t="shared" si="29"/>
        <v>1</v>
      </c>
      <c r="R311" s="22">
        <f>countif('v2022'!F:F,F311)</f>
        <v>1</v>
      </c>
      <c r="S311" s="22">
        <f>countif('v2018'!F:F,F311)</f>
        <v>1</v>
      </c>
      <c r="T311" s="22">
        <f>countif('v2014'!F:F,F311)</f>
        <v>1</v>
      </c>
      <c r="U311" s="22">
        <f>countif('v2010'!F:F,F311)</f>
        <v>1</v>
      </c>
      <c r="V311" s="22">
        <f>countif('v2006'!F:F,F311)</f>
        <v>1</v>
      </c>
      <c r="W311" s="22">
        <f>countif('v2002'!F:F,F311)</f>
        <v>1</v>
      </c>
      <c r="X311" s="22">
        <f>countif('v1998'!F:F,F311)</f>
        <v>1</v>
      </c>
    </row>
    <row r="312">
      <c r="A312" s="21" t="str">
        <f t="shared" si="28"/>
        <v>Sackur-Tetrode constant (1 K, 101.325 kPa)</v>
      </c>
      <c r="B312" s="6" t="s">
        <v>1950</v>
      </c>
      <c r="D312" s="13" t="s">
        <v>1951</v>
      </c>
      <c r="F312" s="6" t="s">
        <v>1952</v>
      </c>
      <c r="G312" s="6" t="s">
        <v>1951</v>
      </c>
      <c r="H312" s="6"/>
      <c r="K312" s="13" t="str">
        <f t="shared" si="3"/>
        <v/>
      </c>
      <c r="L312" s="6" t="s">
        <v>461</v>
      </c>
      <c r="M312" s="23">
        <f>countif(Quantities!A:A,L312)</f>
        <v>1</v>
      </c>
      <c r="N312" s="24" t="b">
        <f t="shared" si="4"/>
        <v>0</v>
      </c>
      <c r="P312" s="22" t="b">
        <f>not(isblank(O313))</f>
        <v>1</v>
      </c>
      <c r="Q312" s="22" t="b">
        <f t="shared" si="29"/>
        <v>1</v>
      </c>
      <c r="R312" s="22">
        <f>countif('v2022'!F:F,F312)</f>
        <v>1</v>
      </c>
      <c r="S312" s="22">
        <f>countif('v2018'!F:F,F312)</f>
        <v>1</v>
      </c>
      <c r="T312" s="22">
        <f>countif('v2014'!F:F,F312)</f>
        <v>1</v>
      </c>
      <c r="U312" s="22">
        <f>countif('v2010'!F:F,F312)</f>
        <v>1</v>
      </c>
      <c r="V312" s="22">
        <f>countif('v2006'!F:F,F312)</f>
        <v>1</v>
      </c>
      <c r="W312" s="22">
        <f>countif('v2002'!F:F,F312)</f>
        <v>1</v>
      </c>
      <c r="X312" s="22">
        <f>countif('v1998'!F:F,F312)</f>
        <v>1</v>
      </c>
    </row>
    <row r="313">
      <c r="A313" s="21" t="str">
        <f t="shared" si="28"/>
        <v>second radiation constant</v>
      </c>
      <c r="B313" s="6" t="s">
        <v>1953</v>
      </c>
      <c r="C313" s="6"/>
      <c r="D313" s="13" t="s">
        <v>1954</v>
      </c>
      <c r="E313" s="13" t="s">
        <v>1955</v>
      </c>
      <c r="F313" s="22" t="str">
        <f t="shared" ref="F313:F325" si="30">if(isblank(O313),concatenate(substitute(proper(D313)," ","")),SUBSTITUTE(O313,"constant:",""))</f>
        <v>SecondRadiationConstant</v>
      </c>
      <c r="G313" s="6" t="s">
        <v>1954</v>
      </c>
      <c r="H313" s="6" t="s">
        <v>1956</v>
      </c>
      <c r="I313" s="6"/>
      <c r="J313" s="6" t="s">
        <v>1957</v>
      </c>
      <c r="K313" s="14" t="str">
        <f t="shared" si="3"/>
        <v>https://w3id.org/uom/m.K</v>
      </c>
      <c r="L313" s="13" t="s">
        <v>462</v>
      </c>
      <c r="M313" s="23">
        <f>countif(Quantities!A:A,L313)</f>
        <v>1</v>
      </c>
      <c r="N313" s="24" t="b">
        <f t="shared" si="4"/>
        <v>1</v>
      </c>
      <c r="O313" s="6" t="s">
        <v>1958</v>
      </c>
      <c r="P313" s="22" t="b">
        <f>not(isblank(#REF!))</f>
        <v>1</v>
      </c>
      <c r="Q313" s="22" t="b">
        <f t="shared" si="29"/>
        <v>1</v>
      </c>
      <c r="R313" s="22">
        <f>countif('v2022'!F:F,F313)</f>
        <v>1</v>
      </c>
      <c r="S313" s="22">
        <f>countif('v2018'!F:F,F313)</f>
        <v>1</v>
      </c>
      <c r="T313" s="22">
        <f>countif('v2014'!F:F,F313)</f>
        <v>1</v>
      </c>
      <c r="U313" s="22">
        <f>countif('v2010'!F:F,F313)</f>
        <v>1</v>
      </c>
      <c r="V313" s="22">
        <f>countif('v2006'!F:F,F313)</f>
        <v>1</v>
      </c>
      <c r="W313" s="22">
        <f>countif('v2002'!F:F,F313)</f>
        <v>1</v>
      </c>
      <c r="X313" s="22">
        <f>countif('v1998'!F:F,F313)</f>
        <v>1</v>
      </c>
    </row>
    <row r="314">
      <c r="A314" s="21" t="str">
        <f t="shared" si="28"/>
        <v>shielded helion gyromag. ratio</v>
      </c>
      <c r="B314" s="6" t="s">
        <v>1959</v>
      </c>
      <c r="D314" s="13" t="s">
        <v>1960</v>
      </c>
      <c r="E314" s="13" t="s">
        <v>961</v>
      </c>
      <c r="F314" s="22" t="str">
        <f t="shared" si="30"/>
        <v>ShieldedHelionGyromagneticRatio</v>
      </c>
      <c r="G314" s="6" t="s">
        <v>1961</v>
      </c>
      <c r="H314" s="6" t="s">
        <v>1962</v>
      </c>
      <c r="I314" s="6"/>
      <c r="J314" s="6" t="s">
        <v>964</v>
      </c>
      <c r="K314" s="14" t="str">
        <f t="shared" si="3"/>
        <v>https://w3id.org/uom/s-1.T-1</v>
      </c>
      <c r="L314" s="13" t="s">
        <v>463</v>
      </c>
      <c r="M314" s="23">
        <f>countif(Quantities!A:A,L314)</f>
        <v>1</v>
      </c>
      <c r="N314" s="24" t="b">
        <f t="shared" si="4"/>
        <v>1</v>
      </c>
      <c r="O314" s="6" t="s">
        <v>1963</v>
      </c>
      <c r="P314" s="22" t="b">
        <f t="shared" ref="P314:P370" si="31">not(isblank(O314))</f>
        <v>1</v>
      </c>
      <c r="Q314" s="22" t="b">
        <f t="shared" si="29"/>
        <v>1</v>
      </c>
      <c r="R314" s="22">
        <f>countif('v2022'!F:F,F314)</f>
        <v>1</v>
      </c>
      <c r="S314" s="22">
        <f>countif('v2018'!F:F,F314)</f>
        <v>1</v>
      </c>
      <c r="T314" s="22">
        <f>countif('v2014'!F:F,F314)</f>
        <v>1</v>
      </c>
      <c r="U314" s="22">
        <f>countif('v2010'!F:F,F314)</f>
        <v>1</v>
      </c>
      <c r="V314" s="22">
        <f>countif('v2006'!F:F,F314)</f>
        <v>1</v>
      </c>
      <c r="W314" s="22">
        <f>countif('v2002'!F:F,F314)</f>
        <v>1</v>
      </c>
      <c r="X314" s="22">
        <f>countif('v1998'!F:F,F314)</f>
        <v>1</v>
      </c>
    </row>
    <row r="315">
      <c r="A315" s="33" t="s">
        <v>1964</v>
      </c>
      <c r="B315" s="6" t="s">
        <v>1965</v>
      </c>
      <c r="E315" s="13" t="s">
        <v>969</v>
      </c>
      <c r="F315" s="22" t="str">
        <f t="shared" si="30"/>
        <v>ShieldedHelionGyromagneticRatioOver2Pi</v>
      </c>
      <c r="G315" s="6" t="s">
        <v>1964</v>
      </c>
      <c r="H315" s="6" t="s">
        <v>1966</v>
      </c>
      <c r="I315" s="6"/>
      <c r="J315" s="6" t="s">
        <v>972</v>
      </c>
      <c r="K315" s="14" t="str">
        <f t="shared" si="3"/>
        <v>https://w3id.org/uom/MHz.T-1</v>
      </c>
      <c r="L315" s="6" t="s">
        <v>463</v>
      </c>
      <c r="M315" s="23">
        <f>countif(Quantities!A:A,L315)</f>
        <v>1</v>
      </c>
      <c r="N315" s="24" t="b">
        <f t="shared" si="4"/>
        <v>0</v>
      </c>
      <c r="O315" s="6" t="s">
        <v>1967</v>
      </c>
      <c r="P315" s="22" t="b">
        <f t="shared" si="31"/>
        <v>1</v>
      </c>
      <c r="Q315" s="22" t="b">
        <f t="shared" si="29"/>
        <v>1</v>
      </c>
      <c r="R315" s="22">
        <f>countif('v2022'!F:F,F315)</f>
        <v>1</v>
      </c>
      <c r="S315" s="22">
        <f>countif('v2018'!F:F,F315)</f>
        <v>1</v>
      </c>
      <c r="T315" s="22">
        <f>countif('v2014'!F:F,F315)</f>
        <v>1</v>
      </c>
      <c r="U315" s="22">
        <f>countif('v2010'!F:F,F315)</f>
        <v>1</v>
      </c>
      <c r="V315" s="22">
        <f>countif('v2006'!F:F,F315)</f>
        <v>1</v>
      </c>
      <c r="W315" s="22">
        <f>countif('v2002'!F:F,F315)</f>
        <v>1</v>
      </c>
      <c r="X315" s="22">
        <f>countif('v1998'!F:F,F315)</f>
        <v>1</v>
      </c>
    </row>
    <row r="316">
      <c r="A316" s="21" t="str">
        <f t="shared" ref="A316:A333" si="32">D316</f>
        <v>shielded helion mag. mom.</v>
      </c>
      <c r="B316" s="6" t="s">
        <v>1968</v>
      </c>
      <c r="D316" s="13" t="s">
        <v>1969</v>
      </c>
      <c r="E316" s="13" t="s">
        <v>714</v>
      </c>
      <c r="F316" s="22" t="str">
        <f t="shared" si="30"/>
        <v>ShieldedHelionMagneticMoment</v>
      </c>
      <c r="G316" s="6" t="s">
        <v>1970</v>
      </c>
      <c r="H316" s="6" t="s">
        <v>1971</v>
      </c>
      <c r="I316" s="6"/>
      <c r="J316" s="6" t="s">
        <v>717</v>
      </c>
      <c r="K316" s="14" t="str">
        <f t="shared" si="3"/>
        <v>https://w3id.org/uom/J.T-1</v>
      </c>
      <c r="L316" s="13" t="s">
        <v>464</v>
      </c>
      <c r="M316" s="23">
        <f>countif(Quantities!A:A,L316)</f>
        <v>1</v>
      </c>
      <c r="N316" s="24" t="b">
        <f t="shared" si="4"/>
        <v>1</v>
      </c>
      <c r="O316" s="6" t="s">
        <v>1972</v>
      </c>
      <c r="P316" s="22" t="b">
        <f t="shared" si="31"/>
        <v>1</v>
      </c>
      <c r="Q316" s="22" t="b">
        <f t="shared" si="29"/>
        <v>1</v>
      </c>
      <c r="R316" s="22">
        <f>countif('v2022'!F:F,F316)</f>
        <v>1</v>
      </c>
      <c r="S316" s="22">
        <f>countif('v2018'!F:F,F316)</f>
        <v>1</v>
      </c>
      <c r="T316" s="22">
        <f>countif('v2014'!F:F,F316)</f>
        <v>1</v>
      </c>
      <c r="U316" s="22">
        <f>countif('v2010'!F:F,F316)</f>
        <v>1</v>
      </c>
      <c r="V316" s="22">
        <f>countif('v2006'!F:F,F316)</f>
        <v>1</v>
      </c>
      <c r="W316" s="22">
        <f>countif('v2002'!F:F,F316)</f>
        <v>1</v>
      </c>
      <c r="X316" s="22">
        <f>countif('v1998'!F:F,F316)</f>
        <v>1</v>
      </c>
    </row>
    <row r="317">
      <c r="A317" s="21" t="str">
        <f t="shared" si="32"/>
        <v>shielded helion mag. mom. to Bohr magneton ratio</v>
      </c>
      <c r="B317" s="6" t="s">
        <v>1973</v>
      </c>
      <c r="D317" s="13" t="s">
        <v>1974</v>
      </c>
      <c r="F317" s="22" t="str">
        <f t="shared" si="30"/>
        <v>ShieldedHelionMagneticMomentToBohrMagnetonRatio</v>
      </c>
      <c r="G317" s="6" t="s">
        <v>1975</v>
      </c>
      <c r="H317" s="6" t="s">
        <v>1976</v>
      </c>
      <c r="I317" s="6"/>
      <c r="J317" s="6"/>
      <c r="K317" s="13" t="str">
        <f t="shared" si="3"/>
        <v/>
      </c>
      <c r="L317" s="13" t="s">
        <v>465</v>
      </c>
      <c r="M317" s="23">
        <f>countif(Quantities!A:A,L317)</f>
        <v>1</v>
      </c>
      <c r="N317" s="24" t="b">
        <f t="shared" si="4"/>
        <v>1</v>
      </c>
      <c r="O317" s="6" t="s">
        <v>1977</v>
      </c>
      <c r="P317" s="22" t="b">
        <f t="shared" si="31"/>
        <v>1</v>
      </c>
      <c r="Q317" s="22" t="b">
        <f t="shared" si="29"/>
        <v>1</v>
      </c>
      <c r="R317" s="22">
        <f>countif('v2022'!F:F,F317)</f>
        <v>1</v>
      </c>
      <c r="S317" s="22">
        <f>countif('v2018'!F:F,F317)</f>
        <v>1</v>
      </c>
      <c r="T317" s="22">
        <f>countif('v2014'!F:F,F317)</f>
        <v>1</v>
      </c>
      <c r="U317" s="22">
        <f>countif('v2010'!F:F,F317)</f>
        <v>1</v>
      </c>
      <c r="V317" s="22">
        <f>countif('v2006'!F:F,F317)</f>
        <v>1</v>
      </c>
      <c r="W317" s="22">
        <f>countif('v2002'!F:F,F317)</f>
        <v>1</v>
      </c>
      <c r="X317" s="22">
        <f>countif('v1998'!F:F,F317)</f>
        <v>1</v>
      </c>
    </row>
    <row r="318">
      <c r="A318" s="21" t="str">
        <f t="shared" si="32"/>
        <v>shielded helion mag. mom. to nuclear magneton ratio</v>
      </c>
      <c r="B318" s="6" t="s">
        <v>1978</v>
      </c>
      <c r="D318" s="13" t="s">
        <v>1979</v>
      </c>
      <c r="F318" s="22" t="str">
        <f t="shared" si="30"/>
        <v>ShieldedHelionMagneticMomentToNuclearMagnetonRatio</v>
      </c>
      <c r="G318" s="6" t="s">
        <v>1980</v>
      </c>
      <c r="H318" s="6" t="s">
        <v>1981</v>
      </c>
      <c r="I318" s="6"/>
      <c r="J318" s="6"/>
      <c r="K318" s="13" t="str">
        <f t="shared" si="3"/>
        <v/>
      </c>
      <c r="L318" s="13" t="s">
        <v>466</v>
      </c>
      <c r="M318" s="23">
        <f>countif(Quantities!A:A,L318)</f>
        <v>1</v>
      </c>
      <c r="N318" s="24" t="b">
        <f t="shared" si="4"/>
        <v>1</v>
      </c>
      <c r="O318" s="6" t="s">
        <v>1982</v>
      </c>
      <c r="P318" s="22" t="b">
        <f t="shared" si="31"/>
        <v>1</v>
      </c>
      <c r="Q318" s="22" t="b">
        <f t="shared" si="29"/>
        <v>1</v>
      </c>
      <c r="R318" s="22">
        <f>countif('v2022'!F:F,F318)</f>
        <v>1</v>
      </c>
      <c r="S318" s="22">
        <f>countif('v2018'!F:F,F318)</f>
        <v>1</v>
      </c>
      <c r="T318" s="22">
        <f>countif('v2014'!F:F,F318)</f>
        <v>1</v>
      </c>
      <c r="U318" s="22">
        <f>countif('v2010'!F:F,F318)</f>
        <v>1</v>
      </c>
      <c r="V318" s="22">
        <f>countif('v2006'!F:F,F318)</f>
        <v>1</v>
      </c>
      <c r="W318" s="22">
        <f>countif('v2002'!F:F,F318)</f>
        <v>1</v>
      </c>
      <c r="X318" s="22">
        <f>countif('v1998'!F:F,F318)</f>
        <v>1</v>
      </c>
    </row>
    <row r="319">
      <c r="A319" s="21" t="str">
        <f t="shared" si="32"/>
        <v>shielded helion to proton mag. mom. ratio</v>
      </c>
      <c r="B319" s="6" t="s">
        <v>1983</v>
      </c>
      <c r="D319" s="13" t="s">
        <v>1984</v>
      </c>
      <c r="F319" s="22" t="str">
        <f t="shared" si="30"/>
        <v>ShieldedHelionToProtonMagneticMomentRatio</v>
      </c>
      <c r="G319" s="6" t="s">
        <v>1985</v>
      </c>
      <c r="H319" s="6" t="s">
        <v>1986</v>
      </c>
      <c r="I319" s="6"/>
      <c r="J319" s="6"/>
      <c r="K319" s="13" t="str">
        <f t="shared" si="3"/>
        <v/>
      </c>
      <c r="L319" s="13" t="s">
        <v>467</v>
      </c>
      <c r="M319" s="23">
        <f>countif(Quantities!A:A,L319)</f>
        <v>1</v>
      </c>
      <c r="N319" s="24" t="b">
        <f t="shared" si="4"/>
        <v>1</v>
      </c>
      <c r="O319" s="6" t="s">
        <v>1987</v>
      </c>
      <c r="P319" s="22" t="b">
        <f t="shared" si="31"/>
        <v>1</v>
      </c>
      <c r="Q319" s="22" t="b">
        <f t="shared" si="29"/>
        <v>1</v>
      </c>
      <c r="R319" s="22">
        <f>countif('v2022'!F:F,F319)</f>
        <v>1</v>
      </c>
      <c r="S319" s="22">
        <f>countif('v2018'!F:F,F319)</f>
        <v>1</v>
      </c>
      <c r="T319" s="22">
        <f>countif('v2014'!F:F,F319)</f>
        <v>1</v>
      </c>
      <c r="U319" s="22">
        <f>countif('v2010'!F:F,F319)</f>
        <v>1</v>
      </c>
      <c r="V319" s="22">
        <f>countif('v2006'!F:F,F319)</f>
        <v>1</v>
      </c>
      <c r="W319" s="22">
        <f>countif('v2002'!F:F,F319)</f>
        <v>1</v>
      </c>
      <c r="X319" s="22">
        <f>countif('v1998'!F:F,F319)</f>
        <v>1</v>
      </c>
    </row>
    <row r="320">
      <c r="A320" s="21" t="str">
        <f t="shared" si="32"/>
        <v>shielded helion to shielded proton mag. mom. ratio</v>
      </c>
      <c r="B320" s="6" t="s">
        <v>1988</v>
      </c>
      <c r="D320" s="13" t="s">
        <v>1989</v>
      </c>
      <c r="F320" s="22" t="str">
        <f t="shared" si="30"/>
        <v>ShieldedHelionToShieldedProtonMagneticMomentRatio</v>
      </c>
      <c r="G320" s="6" t="s">
        <v>1990</v>
      </c>
      <c r="H320" s="6" t="s">
        <v>1991</v>
      </c>
      <c r="I320" s="6"/>
      <c r="J320" s="6"/>
      <c r="K320" s="13" t="str">
        <f t="shared" si="3"/>
        <v/>
      </c>
      <c r="L320" s="13" t="s">
        <v>468</v>
      </c>
      <c r="M320" s="23">
        <f>countif(Quantities!A:A,L320)</f>
        <v>1</v>
      </c>
      <c r="N320" s="24" t="b">
        <f t="shared" si="4"/>
        <v>1</v>
      </c>
      <c r="O320" s="6" t="s">
        <v>1992</v>
      </c>
      <c r="P320" s="22" t="b">
        <f t="shared" si="31"/>
        <v>1</v>
      </c>
      <c r="Q320" s="22" t="b">
        <f t="shared" si="29"/>
        <v>1</v>
      </c>
      <c r="R320" s="22">
        <f>countif('v2022'!F:F,F320)</f>
        <v>1</v>
      </c>
      <c r="S320" s="22">
        <f>countif('v2018'!F:F,F320)</f>
        <v>1</v>
      </c>
      <c r="T320" s="22">
        <f>countif('v2014'!F:F,F320)</f>
        <v>1</v>
      </c>
      <c r="U320" s="22">
        <f>countif('v2010'!F:F,F320)</f>
        <v>1</v>
      </c>
      <c r="V320" s="22">
        <f>countif('v2006'!F:F,F320)</f>
        <v>1</v>
      </c>
      <c r="W320" s="22">
        <f>countif('v2002'!F:F,F320)</f>
        <v>1</v>
      </c>
      <c r="X320" s="22">
        <f>countif('v1998'!F:F,F320)</f>
        <v>1</v>
      </c>
    </row>
    <row r="321">
      <c r="A321" s="21" t="str">
        <f t="shared" si="32"/>
        <v>shielded proton gyromag. ratio</v>
      </c>
      <c r="B321" s="6" t="s">
        <v>1993</v>
      </c>
      <c r="D321" s="13" t="s">
        <v>1994</v>
      </c>
      <c r="E321" s="13" t="s">
        <v>961</v>
      </c>
      <c r="F321" s="22" t="str">
        <f t="shared" si="30"/>
        <v>ShieldedProtonGyromagneticRatio</v>
      </c>
      <c r="G321" s="6" t="s">
        <v>1995</v>
      </c>
      <c r="H321" s="6" t="s">
        <v>1996</v>
      </c>
      <c r="I321" s="6"/>
      <c r="J321" s="6" t="s">
        <v>964</v>
      </c>
      <c r="K321" s="14" t="str">
        <f t="shared" si="3"/>
        <v>https://w3id.org/uom/s-1.T-1</v>
      </c>
      <c r="L321" s="13" t="s">
        <v>469</v>
      </c>
      <c r="M321" s="23">
        <f>countif(Quantities!A:A,L321)</f>
        <v>1</v>
      </c>
      <c r="N321" s="24" t="b">
        <f t="shared" si="4"/>
        <v>1</v>
      </c>
      <c r="O321" s="6" t="s">
        <v>1997</v>
      </c>
      <c r="P321" s="22" t="b">
        <f t="shared" si="31"/>
        <v>1</v>
      </c>
      <c r="Q321" s="22" t="b">
        <f t="shared" si="29"/>
        <v>1</v>
      </c>
      <c r="R321" s="22">
        <f>countif('v2022'!F:F,F321)</f>
        <v>1</v>
      </c>
      <c r="S321" s="22">
        <f>countif('v2018'!F:F,F321)</f>
        <v>1</v>
      </c>
      <c r="T321" s="22">
        <f>countif('v2014'!F:F,F321)</f>
        <v>1</v>
      </c>
      <c r="U321" s="22">
        <f>countif('v2010'!F:F,F321)</f>
        <v>1</v>
      </c>
      <c r="V321" s="22">
        <f>countif('v2006'!F:F,F321)</f>
        <v>1</v>
      </c>
      <c r="W321" s="22">
        <f>countif('v2002'!F:F,F321)</f>
        <v>1</v>
      </c>
      <c r="X321" s="22">
        <f>countif('v1998'!F:F,F321)</f>
        <v>1</v>
      </c>
    </row>
    <row r="322">
      <c r="A322" s="21" t="str">
        <f t="shared" si="32"/>
        <v>shielded proton gyromag. ratio in MHz/T</v>
      </c>
      <c r="B322" s="6" t="s">
        <v>1998</v>
      </c>
      <c r="D322" s="13" t="s">
        <v>1999</v>
      </c>
      <c r="E322" s="13" t="s">
        <v>969</v>
      </c>
      <c r="F322" s="22" t="str">
        <f t="shared" si="30"/>
        <v>ShieldedProtonGyromagneticRatioOver2Pi</v>
      </c>
      <c r="G322" s="6" t="s">
        <v>2000</v>
      </c>
      <c r="H322" s="6" t="s">
        <v>1996</v>
      </c>
      <c r="I322" s="6"/>
      <c r="J322" s="6" t="s">
        <v>972</v>
      </c>
      <c r="K322" s="14" t="str">
        <f t="shared" si="3"/>
        <v>https://w3id.org/uom/MHz.T-1</v>
      </c>
      <c r="L322" s="6" t="s">
        <v>469</v>
      </c>
      <c r="M322" s="23">
        <f>countif(Quantities!A:A,L322)</f>
        <v>1</v>
      </c>
      <c r="N322" s="24" t="b">
        <f t="shared" si="4"/>
        <v>0</v>
      </c>
      <c r="O322" s="6" t="s">
        <v>2001</v>
      </c>
      <c r="P322" s="22" t="b">
        <f t="shared" si="31"/>
        <v>1</v>
      </c>
      <c r="Q322" s="22" t="b">
        <f t="shared" si="29"/>
        <v>1</v>
      </c>
      <c r="R322" s="22">
        <f>countif('v2022'!F:F,F322)</f>
        <v>1</v>
      </c>
      <c r="S322" s="22">
        <f>countif('v2018'!F:F,F322)</f>
        <v>1</v>
      </c>
      <c r="T322" s="22">
        <f>countif('v2014'!F:F,F322)</f>
        <v>1</v>
      </c>
      <c r="U322" s="22">
        <f>countif('v2010'!F:F,F322)</f>
        <v>1</v>
      </c>
      <c r="V322" s="22">
        <f>countif('v2006'!F:F,F322)</f>
        <v>1</v>
      </c>
      <c r="W322" s="22">
        <f>countif('v2002'!F:F,F322)</f>
        <v>1</v>
      </c>
      <c r="X322" s="22">
        <f>countif('v1998'!F:F,F322)</f>
        <v>1</v>
      </c>
    </row>
    <row r="323">
      <c r="A323" s="21" t="str">
        <f t="shared" si="32"/>
        <v>shielded proton mag. mom.</v>
      </c>
      <c r="B323" s="6" t="s">
        <v>2002</v>
      </c>
      <c r="D323" s="13" t="s">
        <v>2003</v>
      </c>
      <c r="E323" s="13" t="s">
        <v>714</v>
      </c>
      <c r="F323" s="22" t="str">
        <f t="shared" si="30"/>
        <v>ShieldedProtonMagneticMoment</v>
      </c>
      <c r="G323" s="6" t="s">
        <v>2004</v>
      </c>
      <c r="H323" s="6" t="s">
        <v>2005</v>
      </c>
      <c r="I323" s="6"/>
      <c r="J323" s="6" t="s">
        <v>717</v>
      </c>
      <c r="K323" s="14" t="str">
        <f t="shared" si="3"/>
        <v>https://w3id.org/uom/J.T-1</v>
      </c>
      <c r="L323" s="13" t="s">
        <v>470</v>
      </c>
      <c r="M323" s="23">
        <f>countif(Quantities!A:A,L323)</f>
        <v>1</v>
      </c>
      <c r="N323" s="24" t="b">
        <f t="shared" si="4"/>
        <v>1</v>
      </c>
      <c r="O323" s="6" t="s">
        <v>2006</v>
      </c>
      <c r="P323" s="22" t="b">
        <f t="shared" si="31"/>
        <v>1</v>
      </c>
      <c r="Q323" s="22" t="b">
        <f t="shared" si="29"/>
        <v>1</v>
      </c>
      <c r="R323" s="22">
        <f>countif('v2022'!F:F,F323)</f>
        <v>1</v>
      </c>
      <c r="S323" s="22">
        <f>countif('v2018'!F:F,F323)</f>
        <v>1</v>
      </c>
      <c r="T323" s="22">
        <f>countif('v2014'!F:F,F323)</f>
        <v>1</v>
      </c>
      <c r="U323" s="22">
        <f>countif('v2010'!F:F,F323)</f>
        <v>1</v>
      </c>
      <c r="V323" s="22">
        <f>countif('v2006'!F:F,F323)</f>
        <v>1</v>
      </c>
      <c r="W323" s="22">
        <f>countif('v2002'!F:F,F323)</f>
        <v>1</v>
      </c>
      <c r="X323" s="22">
        <f>countif('v1998'!F:F,F323)</f>
        <v>1</v>
      </c>
    </row>
    <row r="324">
      <c r="A324" s="21" t="str">
        <f t="shared" si="32"/>
        <v>shielded proton mag. mom. to Bohr magneton ratio</v>
      </c>
      <c r="B324" s="6" t="s">
        <v>2007</v>
      </c>
      <c r="D324" s="13" t="s">
        <v>2008</v>
      </c>
      <c r="F324" s="22" t="str">
        <f t="shared" si="30"/>
        <v>ShieldedProtonMagneticMomentToBohrMagnetonRatio</v>
      </c>
      <c r="G324" s="6" t="s">
        <v>2009</v>
      </c>
      <c r="H324" s="6" t="s">
        <v>2010</v>
      </c>
      <c r="I324" s="6"/>
      <c r="J324" s="6"/>
      <c r="K324" s="13" t="str">
        <f t="shared" si="3"/>
        <v/>
      </c>
      <c r="L324" s="13" t="s">
        <v>471</v>
      </c>
      <c r="M324" s="23">
        <f>countif(Quantities!A:A,L324)</f>
        <v>1</v>
      </c>
      <c r="N324" s="24" t="b">
        <f t="shared" si="4"/>
        <v>1</v>
      </c>
      <c r="O324" s="6" t="s">
        <v>2011</v>
      </c>
      <c r="P324" s="22" t="b">
        <f t="shared" si="31"/>
        <v>1</v>
      </c>
      <c r="Q324" s="22" t="b">
        <f t="shared" si="29"/>
        <v>1</v>
      </c>
      <c r="R324" s="22">
        <f>countif('v2022'!F:F,F324)</f>
        <v>1</v>
      </c>
      <c r="S324" s="22">
        <f>countif('v2018'!F:F,F324)</f>
        <v>1</v>
      </c>
      <c r="T324" s="22">
        <f>countif('v2014'!F:F,F324)</f>
        <v>1</v>
      </c>
      <c r="U324" s="22">
        <f>countif('v2010'!F:F,F324)</f>
        <v>1</v>
      </c>
      <c r="V324" s="22">
        <f>countif('v2006'!F:F,F324)</f>
        <v>1</v>
      </c>
      <c r="W324" s="22">
        <f>countif('v2002'!F:F,F324)</f>
        <v>1</v>
      </c>
      <c r="X324" s="22">
        <f>countif('v1998'!F:F,F324)</f>
        <v>1</v>
      </c>
    </row>
    <row r="325">
      <c r="A325" s="21" t="str">
        <f t="shared" si="32"/>
        <v>shielded proton mag. mom. to nuclear magneton ratio</v>
      </c>
      <c r="B325" s="6" t="s">
        <v>2012</v>
      </c>
      <c r="D325" s="13" t="s">
        <v>2013</v>
      </c>
      <c r="F325" s="22" t="str">
        <f t="shared" si="30"/>
        <v>ShieldedProtonMagneticMomentToNuclearMagnetonRatio</v>
      </c>
      <c r="G325" s="6" t="s">
        <v>2014</v>
      </c>
      <c r="H325" s="6" t="s">
        <v>2015</v>
      </c>
      <c r="I325" s="6"/>
      <c r="J325" s="6"/>
      <c r="K325" s="13" t="str">
        <f t="shared" si="3"/>
        <v/>
      </c>
      <c r="L325" s="13" t="s">
        <v>472</v>
      </c>
      <c r="M325" s="23">
        <f>countif(Quantities!A:A,L325)</f>
        <v>1</v>
      </c>
      <c r="N325" s="24" t="b">
        <f t="shared" si="4"/>
        <v>1</v>
      </c>
      <c r="O325" s="6" t="s">
        <v>2016</v>
      </c>
      <c r="P325" s="22" t="b">
        <f t="shared" si="31"/>
        <v>1</v>
      </c>
      <c r="Q325" s="22" t="b">
        <f t="shared" si="29"/>
        <v>1</v>
      </c>
      <c r="R325" s="22">
        <f>countif('v2022'!F:F,F325)</f>
        <v>1</v>
      </c>
      <c r="S325" s="22">
        <f>countif('v2018'!F:F,F325)</f>
        <v>1</v>
      </c>
      <c r="T325" s="22">
        <f>countif('v2014'!F:F,F325)</f>
        <v>1</v>
      </c>
      <c r="U325" s="22">
        <f>countif('v2010'!F:F,F325)</f>
        <v>1</v>
      </c>
      <c r="V325" s="22">
        <f>countif('v2006'!F:F,F325)</f>
        <v>1</v>
      </c>
      <c r="W325" s="22">
        <f>countif('v2002'!F:F,F325)</f>
        <v>1</v>
      </c>
      <c r="X325" s="22">
        <f>countif('v1998'!F:F,F325)</f>
        <v>1</v>
      </c>
    </row>
    <row r="326">
      <c r="A326" s="21" t="str">
        <f t="shared" si="32"/>
        <v>shielding difference of d and p in HD</v>
      </c>
      <c r="B326" s="6" t="s">
        <v>2017</v>
      </c>
      <c r="D326" s="13" t="s">
        <v>2018</v>
      </c>
      <c r="F326" s="33" t="s">
        <v>473</v>
      </c>
      <c r="G326" s="6" t="s">
        <v>2018</v>
      </c>
      <c r="H326" s="33"/>
      <c r="K326" s="13" t="str">
        <f t="shared" si="3"/>
        <v/>
      </c>
      <c r="L326" s="6" t="s">
        <v>473</v>
      </c>
      <c r="M326" s="23">
        <f>countif(Quantities!A:A,L326)</f>
        <v>1</v>
      </c>
      <c r="N326" s="24" t="b">
        <f t="shared" si="4"/>
        <v>1</v>
      </c>
      <c r="P326" s="22" t="b">
        <f t="shared" si="31"/>
        <v>0</v>
      </c>
      <c r="Q326" s="22" t="b">
        <f t="shared" si="29"/>
        <v>1</v>
      </c>
      <c r="R326" s="22">
        <f>countif('v2022'!F:F,F326)</f>
        <v>1</v>
      </c>
      <c r="S326" s="22">
        <f>countif('v2018'!F:F,F326)</f>
        <v>1</v>
      </c>
      <c r="T326" s="22">
        <f>countif('v2014'!F:F,F326)</f>
        <v>0</v>
      </c>
      <c r="U326" s="22">
        <f>countif('v2010'!F:F,F326)</f>
        <v>0</v>
      </c>
      <c r="V326" s="22">
        <f>countif('v2006'!F:F,F326)</f>
        <v>0</v>
      </c>
      <c r="W326" s="22">
        <f>countif('v2002'!F:F,F326)</f>
        <v>0</v>
      </c>
      <c r="X326" s="22">
        <f>countif('v1998'!F:F,F326)</f>
        <v>0</v>
      </c>
    </row>
    <row r="327">
      <c r="A327" s="21" t="str">
        <f t="shared" si="32"/>
        <v>shielding difference of t and p in HT</v>
      </c>
      <c r="B327" s="6" t="s">
        <v>2019</v>
      </c>
      <c r="D327" s="13" t="s">
        <v>2020</v>
      </c>
      <c r="F327" s="33" t="s">
        <v>474</v>
      </c>
      <c r="G327" s="6" t="s">
        <v>2020</v>
      </c>
      <c r="H327" s="33"/>
      <c r="K327" s="13" t="str">
        <f t="shared" si="3"/>
        <v/>
      </c>
      <c r="L327" s="6" t="s">
        <v>474</v>
      </c>
      <c r="M327" s="23">
        <f>countif(Quantities!A:A,L327)</f>
        <v>1</v>
      </c>
      <c r="N327" s="24" t="b">
        <f t="shared" si="4"/>
        <v>1</v>
      </c>
      <c r="P327" s="22" t="b">
        <f t="shared" si="31"/>
        <v>0</v>
      </c>
      <c r="Q327" s="22" t="b">
        <f t="shared" si="29"/>
        <v>1</v>
      </c>
      <c r="R327" s="22">
        <f>countif('v2022'!F:F,F327)</f>
        <v>1</v>
      </c>
      <c r="S327" s="22">
        <f>countif('v2018'!F:F,F327)</f>
        <v>1</v>
      </c>
      <c r="T327" s="22">
        <f>countif('v2014'!F:F,F327)</f>
        <v>0</v>
      </c>
      <c r="U327" s="22">
        <f>countif('v2010'!F:F,F327)</f>
        <v>0</v>
      </c>
      <c r="V327" s="22">
        <f>countif('v2006'!F:F,F327)</f>
        <v>0</v>
      </c>
      <c r="W327" s="22">
        <f>countif('v2002'!F:F,F327)</f>
        <v>0</v>
      </c>
      <c r="X327" s="22">
        <f>countif('v1998'!F:F,F327)</f>
        <v>0</v>
      </c>
    </row>
    <row r="328">
      <c r="A328" s="21" t="str">
        <f t="shared" si="32"/>
        <v>speed of light in vacuum</v>
      </c>
      <c r="B328" s="6" t="s">
        <v>234</v>
      </c>
      <c r="C328" s="6"/>
      <c r="D328" s="13" t="s">
        <v>2021</v>
      </c>
      <c r="E328" s="13" t="s">
        <v>754</v>
      </c>
      <c r="F328" s="22" t="str">
        <f t="shared" ref="F328:F370" si="33">if(isblank(O328),concatenate(substitute(proper(D328)," ","")),SUBSTITUTE(O328,"constant:",""))</f>
        <v>SpeedOfLight_Vacuum</v>
      </c>
      <c r="G328" s="6" t="s">
        <v>2021</v>
      </c>
      <c r="H328" s="6" t="s">
        <v>2022</v>
      </c>
      <c r="I328" s="6" t="s">
        <v>2023</v>
      </c>
      <c r="J328" s="6" t="s">
        <v>756</v>
      </c>
      <c r="K328" s="14" t="str">
        <f t="shared" si="3"/>
        <v>https://w3id.org/uom/m.s-1</v>
      </c>
      <c r="L328" s="18" t="s">
        <v>233</v>
      </c>
      <c r="M328" s="23">
        <f>countif(Quantities!A:A,L328)</f>
        <v>1</v>
      </c>
      <c r="N328" s="24" t="b">
        <f t="shared" si="4"/>
        <v>0</v>
      </c>
      <c r="O328" s="6" t="s">
        <v>2024</v>
      </c>
      <c r="P328" s="22" t="b">
        <f t="shared" si="31"/>
        <v>1</v>
      </c>
      <c r="Q328" s="22" t="b">
        <f t="shared" si="29"/>
        <v>1</v>
      </c>
      <c r="R328" s="22">
        <f>countif('v2022'!F:F,F328)</f>
        <v>1</v>
      </c>
      <c r="S328" s="22">
        <f>countif('v2018'!F:F,F328)</f>
        <v>1</v>
      </c>
      <c r="T328" s="22">
        <f>countif('v2014'!F:F,F328)</f>
        <v>1</v>
      </c>
      <c r="U328" s="22">
        <f>countif('v2010'!F:F,F328)</f>
        <v>1</v>
      </c>
      <c r="V328" s="22">
        <f>countif('v2006'!F:F,F328)</f>
        <v>1</v>
      </c>
      <c r="W328" s="22">
        <f>countif('v2002'!F:F,F328)</f>
        <v>1</v>
      </c>
      <c r="X328" s="22">
        <f>countif('v1998'!F:F,F328)</f>
        <v>1</v>
      </c>
    </row>
    <row r="329">
      <c r="A329" s="21" t="str">
        <f t="shared" si="32"/>
        <v>standard acceleration of gravity</v>
      </c>
      <c r="B329" s="6" t="s">
        <v>2025</v>
      </c>
      <c r="D329" s="13" t="s">
        <v>2026</v>
      </c>
      <c r="E329" s="13" t="s">
        <v>2027</v>
      </c>
      <c r="F329" s="22" t="str">
        <f t="shared" si="33"/>
        <v>StandardAccelerationOfGravity</v>
      </c>
      <c r="G329" s="6" t="s">
        <v>2026</v>
      </c>
      <c r="H329" s="6" t="s">
        <v>2028</v>
      </c>
      <c r="I329" s="6" t="s">
        <v>2029</v>
      </c>
      <c r="J329" s="6" t="s">
        <v>2030</v>
      </c>
      <c r="K329" s="14" t="str">
        <f t="shared" si="3"/>
        <v>https://w3id.org/uom/m.s-2</v>
      </c>
      <c r="L329" s="13" t="s">
        <v>475</v>
      </c>
      <c r="M329" s="23">
        <f>countif(Quantities!A:A,L329)</f>
        <v>1</v>
      </c>
      <c r="N329" s="24" t="b">
        <f t="shared" si="4"/>
        <v>1</v>
      </c>
      <c r="O329" s="6" t="s">
        <v>2031</v>
      </c>
      <c r="P329" s="22" t="b">
        <f t="shared" si="31"/>
        <v>1</v>
      </c>
      <c r="Q329" s="22" t="b">
        <f t="shared" si="29"/>
        <v>1</v>
      </c>
      <c r="R329" s="22">
        <f>countif('v2022'!F:F,F329)</f>
        <v>1</v>
      </c>
      <c r="S329" s="22">
        <f>countif('v2018'!F:F,F329)</f>
        <v>1</v>
      </c>
      <c r="T329" s="22">
        <f>countif('v2014'!F:F,F329)</f>
        <v>1</v>
      </c>
      <c r="U329" s="22">
        <f>countif('v2010'!F:F,F329)</f>
        <v>1</v>
      </c>
      <c r="V329" s="22">
        <f>countif('v2006'!F:F,F329)</f>
        <v>1</v>
      </c>
      <c r="W329" s="22">
        <f>countif('v2002'!F:F,F329)</f>
        <v>1</v>
      </c>
      <c r="X329" s="22">
        <f>countif('v1998'!F:F,F329)</f>
        <v>1</v>
      </c>
    </row>
    <row r="330">
      <c r="A330" s="21" t="str">
        <f t="shared" si="32"/>
        <v>standard atmosphere</v>
      </c>
      <c r="B330" s="6" t="s">
        <v>2032</v>
      </c>
      <c r="D330" s="13" t="s">
        <v>2033</v>
      </c>
      <c r="E330" s="13" t="s">
        <v>2034</v>
      </c>
      <c r="F330" s="22" t="str">
        <f t="shared" si="33"/>
        <v>StandardAtmosphere</v>
      </c>
      <c r="G330" s="6" t="s">
        <v>2033</v>
      </c>
      <c r="H330" s="6" t="s">
        <v>2035</v>
      </c>
      <c r="I330" s="6" t="s">
        <v>2036</v>
      </c>
      <c r="J330" s="6" t="s">
        <v>2034</v>
      </c>
      <c r="K330" s="14" t="str">
        <f t="shared" si="3"/>
        <v>https://w3id.org/uom/Pa</v>
      </c>
      <c r="L330" s="13" t="s">
        <v>476</v>
      </c>
      <c r="M330" s="23">
        <f>countif(Quantities!A:A,L330)</f>
        <v>1</v>
      </c>
      <c r="N330" s="24" t="b">
        <f t="shared" si="4"/>
        <v>1</v>
      </c>
      <c r="O330" s="6" t="s">
        <v>2037</v>
      </c>
      <c r="P330" s="22" t="b">
        <f t="shared" si="31"/>
        <v>1</v>
      </c>
      <c r="Q330" s="22" t="b">
        <f t="shared" si="29"/>
        <v>1</v>
      </c>
      <c r="R330" s="22">
        <f>countif('v2022'!F:F,F330)</f>
        <v>1</v>
      </c>
      <c r="S330" s="22">
        <f>countif('v2018'!F:F,F330)</f>
        <v>1</v>
      </c>
      <c r="T330" s="22">
        <f>countif('v2014'!F:F,F330)</f>
        <v>1</v>
      </c>
      <c r="U330" s="22">
        <f>countif('v2010'!F:F,F330)</f>
        <v>1</v>
      </c>
      <c r="V330" s="22">
        <f>countif('v2006'!F:F,F330)</f>
        <v>1</v>
      </c>
      <c r="W330" s="22">
        <f>countif('v2002'!F:F,F330)</f>
        <v>1</v>
      </c>
      <c r="X330" s="22">
        <f>countif('v1998'!F:F,F330)</f>
        <v>1</v>
      </c>
    </row>
    <row r="331">
      <c r="A331" s="21" t="str">
        <f t="shared" si="32"/>
        <v>standard-state pressure</v>
      </c>
      <c r="B331" s="6" t="s">
        <v>2038</v>
      </c>
      <c r="D331" s="13" t="s">
        <v>2039</v>
      </c>
      <c r="E331" s="13" t="s">
        <v>2034</v>
      </c>
      <c r="F331" s="22" t="str">
        <f t="shared" si="33"/>
        <v>Standard-StatePressure</v>
      </c>
      <c r="G331" s="6" t="s">
        <v>2039</v>
      </c>
      <c r="I331" s="6"/>
      <c r="J331" s="6" t="s">
        <v>2034</v>
      </c>
      <c r="K331" s="14" t="str">
        <f t="shared" si="3"/>
        <v>https://w3id.org/uom/Pa</v>
      </c>
      <c r="L331" s="13" t="s">
        <v>477</v>
      </c>
      <c r="M331" s="23">
        <f>countif(Quantities!A:A,L331)</f>
        <v>1</v>
      </c>
      <c r="N331" s="24" t="b">
        <f t="shared" si="4"/>
        <v>1</v>
      </c>
      <c r="P331" s="22" t="b">
        <f t="shared" si="31"/>
        <v>0</v>
      </c>
      <c r="Q331" s="22" t="b">
        <f t="shared" si="29"/>
        <v>1</v>
      </c>
      <c r="R331" s="22">
        <f>countif('v2022'!F:F,F331)</f>
        <v>1</v>
      </c>
      <c r="S331" s="22">
        <f>countif('v2018'!F:F,F331)</f>
        <v>1</v>
      </c>
      <c r="T331" s="22">
        <f>countif('v2014'!F:F,F331)</f>
        <v>1</v>
      </c>
      <c r="U331" s="22">
        <f>countif('v2010'!F:F,F331)</f>
        <v>1</v>
      </c>
      <c r="V331" s="22">
        <f>countif('v2006'!F:F,F331)</f>
        <v>0</v>
      </c>
      <c r="W331" s="22">
        <f>countif('v2002'!F:F,F331)</f>
        <v>0</v>
      </c>
      <c r="X331" s="22">
        <f>countif('v1998'!F:F,F331)</f>
        <v>0</v>
      </c>
    </row>
    <row r="332">
      <c r="A332" s="21" t="str">
        <f t="shared" si="32"/>
        <v>Stefan-Boltzmann constant</v>
      </c>
      <c r="B332" s="6" t="s">
        <v>2040</v>
      </c>
      <c r="D332" s="13" t="s">
        <v>2041</v>
      </c>
      <c r="E332" s="13" t="s">
        <v>2042</v>
      </c>
      <c r="F332" s="22" t="str">
        <f t="shared" si="33"/>
        <v>StefanBoltzmannConstant</v>
      </c>
      <c r="G332" s="6" t="s">
        <v>2041</v>
      </c>
      <c r="H332" s="6" t="s">
        <v>2043</v>
      </c>
      <c r="I332" s="6"/>
      <c r="J332" s="6" t="s">
        <v>2044</v>
      </c>
      <c r="K332" s="14" t="str">
        <f t="shared" si="3"/>
        <v>https://w3id.org/uom/W.m-2.K-4</v>
      </c>
      <c r="L332" s="13" t="s">
        <v>478</v>
      </c>
      <c r="M332" s="23">
        <f>countif(Quantities!A:A,L332)</f>
        <v>1</v>
      </c>
      <c r="N332" s="24" t="b">
        <f t="shared" si="4"/>
        <v>1</v>
      </c>
      <c r="O332" s="6" t="s">
        <v>2045</v>
      </c>
      <c r="P332" s="22" t="b">
        <f t="shared" si="31"/>
        <v>1</v>
      </c>
      <c r="Q332" s="22" t="b">
        <f t="shared" si="29"/>
        <v>1</v>
      </c>
      <c r="R332" s="22">
        <f>countif('v2022'!F:F,F332)</f>
        <v>1</v>
      </c>
      <c r="S332" s="22">
        <f>countif('v2018'!F:F,F332)</f>
        <v>1</v>
      </c>
      <c r="T332" s="22">
        <f>countif('v2014'!F:F,F332)</f>
        <v>1</v>
      </c>
      <c r="U332" s="22">
        <f>countif('v2010'!F:F,F332)</f>
        <v>1</v>
      </c>
      <c r="V332" s="22">
        <f>countif('v2006'!F:F,F332)</f>
        <v>1</v>
      </c>
      <c r="W332" s="22">
        <f>countif('v2002'!F:F,F332)</f>
        <v>1</v>
      </c>
      <c r="X332" s="22">
        <f>countif('v1998'!F:F,F332)</f>
        <v>1</v>
      </c>
    </row>
    <row r="333">
      <c r="A333" s="21" t="str">
        <f t="shared" si="32"/>
        <v>tau Compton wavelength</v>
      </c>
      <c r="B333" s="6" t="s">
        <v>2046</v>
      </c>
      <c r="D333" s="13" t="s">
        <v>2047</v>
      </c>
      <c r="E333" s="13" t="s">
        <v>571</v>
      </c>
      <c r="F333" s="22" t="str">
        <f t="shared" si="33"/>
        <v>TauComptonWavelength</v>
      </c>
      <c r="G333" s="6" t="s">
        <v>2047</v>
      </c>
      <c r="H333" s="6" t="s">
        <v>2048</v>
      </c>
      <c r="I333" s="6"/>
      <c r="J333" s="6" t="s">
        <v>571</v>
      </c>
      <c r="K333" s="14" t="str">
        <f t="shared" si="3"/>
        <v>https://w3id.org/uom/m</v>
      </c>
      <c r="L333" s="13" t="s">
        <v>479</v>
      </c>
      <c r="M333" s="23">
        <f>countif(Quantities!A:A,L333)</f>
        <v>1</v>
      </c>
      <c r="N333" s="24" t="b">
        <f t="shared" si="4"/>
        <v>1</v>
      </c>
      <c r="O333" s="6" t="s">
        <v>2049</v>
      </c>
      <c r="P333" s="22" t="b">
        <f t="shared" si="31"/>
        <v>1</v>
      </c>
      <c r="Q333" s="22" t="b">
        <f t="shared" si="29"/>
        <v>1</v>
      </c>
      <c r="R333" s="22">
        <f>countif('v2022'!F:F,F333)</f>
        <v>1</v>
      </c>
      <c r="S333" s="22">
        <f>countif('v2018'!F:F,F333)</f>
        <v>1</v>
      </c>
      <c r="T333" s="22">
        <f>countif('v2014'!F:F,F333)</f>
        <v>1</v>
      </c>
      <c r="U333" s="22">
        <f>countif('v2010'!F:F,F333)</f>
        <v>1</v>
      </c>
      <c r="V333" s="22">
        <f>countif('v2006'!F:F,F333)</f>
        <v>1</v>
      </c>
      <c r="W333" s="22">
        <f>countif('v2002'!F:F,F333)</f>
        <v>1</v>
      </c>
      <c r="X333" s="22">
        <f>countif('v1998'!F:F,F333)</f>
        <v>1</v>
      </c>
    </row>
    <row r="334">
      <c r="A334" s="34" t="s">
        <v>2050</v>
      </c>
      <c r="B334" s="6" t="s">
        <v>2051</v>
      </c>
      <c r="E334" s="6" t="s">
        <v>571</v>
      </c>
      <c r="F334" s="22" t="str">
        <f t="shared" si="33"/>
        <v>TauComptonWavelengthOver2Pi</v>
      </c>
      <c r="G334" s="6" t="s">
        <v>2050</v>
      </c>
      <c r="H334" s="6" t="s">
        <v>2052</v>
      </c>
      <c r="I334" s="6"/>
      <c r="J334" s="6" t="s">
        <v>571</v>
      </c>
      <c r="K334" s="14" t="str">
        <f t="shared" si="3"/>
        <v>https://w3id.org/uom/m</v>
      </c>
      <c r="L334" s="13" t="s">
        <v>480</v>
      </c>
      <c r="M334" s="23">
        <f>countif(Quantities!A:A,L334)</f>
        <v>1</v>
      </c>
      <c r="N334" s="24" t="b">
        <f t="shared" si="4"/>
        <v>1</v>
      </c>
      <c r="O334" s="6" t="s">
        <v>2053</v>
      </c>
      <c r="P334" s="22" t="b">
        <f t="shared" si="31"/>
        <v>1</v>
      </c>
      <c r="Q334" s="22" t="b">
        <f t="shared" si="29"/>
        <v>1</v>
      </c>
      <c r="R334" s="22">
        <f>countif('v2022'!F:F,F334)</f>
        <v>0</v>
      </c>
      <c r="S334" s="22">
        <f>countif('v2018'!F:F,F334)</f>
        <v>0</v>
      </c>
      <c r="T334" s="22">
        <f>countif('v2014'!F:F,F334)</f>
        <v>1</v>
      </c>
      <c r="U334" s="22">
        <f>countif('v2010'!F:F,F334)</f>
        <v>1</v>
      </c>
      <c r="V334" s="22">
        <f>countif('v2006'!F:F,F334)</f>
        <v>1</v>
      </c>
      <c r="W334" s="22">
        <f>countif('v2002'!F:F,F334)</f>
        <v>1</v>
      </c>
      <c r="X334" s="22">
        <f>countif('v1998'!F:F,F334)</f>
        <v>1</v>
      </c>
    </row>
    <row r="335">
      <c r="A335" s="26" t="str">
        <f t="shared" ref="A335:A338" si="34">D335</f>
        <v>reduced tau Compton wavelength</v>
      </c>
      <c r="B335" s="27" t="s">
        <v>2051</v>
      </c>
      <c r="C335" s="28"/>
      <c r="D335" s="28" t="s">
        <v>2054</v>
      </c>
      <c r="E335" s="28" t="s">
        <v>571</v>
      </c>
      <c r="F335" s="32" t="str">
        <f t="shared" si="33"/>
        <v>ReducedTauComptonWavelength</v>
      </c>
      <c r="G335" s="27" t="s">
        <v>2054</v>
      </c>
      <c r="H335" s="27" t="s">
        <v>2055</v>
      </c>
      <c r="I335" s="27"/>
      <c r="J335" s="27" t="s">
        <v>571</v>
      </c>
      <c r="K335" s="29" t="str">
        <f t="shared" si="3"/>
        <v>https://w3id.org/uom/m</v>
      </c>
      <c r="L335" s="28" t="s">
        <v>459</v>
      </c>
      <c r="M335" s="30">
        <f>countif(Quantities!A:A,L335)</f>
        <v>1</v>
      </c>
      <c r="N335" s="31" t="b">
        <f t="shared" si="4"/>
        <v>1</v>
      </c>
      <c r="O335" s="28"/>
      <c r="P335" s="32" t="b">
        <f t="shared" si="31"/>
        <v>0</v>
      </c>
      <c r="Q335" s="32" t="b">
        <f>sum(S274:X335)&gt;0</f>
        <v>1</v>
      </c>
      <c r="R335" s="22">
        <f>countif('v2022'!F:F,F335)</f>
        <v>1</v>
      </c>
      <c r="S335" s="32">
        <f>countif('v2018'!F:F,F335)</f>
        <v>1</v>
      </c>
      <c r="T335" s="32">
        <f>countif('v2014'!F:F,F335)</f>
        <v>0</v>
      </c>
      <c r="U335" s="32">
        <f>countif('v2010'!F:F,F335)</f>
        <v>0</v>
      </c>
      <c r="V335" s="32">
        <f>countif('v2006'!F:F,F335)</f>
        <v>0</v>
      </c>
      <c r="W335" s="32">
        <f>countif('v2002'!F:F,F335)</f>
        <v>0</v>
      </c>
      <c r="X335" s="32">
        <f>countif('v1998'!F:F,F335)</f>
        <v>0</v>
      </c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</row>
    <row r="336">
      <c r="A336" s="21" t="str">
        <f t="shared" si="34"/>
        <v>tau-electron mass ratio</v>
      </c>
      <c r="B336" s="6" t="s">
        <v>2056</v>
      </c>
      <c r="D336" s="13" t="s">
        <v>2057</v>
      </c>
      <c r="F336" s="22" t="str">
        <f t="shared" si="33"/>
        <v>TauElectronMassRatio</v>
      </c>
      <c r="G336" s="6" t="s">
        <v>2058</v>
      </c>
      <c r="H336" s="6" t="s">
        <v>2059</v>
      </c>
      <c r="I336" s="6"/>
      <c r="J336" s="6"/>
      <c r="K336" s="13" t="str">
        <f t="shared" si="3"/>
        <v/>
      </c>
      <c r="L336" s="6" t="s">
        <v>481</v>
      </c>
      <c r="M336" s="23">
        <f>countif(Quantities!A:A,L336)</f>
        <v>1</v>
      </c>
      <c r="N336" s="24" t="b">
        <f t="shared" si="4"/>
        <v>1</v>
      </c>
      <c r="O336" s="6" t="s">
        <v>2060</v>
      </c>
      <c r="P336" s="22" t="b">
        <f t="shared" si="31"/>
        <v>1</v>
      </c>
      <c r="Q336" s="22" t="b">
        <f>sum(S334:X336)&gt;0</f>
        <v>1</v>
      </c>
      <c r="R336" s="22">
        <f>countif('v2022'!F:F,F336)</f>
        <v>1</v>
      </c>
      <c r="S336" s="22">
        <f>countif('v2018'!F:F,F336)</f>
        <v>1</v>
      </c>
      <c r="T336" s="22">
        <f>countif('v2014'!F:F,F336)</f>
        <v>1</v>
      </c>
      <c r="U336" s="22">
        <f>countif('v2010'!F:F,F336)</f>
        <v>1</v>
      </c>
      <c r="V336" s="22">
        <f>countif('v2006'!F:F,F336)</f>
        <v>1</v>
      </c>
      <c r="W336" s="22">
        <f>countif('v2002'!F:F,F336)</f>
        <v>1</v>
      </c>
      <c r="X336" s="22">
        <f>countif('v1998'!F:F,F336)</f>
        <v>1</v>
      </c>
    </row>
    <row r="337">
      <c r="A337" s="21" t="str">
        <f t="shared" si="34"/>
        <v>tau mass</v>
      </c>
      <c r="B337" s="6" t="s">
        <v>2061</v>
      </c>
      <c r="D337" s="13" t="s">
        <v>2062</v>
      </c>
      <c r="E337" s="13" t="s">
        <v>538</v>
      </c>
      <c r="F337" s="22" t="str">
        <f t="shared" si="33"/>
        <v>TauMass</v>
      </c>
      <c r="G337" s="6" t="s">
        <v>2062</v>
      </c>
      <c r="H337" s="6" t="s">
        <v>2063</v>
      </c>
      <c r="I337" s="6"/>
      <c r="J337" s="6" t="s">
        <v>538</v>
      </c>
      <c r="K337" s="14" t="str">
        <f t="shared" si="3"/>
        <v>https://w3id.org/uom/kg</v>
      </c>
      <c r="L337" s="13" t="s">
        <v>482</v>
      </c>
      <c r="M337" s="23">
        <f>countif(Quantities!A:A,L337)</f>
        <v>1</v>
      </c>
      <c r="N337" s="24" t="b">
        <f t="shared" si="4"/>
        <v>1</v>
      </c>
      <c r="O337" s="6" t="s">
        <v>2064</v>
      </c>
      <c r="P337" s="22" t="b">
        <f t="shared" si="31"/>
        <v>1</v>
      </c>
      <c r="Q337" s="22" t="b">
        <f t="shared" ref="Q337:Q362" si="35">sum(S336:X337)&gt;0</f>
        <v>1</v>
      </c>
      <c r="R337" s="22">
        <f>countif('v2022'!F:F,F337)</f>
        <v>1</v>
      </c>
      <c r="S337" s="22">
        <f>countif('v2018'!F:F,F337)</f>
        <v>1</v>
      </c>
      <c r="T337" s="22">
        <f>countif('v2014'!F:F,F337)</f>
        <v>1</v>
      </c>
      <c r="U337" s="22">
        <f>countif('v2010'!F:F,F337)</f>
        <v>1</v>
      </c>
      <c r="V337" s="22">
        <f>countif('v2006'!F:F,F337)</f>
        <v>1</v>
      </c>
      <c r="W337" s="22">
        <f>countif('v2002'!F:F,F337)</f>
        <v>1</v>
      </c>
      <c r="X337" s="22">
        <f>countif('v1998'!F:F,F337)</f>
        <v>1</v>
      </c>
    </row>
    <row r="338">
      <c r="A338" s="21" t="str">
        <f t="shared" si="34"/>
        <v>tau mass energy equivalent</v>
      </c>
      <c r="B338" s="6" t="s">
        <v>2065</v>
      </c>
      <c r="D338" s="13" t="s">
        <v>2066</v>
      </c>
      <c r="E338" s="13" t="s">
        <v>543</v>
      </c>
      <c r="F338" s="22" t="str">
        <f t="shared" si="33"/>
        <v>TauMassEnergyEquivalent</v>
      </c>
      <c r="G338" s="6" t="s">
        <v>2066</v>
      </c>
      <c r="H338" s="6" t="s">
        <v>2067</v>
      </c>
      <c r="I338" s="6"/>
      <c r="J338" s="6" t="s">
        <v>543</v>
      </c>
      <c r="K338" s="14" t="str">
        <f t="shared" si="3"/>
        <v>https://w3id.org/uom/J</v>
      </c>
      <c r="L338" s="6" t="s">
        <v>482</v>
      </c>
      <c r="M338" s="23">
        <f>countif(Quantities!A:A,L338)</f>
        <v>1</v>
      </c>
      <c r="N338" s="24" t="b">
        <f t="shared" si="4"/>
        <v>0</v>
      </c>
      <c r="O338" s="6" t="s">
        <v>2068</v>
      </c>
      <c r="P338" s="22" t="b">
        <f t="shared" si="31"/>
        <v>1</v>
      </c>
      <c r="Q338" s="22" t="b">
        <f t="shared" si="35"/>
        <v>1</v>
      </c>
      <c r="R338" s="22">
        <f>countif('v2022'!F:F,F338)</f>
        <v>1</v>
      </c>
      <c r="S338" s="22">
        <f>countif('v2018'!F:F,F338)</f>
        <v>1</v>
      </c>
      <c r="T338" s="22">
        <f>countif('v2014'!F:F,F338)</f>
        <v>1</v>
      </c>
      <c r="U338" s="22">
        <f>countif('v2010'!F:F,F338)</f>
        <v>1</v>
      </c>
      <c r="V338" s="22">
        <f>countif('v2006'!F:F,F338)</f>
        <v>1</v>
      </c>
      <c r="W338" s="22">
        <f>countif('v2002'!F:F,F338)</f>
        <v>1</v>
      </c>
      <c r="X338" s="22">
        <f>countif('v1998'!F:F,F338)</f>
        <v>1</v>
      </c>
    </row>
    <row r="339">
      <c r="A339" s="6" t="s">
        <v>2069</v>
      </c>
      <c r="B339" s="6" t="s">
        <v>2070</v>
      </c>
      <c r="D339" s="13" t="s">
        <v>2071</v>
      </c>
      <c r="E339" s="13" t="s">
        <v>548</v>
      </c>
      <c r="F339" s="22" t="str">
        <f t="shared" si="33"/>
        <v>TauMassEnergyEquivalentInMeV</v>
      </c>
      <c r="G339" s="6" t="s">
        <v>2069</v>
      </c>
      <c r="H339" s="6" t="s">
        <v>2067</v>
      </c>
      <c r="I339" s="6"/>
      <c r="J339" s="6" t="s">
        <v>548</v>
      </c>
      <c r="K339" s="14" t="str">
        <f t="shared" si="3"/>
        <v>https://w3id.org/uom/MeV</v>
      </c>
      <c r="L339" s="6" t="s">
        <v>482</v>
      </c>
      <c r="M339" s="23">
        <f>countif(Quantities!A:A,L339)</f>
        <v>1</v>
      </c>
      <c r="N339" s="24" t="b">
        <f t="shared" si="4"/>
        <v>0</v>
      </c>
      <c r="O339" s="6" t="s">
        <v>2072</v>
      </c>
      <c r="P339" s="22" t="b">
        <f t="shared" si="31"/>
        <v>1</v>
      </c>
      <c r="Q339" s="22" t="b">
        <f t="shared" si="35"/>
        <v>1</v>
      </c>
      <c r="R339" s="22">
        <f>countif('v2022'!F:F,F339)</f>
        <v>1</v>
      </c>
      <c r="S339" s="22">
        <f>countif('v2018'!F:F,F339)</f>
        <v>1</v>
      </c>
      <c r="T339" s="22">
        <f>countif('v2014'!F:F,F339)</f>
        <v>1</v>
      </c>
      <c r="U339" s="22">
        <f>countif('v2010'!F:F,F339)</f>
        <v>1</v>
      </c>
      <c r="V339" s="22">
        <f>countif('v2006'!F:F,F339)</f>
        <v>1</v>
      </c>
      <c r="W339" s="22">
        <f>countif('v2002'!F:F,F339)</f>
        <v>1</v>
      </c>
      <c r="X339" s="22">
        <f>countif('v1998'!F:F,F339)</f>
        <v>1</v>
      </c>
    </row>
    <row r="340">
      <c r="A340" s="21" t="str">
        <f t="shared" ref="A340:A345" si="36">D340</f>
        <v>tau mass in u</v>
      </c>
      <c r="B340" s="6" t="s">
        <v>2073</v>
      </c>
      <c r="D340" s="13" t="s">
        <v>2074</v>
      </c>
      <c r="E340" s="13" t="s">
        <v>553</v>
      </c>
      <c r="F340" s="22" t="str">
        <f t="shared" si="33"/>
        <v>TauMassInAtomicMassUnit</v>
      </c>
      <c r="G340" s="6" t="s">
        <v>2074</v>
      </c>
      <c r="H340" s="6" t="s">
        <v>2063</v>
      </c>
      <c r="I340" s="6"/>
      <c r="J340" s="6" t="s">
        <v>553</v>
      </c>
      <c r="K340" s="14" t="str">
        <f t="shared" si="3"/>
        <v>https://w3id.org/uom/u</v>
      </c>
      <c r="L340" s="6" t="s">
        <v>482</v>
      </c>
      <c r="M340" s="23">
        <f>countif(Quantities!A:A,L340)</f>
        <v>1</v>
      </c>
      <c r="N340" s="24" t="b">
        <f t="shared" si="4"/>
        <v>0</v>
      </c>
      <c r="O340" s="6" t="s">
        <v>2075</v>
      </c>
      <c r="P340" s="22" t="b">
        <f t="shared" si="31"/>
        <v>1</v>
      </c>
      <c r="Q340" s="22" t="b">
        <f t="shared" si="35"/>
        <v>1</v>
      </c>
      <c r="R340" s="22">
        <f>countif('v2022'!F:F,F340)</f>
        <v>1</v>
      </c>
      <c r="S340" s="22">
        <f>countif('v2018'!F:F,F340)</f>
        <v>1</v>
      </c>
      <c r="T340" s="22">
        <f>countif('v2014'!F:F,F340)</f>
        <v>1</v>
      </c>
      <c r="U340" s="22">
        <f>countif('v2010'!F:F,F340)</f>
        <v>1</v>
      </c>
      <c r="V340" s="22">
        <f>countif('v2006'!F:F,F340)</f>
        <v>1</v>
      </c>
      <c r="W340" s="22">
        <f>countif('v2002'!F:F,F340)</f>
        <v>1</v>
      </c>
      <c r="X340" s="22">
        <f>countif('v1998'!F:F,F340)</f>
        <v>1</v>
      </c>
    </row>
    <row r="341">
      <c r="A341" s="21" t="str">
        <f t="shared" si="36"/>
        <v>tau molar mass</v>
      </c>
      <c r="B341" s="6" t="s">
        <v>2076</v>
      </c>
      <c r="D341" s="13" t="s">
        <v>2077</v>
      </c>
      <c r="E341" s="13" t="s">
        <v>557</v>
      </c>
      <c r="F341" s="22" t="str">
        <f t="shared" si="33"/>
        <v>TauMolarMass</v>
      </c>
      <c r="G341" s="6" t="s">
        <v>2077</v>
      </c>
      <c r="H341" s="6" t="s">
        <v>2078</v>
      </c>
      <c r="I341" s="6"/>
      <c r="J341" s="6" t="s">
        <v>559</v>
      </c>
      <c r="K341" s="14" t="str">
        <f t="shared" si="3"/>
        <v>https://w3id.org/uom/kg.mol-1</v>
      </c>
      <c r="L341" s="13" t="s">
        <v>483</v>
      </c>
      <c r="M341" s="23">
        <f>countif(Quantities!A:A,L341)</f>
        <v>1</v>
      </c>
      <c r="N341" s="24" t="b">
        <f t="shared" si="4"/>
        <v>1</v>
      </c>
      <c r="O341" s="6" t="s">
        <v>2079</v>
      </c>
      <c r="P341" s="22" t="b">
        <f t="shared" si="31"/>
        <v>1</v>
      </c>
      <c r="Q341" s="22" t="b">
        <f t="shared" si="35"/>
        <v>1</v>
      </c>
      <c r="R341" s="22">
        <f>countif('v2022'!F:F,F341)</f>
        <v>1</v>
      </c>
      <c r="S341" s="22">
        <f>countif('v2018'!F:F,F341)</f>
        <v>1</v>
      </c>
      <c r="T341" s="22">
        <f>countif('v2014'!F:F,F341)</f>
        <v>1</v>
      </c>
      <c r="U341" s="22">
        <f>countif('v2010'!F:F,F341)</f>
        <v>1</v>
      </c>
      <c r="V341" s="22">
        <f>countif('v2006'!F:F,F341)</f>
        <v>1</v>
      </c>
      <c r="W341" s="22">
        <f>countif('v2002'!F:F,F341)</f>
        <v>1</v>
      </c>
      <c r="X341" s="22">
        <f>countif('v1998'!F:F,F341)</f>
        <v>1</v>
      </c>
    </row>
    <row r="342">
      <c r="A342" s="21" t="str">
        <f t="shared" si="36"/>
        <v>tau-muon mass ratio</v>
      </c>
      <c r="B342" s="6" t="s">
        <v>2080</v>
      </c>
      <c r="D342" s="13" t="s">
        <v>2081</v>
      </c>
      <c r="F342" s="22" t="str">
        <f t="shared" si="33"/>
        <v>TauMuonMassRatio</v>
      </c>
      <c r="G342" s="6" t="s">
        <v>2082</v>
      </c>
      <c r="H342" s="6" t="s">
        <v>2083</v>
      </c>
      <c r="I342" s="6"/>
      <c r="J342" s="6"/>
      <c r="K342" s="13" t="str">
        <f t="shared" si="3"/>
        <v/>
      </c>
      <c r="L342" s="13" t="s">
        <v>484</v>
      </c>
      <c r="M342" s="23">
        <f>countif(Quantities!A:A,L342)</f>
        <v>1</v>
      </c>
      <c r="N342" s="24" t="b">
        <f t="shared" si="4"/>
        <v>1</v>
      </c>
      <c r="O342" s="6" t="s">
        <v>2084</v>
      </c>
      <c r="P342" s="22" t="b">
        <f t="shared" si="31"/>
        <v>1</v>
      </c>
      <c r="Q342" s="22" t="b">
        <f t="shared" si="35"/>
        <v>1</v>
      </c>
      <c r="R342" s="22">
        <f>countif('v2022'!F:F,F342)</f>
        <v>1</v>
      </c>
      <c r="S342" s="22">
        <f>countif('v2018'!F:F,F342)</f>
        <v>1</v>
      </c>
      <c r="T342" s="22">
        <f>countif('v2014'!F:F,F342)</f>
        <v>1</v>
      </c>
      <c r="U342" s="22">
        <f>countif('v2010'!F:F,F342)</f>
        <v>1</v>
      </c>
      <c r="V342" s="22">
        <f>countif('v2006'!F:F,F342)</f>
        <v>1</v>
      </c>
      <c r="W342" s="22">
        <f>countif('v2002'!F:F,F342)</f>
        <v>1</v>
      </c>
      <c r="X342" s="22">
        <f>countif('v1998'!F:F,F342)</f>
        <v>1</v>
      </c>
    </row>
    <row r="343">
      <c r="A343" s="21" t="str">
        <f t="shared" si="36"/>
        <v>tau-neutron mass ratio</v>
      </c>
      <c r="B343" s="6" t="s">
        <v>2085</v>
      </c>
      <c r="D343" s="13" t="s">
        <v>2086</v>
      </c>
      <c r="F343" s="22" t="str">
        <f t="shared" si="33"/>
        <v>TauNeutronMassRatio</v>
      </c>
      <c r="G343" s="6" t="s">
        <v>2087</v>
      </c>
      <c r="H343" s="6" t="s">
        <v>2088</v>
      </c>
      <c r="I343" s="6"/>
      <c r="J343" s="6"/>
      <c r="K343" s="13" t="str">
        <f t="shared" si="3"/>
        <v/>
      </c>
      <c r="L343" s="13" t="s">
        <v>485</v>
      </c>
      <c r="M343" s="23">
        <f>countif(Quantities!A:A,L343)</f>
        <v>1</v>
      </c>
      <c r="N343" s="24" t="b">
        <f t="shared" si="4"/>
        <v>1</v>
      </c>
      <c r="O343" s="6" t="s">
        <v>2089</v>
      </c>
      <c r="P343" s="22" t="b">
        <f t="shared" si="31"/>
        <v>1</v>
      </c>
      <c r="Q343" s="22" t="b">
        <f t="shared" si="35"/>
        <v>1</v>
      </c>
      <c r="R343" s="22">
        <f>countif('v2022'!F:F,F343)</f>
        <v>1</v>
      </c>
      <c r="S343" s="22">
        <f>countif('v2018'!F:F,F343)</f>
        <v>1</v>
      </c>
      <c r="T343" s="22">
        <f>countif('v2014'!F:F,F343)</f>
        <v>1</v>
      </c>
      <c r="U343" s="22">
        <f>countif('v2010'!F:F,F343)</f>
        <v>1</v>
      </c>
      <c r="V343" s="22">
        <f>countif('v2006'!F:F,F343)</f>
        <v>1</v>
      </c>
      <c r="W343" s="22">
        <f>countif('v2002'!F:F,F343)</f>
        <v>1</v>
      </c>
      <c r="X343" s="22">
        <f>countif('v1998'!F:F,F343)</f>
        <v>1</v>
      </c>
    </row>
    <row r="344">
      <c r="A344" s="21" t="str">
        <f t="shared" si="36"/>
        <v>tau-proton mass ratio</v>
      </c>
      <c r="B344" s="6" t="s">
        <v>2090</v>
      </c>
      <c r="D344" s="13" t="s">
        <v>2091</v>
      </c>
      <c r="F344" s="22" t="str">
        <f t="shared" si="33"/>
        <v>TauProtonMassRatio</v>
      </c>
      <c r="G344" s="6" t="s">
        <v>2092</v>
      </c>
      <c r="H344" s="6" t="s">
        <v>2093</v>
      </c>
      <c r="I344" s="6"/>
      <c r="J344" s="6"/>
      <c r="K344" s="13" t="str">
        <f t="shared" si="3"/>
        <v/>
      </c>
      <c r="L344" s="13" t="s">
        <v>486</v>
      </c>
      <c r="M344" s="23">
        <f>countif(Quantities!A:A,L344)</f>
        <v>1</v>
      </c>
      <c r="N344" s="24" t="b">
        <f t="shared" si="4"/>
        <v>1</v>
      </c>
      <c r="O344" s="6" t="s">
        <v>2094</v>
      </c>
      <c r="P344" s="22" t="b">
        <f t="shared" si="31"/>
        <v>1</v>
      </c>
      <c r="Q344" s="22" t="b">
        <f t="shared" si="35"/>
        <v>1</v>
      </c>
      <c r="R344" s="22">
        <f>countif('v2022'!F:F,F344)</f>
        <v>1</v>
      </c>
      <c r="S344" s="22">
        <f>countif('v2018'!F:F,F344)</f>
        <v>1</v>
      </c>
      <c r="T344" s="22">
        <f>countif('v2014'!F:F,F344)</f>
        <v>1</v>
      </c>
      <c r="U344" s="22">
        <f>countif('v2010'!F:F,F344)</f>
        <v>1</v>
      </c>
      <c r="V344" s="22">
        <f>countif('v2006'!F:F,F344)</f>
        <v>1</v>
      </c>
      <c r="W344" s="22">
        <f>countif('v2002'!F:F,F344)</f>
        <v>1</v>
      </c>
      <c r="X344" s="22">
        <f>countif('v1998'!F:F,F344)</f>
        <v>1</v>
      </c>
    </row>
    <row r="345">
      <c r="A345" s="21" t="str">
        <f t="shared" si="36"/>
        <v>Thomson cross section</v>
      </c>
      <c r="B345" s="6" t="s">
        <v>2095</v>
      </c>
      <c r="D345" s="13" t="s">
        <v>2096</v>
      </c>
      <c r="E345" s="13" t="s">
        <v>2097</v>
      </c>
      <c r="F345" s="22" t="str">
        <f t="shared" si="33"/>
        <v>ThomsonCrossSection</v>
      </c>
      <c r="G345" s="6" t="s">
        <v>2096</v>
      </c>
      <c r="H345" s="6" t="s">
        <v>2098</v>
      </c>
      <c r="I345" s="6"/>
      <c r="J345" s="6" t="s">
        <v>2099</v>
      </c>
      <c r="K345" s="14" t="str">
        <f t="shared" si="3"/>
        <v>https://w3id.org/uom/m2</v>
      </c>
      <c r="L345" s="13" t="s">
        <v>487</v>
      </c>
      <c r="M345" s="23">
        <f>countif(Quantities!A:A,L345)</f>
        <v>1</v>
      </c>
      <c r="N345" s="24" t="b">
        <f t="shared" si="4"/>
        <v>1</v>
      </c>
      <c r="O345" s="6" t="s">
        <v>2100</v>
      </c>
      <c r="P345" s="22" t="b">
        <f t="shared" si="31"/>
        <v>1</v>
      </c>
      <c r="Q345" s="22" t="b">
        <f t="shared" si="35"/>
        <v>1</v>
      </c>
      <c r="R345" s="22">
        <f>countif('v2022'!F:F,F345)</f>
        <v>1</v>
      </c>
      <c r="S345" s="22">
        <f>countif('v2018'!F:F,F345)</f>
        <v>1</v>
      </c>
      <c r="T345" s="22">
        <f>countif('v2014'!F:F,F345)</f>
        <v>1</v>
      </c>
      <c r="U345" s="22">
        <f>countif('v2010'!F:F,F345)</f>
        <v>1</v>
      </c>
      <c r="V345" s="22">
        <f>countif('v2006'!F:F,F345)</f>
        <v>1</v>
      </c>
      <c r="W345" s="22">
        <f>countif('v2002'!F:F,F345)</f>
        <v>1</v>
      </c>
      <c r="X345" s="22">
        <f>countif('v1998'!F:F,F345)</f>
        <v>1</v>
      </c>
    </row>
    <row r="346">
      <c r="A346" s="6" t="s">
        <v>2101</v>
      </c>
      <c r="B346" s="6" t="s">
        <v>2102</v>
      </c>
      <c r="E346" s="13" t="s">
        <v>2103</v>
      </c>
      <c r="F346" s="22" t="str">
        <f t="shared" si="33"/>
        <v>TritonElectronMagneticMomentRatio</v>
      </c>
      <c r="G346" s="6" t="s">
        <v>2104</v>
      </c>
      <c r="H346" s="6" t="s">
        <v>2105</v>
      </c>
      <c r="I346" s="6"/>
      <c r="J346" s="6"/>
      <c r="K346" s="13" t="str">
        <f t="shared" si="3"/>
        <v/>
      </c>
      <c r="L346" s="13" t="s">
        <v>488</v>
      </c>
      <c r="M346" s="23">
        <f>countif(Quantities!A:A,L346)</f>
        <v>1</v>
      </c>
      <c r="N346" s="24" t="b">
        <f t="shared" si="4"/>
        <v>1</v>
      </c>
      <c r="O346" s="6" t="s">
        <v>2106</v>
      </c>
      <c r="P346" s="22" t="b">
        <f t="shared" si="31"/>
        <v>1</v>
      </c>
      <c r="Q346" s="22" t="b">
        <f t="shared" si="35"/>
        <v>1</v>
      </c>
      <c r="R346" s="22">
        <f>countif('v2022'!F:F,F346)</f>
        <v>0</v>
      </c>
      <c r="S346" s="22">
        <f>countif('v2018'!F:F,F346)</f>
        <v>0</v>
      </c>
      <c r="T346" s="22">
        <f>countif('v2014'!F:F,F346)</f>
        <v>0</v>
      </c>
      <c r="U346" s="22">
        <f>countif('v2010'!F:F,F346)</f>
        <v>0</v>
      </c>
      <c r="V346" s="22">
        <f>countif('v2006'!F:F,F346)</f>
        <v>1</v>
      </c>
      <c r="W346" s="22">
        <f>countif('v2002'!F:F,F346)</f>
        <v>0</v>
      </c>
      <c r="X346" s="22">
        <f>countif('v1998'!F:F,F346)</f>
        <v>0</v>
      </c>
    </row>
    <row r="347">
      <c r="A347" s="21" t="str">
        <f t="shared" ref="A347:A356" si="37">D347</f>
        <v>triton-electron mass ratio</v>
      </c>
      <c r="B347" s="6" t="s">
        <v>2107</v>
      </c>
      <c r="D347" s="13" t="s">
        <v>2108</v>
      </c>
      <c r="F347" s="22" t="str">
        <f t="shared" si="33"/>
        <v>TritonElectronMassRatio</v>
      </c>
      <c r="G347" s="6" t="s">
        <v>2109</v>
      </c>
      <c r="H347" s="6" t="s">
        <v>2110</v>
      </c>
      <c r="I347" s="6"/>
      <c r="J347" s="6"/>
      <c r="K347" s="13" t="str">
        <f t="shared" si="3"/>
        <v/>
      </c>
      <c r="L347" s="13" t="s">
        <v>489</v>
      </c>
      <c r="M347" s="23">
        <f>countif(Quantities!A:A,L347)</f>
        <v>1</v>
      </c>
      <c r="N347" s="24" t="b">
        <f t="shared" si="4"/>
        <v>1</v>
      </c>
      <c r="O347" s="6" t="s">
        <v>2111</v>
      </c>
      <c r="P347" s="22" t="b">
        <f t="shared" si="31"/>
        <v>1</v>
      </c>
      <c r="Q347" s="22" t="b">
        <f t="shared" si="35"/>
        <v>1</v>
      </c>
      <c r="R347" s="22">
        <f>countif('v2022'!F:F,F347)</f>
        <v>1</v>
      </c>
      <c r="S347" s="22">
        <f>countif('v2018'!F:F,F347)</f>
        <v>1</v>
      </c>
      <c r="T347" s="22">
        <f>countif('v2014'!F:F,F347)</f>
        <v>1</v>
      </c>
      <c r="U347" s="22">
        <f>countif('v2010'!F:F,F347)</f>
        <v>1</v>
      </c>
      <c r="V347" s="22">
        <f>countif('v2006'!F:F,F347)</f>
        <v>1</v>
      </c>
      <c r="W347" s="22">
        <f>countif('v2002'!F:F,F347)</f>
        <v>0</v>
      </c>
      <c r="X347" s="22">
        <f>countif('v1998'!F:F,F347)</f>
        <v>0</v>
      </c>
    </row>
    <row r="348">
      <c r="A348" s="21" t="str">
        <f t="shared" si="37"/>
        <v>triton g factor</v>
      </c>
      <c r="B348" s="6" t="s">
        <v>2112</v>
      </c>
      <c r="D348" s="13" t="s">
        <v>2113</v>
      </c>
      <c r="F348" s="22" t="str">
        <f t="shared" si="33"/>
        <v>TritonGFactor</v>
      </c>
      <c r="G348" s="6" t="s">
        <v>2113</v>
      </c>
      <c r="H348" s="6" t="s">
        <v>2114</v>
      </c>
      <c r="I348" s="6"/>
      <c r="J348" s="6"/>
      <c r="K348" s="13" t="str">
        <f t="shared" si="3"/>
        <v/>
      </c>
      <c r="L348" s="13" t="s">
        <v>490</v>
      </c>
      <c r="M348" s="23">
        <f>countif(Quantities!A:A,L348)</f>
        <v>1</v>
      </c>
      <c r="N348" s="24" t="b">
        <f t="shared" si="4"/>
        <v>1</v>
      </c>
      <c r="O348" s="6" t="s">
        <v>2115</v>
      </c>
      <c r="P348" s="22" t="b">
        <f t="shared" si="31"/>
        <v>1</v>
      </c>
      <c r="Q348" s="22" t="b">
        <f t="shared" si="35"/>
        <v>1</v>
      </c>
      <c r="R348" s="22">
        <f>countif('v2022'!F:F,F348)</f>
        <v>1</v>
      </c>
      <c r="S348" s="22">
        <f>countif('v2018'!F:F,F348)</f>
        <v>1</v>
      </c>
      <c r="T348" s="22">
        <f>countif('v2014'!F:F,F348)</f>
        <v>1</v>
      </c>
      <c r="U348" s="22">
        <f>countif('v2010'!F:F,F348)</f>
        <v>1</v>
      </c>
      <c r="V348" s="22">
        <f>countif('v2006'!F:F,F348)</f>
        <v>1</v>
      </c>
      <c r="W348" s="22">
        <f>countif('v2002'!F:F,F348)</f>
        <v>0</v>
      </c>
      <c r="X348" s="22">
        <f>countif('v1998'!F:F,F348)</f>
        <v>0</v>
      </c>
    </row>
    <row r="349">
      <c r="A349" s="21" t="str">
        <f t="shared" si="37"/>
        <v>triton mag. mom.</v>
      </c>
      <c r="B349" s="6" t="s">
        <v>2116</v>
      </c>
      <c r="D349" s="13" t="s">
        <v>2117</v>
      </c>
      <c r="E349" s="13" t="s">
        <v>714</v>
      </c>
      <c r="F349" s="22" t="str">
        <f t="shared" si="33"/>
        <v>TritonMagneticMoment</v>
      </c>
      <c r="G349" s="6" t="s">
        <v>2118</v>
      </c>
      <c r="H349" s="6" t="s">
        <v>2119</v>
      </c>
      <c r="I349" s="6"/>
      <c r="J349" s="6" t="s">
        <v>717</v>
      </c>
      <c r="K349" s="14" t="str">
        <f t="shared" si="3"/>
        <v>https://w3id.org/uom/J.T-1</v>
      </c>
      <c r="L349" s="13" t="s">
        <v>491</v>
      </c>
      <c r="M349" s="23">
        <f>countif(Quantities!A:A,L349)</f>
        <v>1</v>
      </c>
      <c r="N349" s="24" t="b">
        <f t="shared" si="4"/>
        <v>1</v>
      </c>
      <c r="O349" s="6" t="s">
        <v>2120</v>
      </c>
      <c r="P349" s="22" t="b">
        <f t="shared" si="31"/>
        <v>1</v>
      </c>
      <c r="Q349" s="22" t="b">
        <f t="shared" si="35"/>
        <v>1</v>
      </c>
      <c r="R349" s="22">
        <f>countif('v2022'!F:F,F349)</f>
        <v>1</v>
      </c>
      <c r="S349" s="22">
        <f>countif('v2018'!F:F,F349)</f>
        <v>1</v>
      </c>
      <c r="T349" s="22">
        <f>countif('v2014'!F:F,F349)</f>
        <v>1</v>
      </c>
      <c r="U349" s="22">
        <f>countif('v2010'!F:F,F349)</f>
        <v>1</v>
      </c>
      <c r="V349" s="22">
        <f>countif('v2006'!F:F,F349)</f>
        <v>1</v>
      </c>
      <c r="W349" s="22">
        <f>countif('v2002'!F:F,F349)</f>
        <v>0</v>
      </c>
      <c r="X349" s="22">
        <f>countif('v1998'!F:F,F349)</f>
        <v>0</v>
      </c>
    </row>
    <row r="350">
      <c r="A350" s="21" t="str">
        <f t="shared" si="37"/>
        <v>triton mag. mom. to Bohr magneton ratio</v>
      </c>
      <c r="B350" s="6" t="s">
        <v>2121</v>
      </c>
      <c r="D350" s="13" t="s">
        <v>2122</v>
      </c>
      <c r="F350" s="22" t="str">
        <f t="shared" si="33"/>
        <v>TritonMagneticMomentToBohrMagnetonRatio</v>
      </c>
      <c r="G350" s="6" t="s">
        <v>2123</v>
      </c>
      <c r="H350" s="6" t="s">
        <v>2124</v>
      </c>
      <c r="I350" s="6"/>
      <c r="J350" s="6"/>
      <c r="K350" s="13" t="str">
        <f t="shared" si="3"/>
        <v/>
      </c>
      <c r="L350" s="13" t="s">
        <v>492</v>
      </c>
      <c r="M350" s="23">
        <f>countif(Quantities!A:A,L350)</f>
        <v>1</v>
      </c>
      <c r="N350" s="24" t="b">
        <f t="shared" si="4"/>
        <v>1</v>
      </c>
      <c r="O350" s="6" t="s">
        <v>2125</v>
      </c>
      <c r="P350" s="22" t="b">
        <f t="shared" si="31"/>
        <v>1</v>
      </c>
      <c r="Q350" s="22" t="b">
        <f t="shared" si="35"/>
        <v>1</v>
      </c>
      <c r="R350" s="22">
        <f>countif('v2022'!F:F,F350)</f>
        <v>1</v>
      </c>
      <c r="S350" s="22">
        <f>countif('v2018'!F:F,F350)</f>
        <v>1</v>
      </c>
      <c r="T350" s="22">
        <f>countif('v2014'!F:F,F350)</f>
        <v>1</v>
      </c>
      <c r="U350" s="22">
        <f>countif('v2010'!F:F,F350)</f>
        <v>1</v>
      </c>
      <c r="V350" s="22">
        <f>countif('v2006'!F:F,F350)</f>
        <v>1</v>
      </c>
      <c r="W350" s="22">
        <f>countif('v2002'!F:F,F350)</f>
        <v>0</v>
      </c>
      <c r="X350" s="22">
        <f>countif('v1998'!F:F,F350)</f>
        <v>0</v>
      </c>
    </row>
    <row r="351">
      <c r="A351" s="21" t="str">
        <f t="shared" si="37"/>
        <v>triton mag. mom. to nuclear magneton ratio</v>
      </c>
      <c r="B351" s="6" t="s">
        <v>2126</v>
      </c>
      <c r="D351" s="13" t="s">
        <v>2127</v>
      </c>
      <c r="F351" s="22" t="str">
        <f t="shared" si="33"/>
        <v>TritonMagneticMomentToNuclearMagnetonRatio</v>
      </c>
      <c r="G351" s="6" t="s">
        <v>2128</v>
      </c>
      <c r="H351" s="6" t="s">
        <v>2129</v>
      </c>
      <c r="I351" s="6"/>
      <c r="J351" s="6"/>
      <c r="K351" s="13" t="str">
        <f t="shared" si="3"/>
        <v/>
      </c>
      <c r="L351" s="13" t="s">
        <v>493</v>
      </c>
      <c r="M351" s="23">
        <f>countif(Quantities!A:A,L351)</f>
        <v>1</v>
      </c>
      <c r="N351" s="24" t="b">
        <f t="shared" si="4"/>
        <v>1</v>
      </c>
      <c r="O351" s="6" t="s">
        <v>2130</v>
      </c>
      <c r="P351" s="22" t="b">
        <f t="shared" si="31"/>
        <v>1</v>
      </c>
      <c r="Q351" s="22" t="b">
        <f t="shared" si="35"/>
        <v>1</v>
      </c>
      <c r="R351" s="22">
        <f>countif('v2022'!F:F,F351)</f>
        <v>1</v>
      </c>
      <c r="S351" s="22">
        <f>countif('v2018'!F:F,F351)</f>
        <v>1</v>
      </c>
      <c r="T351" s="22">
        <f>countif('v2014'!F:F,F351)</f>
        <v>1</v>
      </c>
      <c r="U351" s="22">
        <f>countif('v2010'!F:F,F351)</f>
        <v>1</v>
      </c>
      <c r="V351" s="22">
        <f>countif('v2006'!F:F,F351)</f>
        <v>1</v>
      </c>
      <c r="W351" s="22">
        <f>countif('v2002'!F:F,F351)</f>
        <v>0</v>
      </c>
      <c r="X351" s="22">
        <f>countif('v1998'!F:F,F351)</f>
        <v>0</v>
      </c>
    </row>
    <row r="352">
      <c r="A352" s="21" t="str">
        <f t="shared" si="37"/>
        <v>triton mass</v>
      </c>
      <c r="B352" s="6" t="s">
        <v>2131</v>
      </c>
      <c r="D352" s="13" t="s">
        <v>2132</v>
      </c>
      <c r="E352" s="13" t="s">
        <v>538</v>
      </c>
      <c r="F352" s="22" t="str">
        <f t="shared" si="33"/>
        <v>TritonMass</v>
      </c>
      <c r="G352" s="6" t="s">
        <v>2132</v>
      </c>
      <c r="H352" s="6" t="s">
        <v>2133</v>
      </c>
      <c r="I352" s="6"/>
      <c r="J352" s="6" t="s">
        <v>538</v>
      </c>
      <c r="K352" s="14" t="str">
        <f t="shared" si="3"/>
        <v>https://w3id.org/uom/kg</v>
      </c>
      <c r="L352" s="13" t="s">
        <v>494</v>
      </c>
      <c r="M352" s="23">
        <f>countif(Quantities!A:A,L352)</f>
        <v>1</v>
      </c>
      <c r="N352" s="24" t="b">
        <f t="shared" si="4"/>
        <v>1</v>
      </c>
      <c r="O352" s="6" t="s">
        <v>2134</v>
      </c>
      <c r="P352" s="22" t="b">
        <f t="shared" si="31"/>
        <v>1</v>
      </c>
      <c r="Q352" s="22" t="b">
        <f t="shared" si="35"/>
        <v>1</v>
      </c>
      <c r="R352" s="22">
        <f>countif('v2022'!F:F,F352)</f>
        <v>1</v>
      </c>
      <c r="S352" s="22">
        <f>countif('v2018'!F:F,F352)</f>
        <v>1</v>
      </c>
      <c r="T352" s="22">
        <f>countif('v2014'!F:F,F352)</f>
        <v>1</v>
      </c>
      <c r="U352" s="22">
        <f>countif('v2010'!F:F,F352)</f>
        <v>1</v>
      </c>
      <c r="V352" s="22">
        <f>countif('v2006'!F:F,F352)</f>
        <v>1</v>
      </c>
      <c r="W352" s="22">
        <f>countif('v2002'!F:F,F352)</f>
        <v>0</v>
      </c>
      <c r="X352" s="22">
        <f>countif('v1998'!F:F,F352)</f>
        <v>0</v>
      </c>
    </row>
    <row r="353">
      <c r="A353" s="21" t="str">
        <f t="shared" si="37"/>
        <v>triton mass energy equivalent</v>
      </c>
      <c r="B353" s="6" t="s">
        <v>2135</v>
      </c>
      <c r="D353" s="13" t="s">
        <v>2136</v>
      </c>
      <c r="E353" s="13" t="s">
        <v>543</v>
      </c>
      <c r="F353" s="22" t="str">
        <f t="shared" si="33"/>
        <v>TritonMassEnergyEquivalent</v>
      </c>
      <c r="G353" s="6" t="s">
        <v>2136</v>
      </c>
      <c r="H353" s="6" t="s">
        <v>2137</v>
      </c>
      <c r="I353" s="6"/>
      <c r="J353" s="6" t="s">
        <v>543</v>
      </c>
      <c r="K353" s="14" t="str">
        <f t="shared" si="3"/>
        <v>https://w3id.org/uom/J</v>
      </c>
      <c r="L353" s="13" t="s">
        <v>494</v>
      </c>
      <c r="M353" s="23">
        <f>countif(Quantities!A:A,L353)</f>
        <v>1</v>
      </c>
      <c r="N353" s="24" t="b">
        <f t="shared" si="4"/>
        <v>0</v>
      </c>
      <c r="O353" s="6" t="s">
        <v>2138</v>
      </c>
      <c r="P353" s="22" t="b">
        <f t="shared" si="31"/>
        <v>1</v>
      </c>
      <c r="Q353" s="22" t="b">
        <f t="shared" si="35"/>
        <v>1</v>
      </c>
      <c r="R353" s="22">
        <f>countif('v2022'!F:F,F353)</f>
        <v>1</v>
      </c>
      <c r="S353" s="22">
        <f>countif('v2018'!F:F,F353)</f>
        <v>1</v>
      </c>
      <c r="T353" s="22">
        <f>countif('v2014'!F:F,F353)</f>
        <v>1</v>
      </c>
      <c r="U353" s="22">
        <f>countif('v2010'!F:F,F353)</f>
        <v>1</v>
      </c>
      <c r="V353" s="22">
        <f>countif('v2006'!F:F,F353)</f>
        <v>1</v>
      </c>
      <c r="W353" s="22">
        <f>countif('v2002'!F:F,F353)</f>
        <v>0</v>
      </c>
      <c r="X353" s="22">
        <f>countif('v1998'!F:F,F353)</f>
        <v>0</v>
      </c>
    </row>
    <row r="354">
      <c r="A354" s="21" t="str">
        <f t="shared" si="37"/>
        <v>triton mass energy equivalent in MeV</v>
      </c>
      <c r="B354" s="6" t="s">
        <v>2139</v>
      </c>
      <c r="D354" s="13" t="s">
        <v>2140</v>
      </c>
      <c r="E354" s="13" t="s">
        <v>548</v>
      </c>
      <c r="F354" s="22" t="str">
        <f t="shared" si="33"/>
        <v>TritonMassEnergyEquivalentInMeV</v>
      </c>
      <c r="G354" s="6" t="s">
        <v>2140</v>
      </c>
      <c r="H354" s="6" t="s">
        <v>2137</v>
      </c>
      <c r="I354" s="6"/>
      <c r="J354" s="6" t="s">
        <v>548</v>
      </c>
      <c r="K354" s="14" t="str">
        <f t="shared" si="3"/>
        <v>https://w3id.org/uom/MeV</v>
      </c>
      <c r="L354" s="13" t="s">
        <v>494</v>
      </c>
      <c r="M354" s="23">
        <f>countif(Quantities!A:A,L354)</f>
        <v>1</v>
      </c>
      <c r="N354" s="24" t="b">
        <f t="shared" si="4"/>
        <v>0</v>
      </c>
      <c r="O354" s="6" t="s">
        <v>2141</v>
      </c>
      <c r="P354" s="22" t="b">
        <f t="shared" si="31"/>
        <v>1</v>
      </c>
      <c r="Q354" s="22" t="b">
        <f t="shared" si="35"/>
        <v>1</v>
      </c>
      <c r="R354" s="22">
        <f>countif('v2022'!F:F,F354)</f>
        <v>1</v>
      </c>
      <c r="S354" s="22">
        <f>countif('v2018'!F:F,F354)</f>
        <v>1</v>
      </c>
      <c r="T354" s="22">
        <f>countif('v2014'!F:F,F354)</f>
        <v>1</v>
      </c>
      <c r="U354" s="22">
        <f>countif('v2010'!F:F,F354)</f>
        <v>1</v>
      </c>
      <c r="V354" s="22">
        <f>countif('v2006'!F:F,F354)</f>
        <v>1</v>
      </c>
      <c r="W354" s="22">
        <f>countif('v2002'!F:F,F354)</f>
        <v>0</v>
      </c>
      <c r="X354" s="22">
        <f>countif('v1998'!F:F,F354)</f>
        <v>0</v>
      </c>
    </row>
    <row r="355">
      <c r="A355" s="21" t="str">
        <f t="shared" si="37"/>
        <v>triton mass in u</v>
      </c>
      <c r="B355" s="6" t="s">
        <v>2142</v>
      </c>
      <c r="D355" s="13" t="s">
        <v>2143</v>
      </c>
      <c r="E355" s="13" t="s">
        <v>553</v>
      </c>
      <c r="F355" s="22" t="str">
        <f t="shared" si="33"/>
        <v>TritonMassInAtomicMassUnit</v>
      </c>
      <c r="G355" s="6" t="s">
        <v>2143</v>
      </c>
      <c r="H355" s="6" t="s">
        <v>2133</v>
      </c>
      <c r="I355" s="6"/>
      <c r="J355" s="6" t="s">
        <v>553</v>
      </c>
      <c r="K355" s="14" t="str">
        <f t="shared" si="3"/>
        <v>https://w3id.org/uom/u</v>
      </c>
      <c r="L355" s="13" t="s">
        <v>494</v>
      </c>
      <c r="M355" s="23">
        <f>countif(Quantities!A:A,L355)</f>
        <v>1</v>
      </c>
      <c r="N355" s="24" t="b">
        <f t="shared" si="4"/>
        <v>0</v>
      </c>
      <c r="O355" s="6" t="s">
        <v>2144</v>
      </c>
      <c r="P355" s="22" t="b">
        <f t="shared" si="31"/>
        <v>1</v>
      </c>
      <c r="Q355" s="22" t="b">
        <f t="shared" si="35"/>
        <v>1</v>
      </c>
      <c r="R355" s="22">
        <f>countif('v2022'!F:F,F355)</f>
        <v>1</v>
      </c>
      <c r="S355" s="22">
        <f>countif('v2018'!F:F,F355)</f>
        <v>1</v>
      </c>
      <c r="T355" s="22">
        <f>countif('v2014'!F:F,F355)</f>
        <v>1</v>
      </c>
      <c r="U355" s="22">
        <f>countif('v2010'!F:F,F355)</f>
        <v>1</v>
      </c>
      <c r="V355" s="22">
        <f>countif('v2006'!F:F,F355)</f>
        <v>1</v>
      </c>
      <c r="W355" s="22">
        <f>countif('v2002'!F:F,F355)</f>
        <v>0</v>
      </c>
      <c r="X355" s="22">
        <f>countif('v1998'!F:F,F355)</f>
        <v>0</v>
      </c>
    </row>
    <row r="356">
      <c r="A356" s="21" t="str">
        <f t="shared" si="37"/>
        <v>triton molar mass</v>
      </c>
      <c r="B356" s="6" t="s">
        <v>2145</v>
      </c>
      <c r="D356" s="13" t="s">
        <v>2146</v>
      </c>
      <c r="E356" s="13" t="s">
        <v>557</v>
      </c>
      <c r="F356" s="22" t="str">
        <f t="shared" si="33"/>
        <v>TritonMolarMass</v>
      </c>
      <c r="G356" s="6" t="s">
        <v>2146</v>
      </c>
      <c r="H356" s="6" t="s">
        <v>2147</v>
      </c>
      <c r="I356" s="6"/>
      <c r="J356" s="6" t="s">
        <v>559</v>
      </c>
      <c r="K356" s="14" t="str">
        <f t="shared" si="3"/>
        <v>https://w3id.org/uom/kg.mol-1</v>
      </c>
      <c r="L356" s="13" t="s">
        <v>495</v>
      </c>
      <c r="M356" s="23">
        <f>countif(Quantities!A:A,L356)</f>
        <v>1</v>
      </c>
      <c r="N356" s="24" t="b">
        <f t="shared" si="4"/>
        <v>1</v>
      </c>
      <c r="O356" s="6" t="s">
        <v>2148</v>
      </c>
      <c r="P356" s="22" t="b">
        <f t="shared" si="31"/>
        <v>1</v>
      </c>
      <c r="Q356" s="22" t="b">
        <f t="shared" si="35"/>
        <v>1</v>
      </c>
      <c r="R356" s="22">
        <f>countif('v2022'!F:F,F356)</f>
        <v>1</v>
      </c>
      <c r="S356" s="22">
        <f>countif('v2018'!F:F,F356)</f>
        <v>1</v>
      </c>
      <c r="T356" s="22">
        <f>countif('v2014'!F:F,F356)</f>
        <v>1</v>
      </c>
      <c r="U356" s="22">
        <f>countif('v2010'!F:F,F356)</f>
        <v>1</v>
      </c>
      <c r="V356" s="22">
        <f>countif('v2006'!F:F,F356)</f>
        <v>1</v>
      </c>
      <c r="W356" s="22">
        <f>countif('v2002'!F:F,F356)</f>
        <v>0</v>
      </c>
      <c r="X356" s="22">
        <f>countif('v1998'!F:F,F356)</f>
        <v>0</v>
      </c>
    </row>
    <row r="357">
      <c r="A357" s="6" t="s">
        <v>2149</v>
      </c>
      <c r="B357" s="6" t="s">
        <v>2150</v>
      </c>
      <c r="F357" s="22" t="str">
        <f t="shared" si="33"/>
        <v>TritonNeutronMagneticMomentRatio</v>
      </c>
      <c r="G357" s="6" t="s">
        <v>2151</v>
      </c>
      <c r="H357" s="6" t="s">
        <v>2152</v>
      </c>
      <c r="I357" s="6"/>
      <c r="J357" s="6"/>
      <c r="L357" s="13" t="s">
        <v>496</v>
      </c>
      <c r="M357" s="23">
        <f>countif(Quantities!A:A,L357)</f>
        <v>1</v>
      </c>
      <c r="N357" s="24" t="b">
        <f t="shared" si="4"/>
        <v>1</v>
      </c>
      <c r="O357" s="6" t="s">
        <v>2153</v>
      </c>
      <c r="P357" s="22" t="b">
        <f t="shared" si="31"/>
        <v>1</v>
      </c>
      <c r="Q357" s="22" t="b">
        <f t="shared" si="35"/>
        <v>1</v>
      </c>
      <c r="R357" s="22">
        <f>countif('v2022'!F:F,F357)</f>
        <v>0</v>
      </c>
      <c r="S357" s="22">
        <f>countif('v2018'!F:F,F357)</f>
        <v>0</v>
      </c>
      <c r="T357" s="22">
        <f>countif('v2014'!F:F,F357)</f>
        <v>0</v>
      </c>
      <c r="U357" s="22">
        <f>countif('v2010'!F:F,F357)</f>
        <v>0</v>
      </c>
      <c r="V357" s="22">
        <f>countif('v2006'!F:F,F357)</f>
        <v>1</v>
      </c>
      <c r="W357" s="22">
        <f>countif('v2002'!F:F,F357)</f>
        <v>0</v>
      </c>
      <c r="X357" s="22">
        <f>countif('v1998'!F:F,F357)</f>
        <v>0</v>
      </c>
    </row>
    <row r="358">
      <c r="A358" s="21" t="str">
        <f t="shared" ref="A358:A362" si="38">D358</f>
        <v>triton-proton mass ratio</v>
      </c>
      <c r="B358" s="6" t="s">
        <v>2154</v>
      </c>
      <c r="D358" s="13" t="s">
        <v>2155</v>
      </c>
      <c r="F358" s="22" t="str">
        <f t="shared" si="33"/>
        <v>TritonProtonMassRatio</v>
      </c>
      <c r="G358" s="6" t="s">
        <v>2156</v>
      </c>
      <c r="H358" s="6" t="s">
        <v>2157</v>
      </c>
      <c r="I358" s="6"/>
      <c r="J358" s="6"/>
      <c r="K358" s="13" t="str">
        <f t="shared" ref="K358:K370" si="39">if(or(isblank(J358),J358="?"),"",hyperlink(concatenate("https://w3id.org/uom/",J358)))</f>
        <v/>
      </c>
      <c r="L358" s="13" t="s">
        <v>497</v>
      </c>
      <c r="M358" s="23">
        <f>countif(Quantities!A:A,L358)</f>
        <v>1</v>
      </c>
      <c r="N358" s="24" t="b">
        <f t="shared" si="4"/>
        <v>1</v>
      </c>
      <c r="O358" s="6" t="s">
        <v>2158</v>
      </c>
      <c r="P358" s="22" t="b">
        <f t="shared" si="31"/>
        <v>1</v>
      </c>
      <c r="Q358" s="22" t="b">
        <f t="shared" si="35"/>
        <v>1</v>
      </c>
      <c r="R358" s="22">
        <f>countif('v2022'!F:F,F358)</f>
        <v>1</v>
      </c>
      <c r="S358" s="22">
        <f>countif('v2018'!F:F,F358)</f>
        <v>1</v>
      </c>
      <c r="T358" s="22">
        <f>countif('v2014'!F:F,F358)</f>
        <v>1</v>
      </c>
      <c r="U358" s="22">
        <f>countif('v2010'!F:F,F358)</f>
        <v>1</v>
      </c>
      <c r="V358" s="22">
        <f>countif('v2006'!F:F,F358)</f>
        <v>1</v>
      </c>
      <c r="W358" s="22">
        <f>countif('v2002'!F:F,F358)</f>
        <v>0</v>
      </c>
      <c r="X358" s="22">
        <f>countif('v1998'!F:F,F358)</f>
        <v>0</v>
      </c>
    </row>
    <row r="359">
      <c r="A359" s="21" t="str">
        <f t="shared" si="38"/>
        <v>triton relative atomic mass</v>
      </c>
      <c r="B359" s="6" t="s">
        <v>2159</v>
      </c>
      <c r="C359" s="6"/>
      <c r="D359" s="13" t="s">
        <v>2160</v>
      </c>
      <c r="F359" s="22" t="str">
        <f t="shared" si="33"/>
        <v>TritonRelativeAtomicMass</v>
      </c>
      <c r="G359" s="6" t="s">
        <v>2160</v>
      </c>
      <c r="H359" s="6" t="s">
        <v>2161</v>
      </c>
      <c r="I359" s="6"/>
      <c r="J359" s="6"/>
      <c r="K359" s="13" t="str">
        <f t="shared" si="39"/>
        <v/>
      </c>
      <c r="L359" s="13" t="s">
        <v>498</v>
      </c>
      <c r="M359" s="23">
        <f>countif(Quantities!A:A,L359)</f>
        <v>1</v>
      </c>
      <c r="N359" s="24" t="b">
        <f t="shared" si="4"/>
        <v>1</v>
      </c>
      <c r="P359" s="22" t="b">
        <f t="shared" si="31"/>
        <v>0</v>
      </c>
      <c r="Q359" s="22" t="b">
        <f t="shared" si="35"/>
        <v>1</v>
      </c>
      <c r="R359" s="22">
        <f>countif('v2022'!F:F,F359)</f>
        <v>1</v>
      </c>
      <c r="S359" s="22">
        <f>countif('v2018'!F:F,F359)</f>
        <v>1</v>
      </c>
      <c r="T359" s="22">
        <f>countif('v2014'!F:F,F359)</f>
        <v>0</v>
      </c>
      <c r="U359" s="22">
        <f>countif('v2010'!F:F,F359)</f>
        <v>0</v>
      </c>
      <c r="V359" s="22">
        <f>countif('v2006'!F:F,F359)</f>
        <v>0</v>
      </c>
      <c r="W359" s="22">
        <f>countif('v2002'!F:F,F359)</f>
        <v>0</v>
      </c>
      <c r="X359" s="22">
        <f>countif('v1998'!F:F,F359)</f>
        <v>0</v>
      </c>
    </row>
    <row r="360">
      <c r="A360" s="21" t="str">
        <f t="shared" si="38"/>
        <v>triton to proton mag. mom. ratio</v>
      </c>
      <c r="B360" s="6" t="s">
        <v>2162</v>
      </c>
      <c r="D360" s="13" t="s">
        <v>2163</v>
      </c>
      <c r="F360" s="22" t="str">
        <f t="shared" si="33"/>
        <v>TritonProtonMagneticMomentRatio</v>
      </c>
      <c r="G360" s="6" t="s">
        <v>2164</v>
      </c>
      <c r="H360" s="6" t="s">
        <v>2165</v>
      </c>
      <c r="I360" s="6"/>
      <c r="J360" s="6"/>
      <c r="K360" s="13" t="str">
        <f t="shared" si="39"/>
        <v/>
      </c>
      <c r="L360" s="13" t="s">
        <v>499</v>
      </c>
      <c r="M360" s="23">
        <f>countif(Quantities!A:A,L360)</f>
        <v>1</v>
      </c>
      <c r="N360" s="24" t="b">
        <f t="shared" si="4"/>
        <v>1</v>
      </c>
      <c r="O360" s="6" t="s">
        <v>2166</v>
      </c>
      <c r="P360" s="22" t="b">
        <f t="shared" si="31"/>
        <v>1</v>
      </c>
      <c r="Q360" s="22" t="b">
        <f t="shared" si="35"/>
        <v>1</v>
      </c>
      <c r="R360" s="22">
        <f>countif('v2022'!F:F,F360)</f>
        <v>1</v>
      </c>
      <c r="S360" s="22">
        <f>countif('v2018'!F:F,F360)</f>
        <v>1</v>
      </c>
      <c r="T360" s="22">
        <f>countif('v2014'!F:F,F360)</f>
        <v>0</v>
      </c>
      <c r="U360" s="22">
        <f>countif('v2010'!F:F,F360)</f>
        <v>0</v>
      </c>
      <c r="V360" s="22">
        <f>countif('v2006'!F:F,F360)</f>
        <v>1</v>
      </c>
      <c r="W360" s="22">
        <f>countif('v2002'!F:F,F360)</f>
        <v>0</v>
      </c>
      <c r="X360" s="22">
        <f>countif('v1998'!F:F,F360)</f>
        <v>0</v>
      </c>
    </row>
    <row r="361">
      <c r="A361" s="21" t="str">
        <f t="shared" si="38"/>
        <v>unified atomic mass unit</v>
      </c>
      <c r="B361" s="6" t="s">
        <v>2167</v>
      </c>
      <c r="D361" s="13" t="s">
        <v>2168</v>
      </c>
      <c r="E361" s="13" t="s">
        <v>538</v>
      </c>
      <c r="F361" s="22" t="str">
        <f t="shared" si="33"/>
        <v>UnifiedAtomicMassUnit</v>
      </c>
      <c r="G361" s="6" t="s">
        <v>2168</v>
      </c>
      <c r="H361" s="6" t="s">
        <v>2169</v>
      </c>
      <c r="I361" s="6"/>
      <c r="J361" s="6" t="s">
        <v>538</v>
      </c>
      <c r="K361" s="14" t="str">
        <f t="shared" si="39"/>
        <v>https://w3id.org/uom/kg</v>
      </c>
      <c r="L361" s="13" t="s">
        <v>500</v>
      </c>
      <c r="M361" s="23">
        <f>countif(Quantities!A:A,L361)</f>
        <v>1</v>
      </c>
      <c r="N361" s="24" t="b">
        <f t="shared" si="4"/>
        <v>1</v>
      </c>
      <c r="O361" s="6" t="s">
        <v>2170</v>
      </c>
      <c r="P361" s="22" t="b">
        <f t="shared" si="31"/>
        <v>1</v>
      </c>
      <c r="Q361" s="22" t="b">
        <f t="shared" si="35"/>
        <v>1</v>
      </c>
      <c r="R361" s="22">
        <f>countif('v2022'!F:F,F361)</f>
        <v>1</v>
      </c>
      <c r="S361" s="22">
        <f>countif('v2018'!F:F,F361)</f>
        <v>1</v>
      </c>
      <c r="T361" s="22">
        <f>countif('v2014'!F:F,F361)</f>
        <v>1</v>
      </c>
      <c r="U361" s="22">
        <f>countif('v2010'!F:F,F361)</f>
        <v>1</v>
      </c>
      <c r="V361" s="22">
        <f>countif('v2006'!F:F,F361)</f>
        <v>1</v>
      </c>
      <c r="W361" s="22">
        <f>countif('v2002'!F:F,F361)</f>
        <v>1</v>
      </c>
      <c r="X361" s="22">
        <f>countif('v1998'!F:F,F361)</f>
        <v>1</v>
      </c>
    </row>
    <row r="362">
      <c r="A362" s="21" t="str">
        <f t="shared" si="38"/>
        <v>vacuum electric permittivity</v>
      </c>
      <c r="B362" s="6" t="s">
        <v>2171</v>
      </c>
      <c r="D362" s="13" t="s">
        <v>2172</v>
      </c>
      <c r="E362" s="13" t="s">
        <v>743</v>
      </c>
      <c r="F362" s="22" t="str">
        <f t="shared" si="33"/>
        <v>PermittivityOfVacuum</v>
      </c>
      <c r="G362" s="6" t="s">
        <v>2172</v>
      </c>
      <c r="H362" s="6" t="s">
        <v>2173</v>
      </c>
      <c r="I362" s="6" t="s">
        <v>2174</v>
      </c>
      <c r="J362" s="6" t="s">
        <v>745</v>
      </c>
      <c r="K362" s="14" t="str">
        <f t="shared" si="39"/>
        <v>https://w3id.org/uom/F.m-1</v>
      </c>
      <c r="L362" s="13" t="s">
        <v>501</v>
      </c>
      <c r="M362" s="23">
        <f>countif(Quantities!A:A,L362)</f>
        <v>1</v>
      </c>
      <c r="N362" s="24" t="b">
        <f t="shared" si="4"/>
        <v>1</v>
      </c>
      <c r="O362" s="6" t="s">
        <v>2175</v>
      </c>
      <c r="P362" s="22" t="b">
        <f t="shared" si="31"/>
        <v>1</v>
      </c>
      <c r="Q362" s="22" t="b">
        <f t="shared" si="35"/>
        <v>1</v>
      </c>
      <c r="R362" s="22">
        <f>countif('v2022'!F:F,F362)</f>
        <v>1</v>
      </c>
      <c r="S362" s="22">
        <f>countif('v2018'!F:F,F362)</f>
        <v>1</v>
      </c>
      <c r="T362" s="22">
        <f>countif('v2014'!F:F,F362)</f>
        <v>0</v>
      </c>
      <c r="U362" s="22">
        <f>countif('v2010'!F:F,F362)</f>
        <v>0</v>
      </c>
      <c r="V362" s="22">
        <f>countif('v2006'!F:F,F362)</f>
        <v>0</v>
      </c>
      <c r="W362" s="22">
        <f>countif('v2002'!F:F,F362)</f>
        <v>0</v>
      </c>
      <c r="X362" s="22">
        <f>countif('v1998'!F:F,F362)</f>
        <v>0</v>
      </c>
    </row>
    <row r="363" ht="15.0" customHeight="1">
      <c r="A363" s="27" t="s">
        <v>2176</v>
      </c>
      <c r="B363" s="27" t="s">
        <v>2171</v>
      </c>
      <c r="C363" s="27"/>
      <c r="D363" s="28"/>
      <c r="E363" s="28" t="s">
        <v>2103</v>
      </c>
      <c r="F363" s="32" t="str">
        <f t="shared" si="33"/>
        <v>ElectricConstant</v>
      </c>
      <c r="G363" s="27" t="s">
        <v>2177</v>
      </c>
      <c r="H363" s="27" t="s">
        <v>2178</v>
      </c>
      <c r="I363" s="27"/>
      <c r="J363" s="27"/>
      <c r="K363" s="28" t="str">
        <f t="shared" si="39"/>
        <v/>
      </c>
      <c r="L363" s="28" t="s">
        <v>286</v>
      </c>
      <c r="M363" s="30">
        <f>countif(Quantities!A:A,L363)</f>
        <v>1</v>
      </c>
      <c r="N363" s="31" t="b">
        <f t="shared" si="4"/>
        <v>1</v>
      </c>
      <c r="O363" s="27" t="s">
        <v>2179</v>
      </c>
      <c r="P363" s="32" t="b">
        <f t="shared" si="31"/>
        <v>1</v>
      </c>
      <c r="Q363" s="32" t="b">
        <f>sum(S85:X363)&gt;0</f>
        <v>1</v>
      </c>
      <c r="R363" s="22">
        <f>countif('v2022'!F:F,F363)</f>
        <v>0</v>
      </c>
      <c r="S363" s="32">
        <f>countif('v2018'!F:F,F363)</f>
        <v>0</v>
      </c>
      <c r="T363" s="32">
        <f>countif('v2014'!F:F,F363)</f>
        <v>1</v>
      </c>
      <c r="U363" s="32">
        <f>countif('v2010'!F:F,F363)</f>
        <v>1</v>
      </c>
      <c r="V363" s="32">
        <f>countif('v2006'!F:F,F363)</f>
        <v>1</v>
      </c>
      <c r="W363" s="32">
        <f>countif('v2002'!F:F,F363)</f>
        <v>1</v>
      </c>
      <c r="X363" s="32">
        <f>countif('v1998'!F:F,F363)</f>
        <v>1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</row>
    <row r="364">
      <c r="A364" s="21" t="str">
        <f>D364</f>
        <v>vacuum mag. permeability</v>
      </c>
      <c r="B364" s="6" t="s">
        <v>2180</v>
      </c>
      <c r="D364" s="13" t="s">
        <v>2181</v>
      </c>
      <c r="E364" s="13" t="s">
        <v>2182</v>
      </c>
      <c r="F364" s="22" t="str">
        <f t="shared" si="33"/>
        <v>ElectromagneticPermeabilityOfVacuum</v>
      </c>
      <c r="G364" s="6" t="s">
        <v>2183</v>
      </c>
      <c r="H364" s="6" t="s">
        <v>2184</v>
      </c>
      <c r="I364" s="6" t="s">
        <v>2185</v>
      </c>
      <c r="J364" s="6" t="s">
        <v>2186</v>
      </c>
      <c r="K364" s="14" t="str">
        <f t="shared" si="39"/>
        <v>https://w3id.org/uom/N.A-2</v>
      </c>
      <c r="L364" s="13" t="s">
        <v>502</v>
      </c>
      <c r="M364" s="23">
        <f>countif(Quantities!A:A,L364)</f>
        <v>1</v>
      </c>
      <c r="N364" s="24" t="b">
        <f t="shared" si="4"/>
        <v>1</v>
      </c>
      <c r="O364" s="6" t="s">
        <v>2187</v>
      </c>
      <c r="P364" s="22" t="b">
        <f t="shared" si="31"/>
        <v>1</v>
      </c>
      <c r="Q364" s="22" t="b">
        <f>sum(S362:X364)&gt;0</f>
        <v>1</v>
      </c>
      <c r="R364" s="22">
        <f>countif('v2022'!F:F,F364)</f>
        <v>1</v>
      </c>
      <c r="S364" s="22">
        <f>countif('v2018'!F:F,F364)</f>
        <v>1</v>
      </c>
      <c r="T364" s="22">
        <f>countif('v2014'!F:F,F364)</f>
        <v>0</v>
      </c>
      <c r="U364" s="22">
        <f>countif('v2010'!F:F,F364)</f>
        <v>0</v>
      </c>
      <c r="V364" s="22">
        <f>countif('v2006'!F:F,F364)</f>
        <v>0</v>
      </c>
      <c r="W364" s="22">
        <f>countif('v2002'!F:F,F364)</f>
        <v>0</v>
      </c>
      <c r="X364" s="22">
        <f>countif('v1998'!F:F,F364)</f>
        <v>0</v>
      </c>
    </row>
    <row r="365">
      <c r="A365" s="37" t="s">
        <v>2188</v>
      </c>
      <c r="B365" s="27" t="s">
        <v>2180</v>
      </c>
      <c r="C365" s="28"/>
      <c r="D365" s="28"/>
      <c r="E365" s="27" t="s">
        <v>2182</v>
      </c>
      <c r="F365" s="32" t="str">
        <f t="shared" si="33"/>
        <v>MagneticConstant</v>
      </c>
      <c r="G365" s="27" t="s">
        <v>2188</v>
      </c>
      <c r="H365" s="27" t="s">
        <v>2189</v>
      </c>
      <c r="I365" s="27"/>
      <c r="J365" s="27" t="s">
        <v>2186</v>
      </c>
      <c r="K365" s="29" t="str">
        <f t="shared" si="39"/>
        <v>https://w3id.org/uom/N.A-2</v>
      </c>
      <c r="L365" s="28" t="s">
        <v>382</v>
      </c>
      <c r="M365" s="30">
        <f>countif(Quantities!A:A,L365)</f>
        <v>1</v>
      </c>
      <c r="N365" s="31" t="b">
        <f t="shared" si="4"/>
        <v>1</v>
      </c>
      <c r="O365" s="27" t="s">
        <v>2190</v>
      </c>
      <c r="P365" s="32" t="b">
        <f t="shared" si="31"/>
        <v>1</v>
      </c>
      <c r="Q365" s="32" t="b">
        <f>sum(S195:X365)&gt;0</f>
        <v>1</v>
      </c>
      <c r="R365" s="22">
        <f>countif('v2022'!F:F,F365)</f>
        <v>0</v>
      </c>
      <c r="S365" s="32">
        <f>countif('v2018'!F:F,F365)</f>
        <v>0</v>
      </c>
      <c r="T365" s="32">
        <f>countif('v2014'!F:F,F365)</f>
        <v>1</v>
      </c>
      <c r="U365" s="32">
        <f>countif('v2010'!F:F,F365)</f>
        <v>1</v>
      </c>
      <c r="V365" s="32">
        <f>countif('v2006'!F:F,F365)</f>
        <v>1</v>
      </c>
      <c r="W365" s="32">
        <f>countif('v2002'!F:F,F365)</f>
        <v>1</v>
      </c>
      <c r="X365" s="32">
        <f>countif('v1998'!F:F,F365)</f>
        <v>1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</row>
    <row r="366">
      <c r="A366" s="21" t="str">
        <f t="shared" ref="A366:A370" si="40">D366</f>
        <v>von Klitzing constant</v>
      </c>
      <c r="B366" s="6" t="s">
        <v>2191</v>
      </c>
      <c r="D366" s="13" t="s">
        <v>2192</v>
      </c>
      <c r="E366" s="13" t="s">
        <v>814</v>
      </c>
      <c r="F366" s="22" t="str">
        <f t="shared" si="33"/>
        <v>VonKlitzingConstant</v>
      </c>
      <c r="G366" s="6" t="s">
        <v>2193</v>
      </c>
      <c r="H366" s="6" t="s">
        <v>2194</v>
      </c>
      <c r="I366" s="6"/>
      <c r="J366" s="6" t="s">
        <v>816</v>
      </c>
      <c r="K366" s="14" t="str">
        <f t="shared" si="39"/>
        <v>https://w3id.org/uom/Ohm</v>
      </c>
      <c r="L366" s="13" t="s">
        <v>503</v>
      </c>
      <c r="M366" s="23">
        <f>countif(Quantities!A:A,L366)</f>
        <v>1</v>
      </c>
      <c r="N366" s="24" t="b">
        <f t="shared" si="4"/>
        <v>1</v>
      </c>
      <c r="O366" s="6" t="s">
        <v>2195</v>
      </c>
      <c r="P366" s="22" t="b">
        <f t="shared" si="31"/>
        <v>1</v>
      </c>
      <c r="Q366" s="22" t="b">
        <f>sum(S364:X366)&gt;0</f>
        <v>1</v>
      </c>
      <c r="R366" s="22">
        <f>countif('v2022'!F:F,F366)</f>
        <v>1</v>
      </c>
      <c r="S366" s="22">
        <f>countif('v2018'!F:F,F366)</f>
        <v>1</v>
      </c>
      <c r="T366" s="22">
        <f>countif('v2014'!F:F,F366)</f>
        <v>1</v>
      </c>
      <c r="U366" s="22">
        <f>countif('v2010'!F:F,F366)</f>
        <v>1</v>
      </c>
      <c r="V366" s="22">
        <f>countif('v2006'!F:F,F366)</f>
        <v>1</v>
      </c>
      <c r="W366" s="22">
        <f>countif('v2002'!F:F,F366)</f>
        <v>1</v>
      </c>
      <c r="X366" s="22">
        <f>countif('v1998'!F:F,F366)</f>
        <v>1</v>
      </c>
    </row>
    <row r="367">
      <c r="A367" s="21" t="str">
        <f t="shared" si="40"/>
        <v>weak mixing angle</v>
      </c>
      <c r="B367" s="6" t="s">
        <v>2196</v>
      </c>
      <c r="D367" s="13" t="s">
        <v>2197</v>
      </c>
      <c r="F367" s="22" t="str">
        <f t="shared" si="33"/>
        <v>WeakMixingAngle</v>
      </c>
      <c r="G367" s="6" t="s">
        <v>2197</v>
      </c>
      <c r="I367" s="6"/>
      <c r="J367" s="6"/>
      <c r="K367" s="13" t="str">
        <f t="shared" si="39"/>
        <v/>
      </c>
      <c r="L367" s="13" t="s">
        <v>504</v>
      </c>
      <c r="M367" s="23">
        <f>countif(Quantities!A:A,L367)</f>
        <v>1</v>
      </c>
      <c r="N367" s="24" t="b">
        <f t="shared" si="4"/>
        <v>1</v>
      </c>
      <c r="O367" s="6" t="s">
        <v>2198</v>
      </c>
      <c r="P367" s="22" t="b">
        <f t="shared" si="31"/>
        <v>1</v>
      </c>
      <c r="Q367" s="22" t="b">
        <f t="shared" ref="Q367:Q370" si="41">sum(S366:X367)&gt;0</f>
        <v>1</v>
      </c>
      <c r="R367" s="22">
        <f>countif('v2022'!F:F,F367)</f>
        <v>1</v>
      </c>
      <c r="S367" s="22">
        <f>countif('v2018'!F:F,F367)</f>
        <v>1</v>
      </c>
      <c r="T367" s="22">
        <f>countif('v2014'!F:F,F367)</f>
        <v>1</v>
      </c>
      <c r="U367" s="22">
        <f>countif('v2010'!F:F,F367)</f>
        <v>1</v>
      </c>
      <c r="V367" s="22">
        <f>countif('v2006'!F:F,F367)</f>
        <v>1</v>
      </c>
      <c r="W367" s="22">
        <f>countif('v2002'!F:F,F367)</f>
        <v>1</v>
      </c>
      <c r="X367" s="22">
        <f>countif('v1998'!F:F,F367)</f>
        <v>1</v>
      </c>
    </row>
    <row r="368">
      <c r="A368" s="21" t="str">
        <f t="shared" si="40"/>
        <v>Wien frequency displacement law constant</v>
      </c>
      <c r="B368" s="6" t="s">
        <v>2199</v>
      </c>
      <c r="C368" s="6"/>
      <c r="D368" s="13" t="s">
        <v>2200</v>
      </c>
      <c r="E368" s="13" t="s">
        <v>804</v>
      </c>
      <c r="F368" s="22" t="str">
        <f t="shared" si="33"/>
        <v>WienFrequencyDisplacementLawConstant</v>
      </c>
      <c r="G368" s="6" t="s">
        <v>2200</v>
      </c>
      <c r="H368" s="6" t="s">
        <v>2201</v>
      </c>
      <c r="I368" s="6"/>
      <c r="J368" s="6" t="s">
        <v>805</v>
      </c>
      <c r="K368" s="14" t="str">
        <f t="shared" si="39"/>
        <v>https://w3id.org/uom/Hz.K-1</v>
      </c>
      <c r="L368" s="13" t="s">
        <v>505</v>
      </c>
      <c r="M368" s="23">
        <f>countif(Quantities!A:A,L368)</f>
        <v>1</v>
      </c>
      <c r="N368" s="24" t="b">
        <f t="shared" si="4"/>
        <v>1</v>
      </c>
      <c r="O368" s="6" t="s">
        <v>2202</v>
      </c>
      <c r="P368" s="22" t="b">
        <f t="shared" si="31"/>
        <v>1</v>
      </c>
      <c r="Q368" s="22" t="b">
        <f t="shared" si="41"/>
        <v>1</v>
      </c>
      <c r="R368" s="22">
        <f>countif('v2022'!F:F,F368)</f>
        <v>1</v>
      </c>
      <c r="S368" s="22">
        <f>countif('v2018'!F:F,F368)</f>
        <v>1</v>
      </c>
      <c r="T368" s="22">
        <f>countif('v2014'!F:F,F368)</f>
        <v>1</v>
      </c>
      <c r="U368" s="22">
        <f>countif('v2010'!F:F,F368)</f>
        <v>1</v>
      </c>
      <c r="V368" s="22">
        <f>countif('v2006'!F:F,F368)</f>
        <v>1</v>
      </c>
      <c r="W368" s="22">
        <f>countif('v2002'!F:F,F368)</f>
        <v>0</v>
      </c>
      <c r="X368" s="22">
        <f>countif('v1998'!F:F,F368)</f>
        <v>0</v>
      </c>
    </row>
    <row r="369">
      <c r="A369" s="21" t="str">
        <f t="shared" si="40"/>
        <v>Wien wavelength displacement law constant</v>
      </c>
      <c r="B369" s="6" t="s">
        <v>2203</v>
      </c>
      <c r="C369" s="6"/>
      <c r="D369" s="13" t="s">
        <v>2204</v>
      </c>
      <c r="E369" s="13" t="s">
        <v>1955</v>
      </c>
      <c r="F369" s="22" t="str">
        <f t="shared" si="33"/>
        <v>WienWavelengthDisplacementLawConstant</v>
      </c>
      <c r="G369" s="6" t="s">
        <v>2204</v>
      </c>
      <c r="H369" s="6" t="s">
        <v>2205</v>
      </c>
      <c r="I369" s="6"/>
      <c r="J369" s="6" t="s">
        <v>1957</v>
      </c>
      <c r="K369" s="14" t="str">
        <f t="shared" si="39"/>
        <v>https://w3id.org/uom/m.K</v>
      </c>
      <c r="L369" s="13" t="s">
        <v>506</v>
      </c>
      <c r="M369" s="23">
        <f>countif(Quantities!A:A,L369)</f>
        <v>1</v>
      </c>
      <c r="N369" s="24" t="b">
        <f t="shared" si="4"/>
        <v>1</v>
      </c>
      <c r="O369" s="6" t="s">
        <v>2206</v>
      </c>
      <c r="P369" s="22" t="b">
        <f t="shared" si="31"/>
        <v>1</v>
      </c>
      <c r="Q369" s="22" t="b">
        <f t="shared" si="41"/>
        <v>1</v>
      </c>
      <c r="R369" s="22">
        <f>countif('v2022'!F:F,F369)</f>
        <v>1</v>
      </c>
      <c r="S369" s="22">
        <f>countif('v2018'!F:F,F369)</f>
        <v>1</v>
      </c>
      <c r="T369" s="22">
        <f>countif('v2014'!F:F,F369)</f>
        <v>1</v>
      </c>
      <c r="U369" s="22">
        <f>countif('v2010'!F:F,F369)</f>
        <v>1</v>
      </c>
      <c r="V369" s="22">
        <f>countif('v2006'!F:F,F369)</f>
        <v>1</v>
      </c>
      <c r="W369" s="22">
        <f>countif('v2002'!F:F,F369)</f>
        <v>1</v>
      </c>
      <c r="X369" s="22">
        <f>countif('v1998'!F:F,F369)</f>
        <v>1</v>
      </c>
    </row>
    <row r="370">
      <c r="A370" s="21" t="str">
        <f t="shared" si="40"/>
        <v>W to Z mass ratio</v>
      </c>
      <c r="B370" s="6" t="s">
        <v>2207</v>
      </c>
      <c r="D370" s="13" t="s">
        <v>2208</v>
      </c>
      <c r="F370" s="22" t="str">
        <f t="shared" si="33"/>
        <v>WToZMassRatio</v>
      </c>
      <c r="G370" s="6" t="s">
        <v>2208</v>
      </c>
      <c r="H370" s="6" t="s">
        <v>2209</v>
      </c>
      <c r="K370" s="13" t="str">
        <f t="shared" si="39"/>
        <v/>
      </c>
      <c r="L370" s="13" t="s">
        <v>507</v>
      </c>
      <c r="M370" s="23">
        <f>countif(Quantities!A:A,L370)</f>
        <v>1</v>
      </c>
      <c r="N370" s="24" t="b">
        <f t="shared" si="4"/>
        <v>1</v>
      </c>
      <c r="P370" s="22" t="b">
        <f t="shared" si="31"/>
        <v>0</v>
      </c>
      <c r="Q370" s="22" t="b">
        <f t="shared" si="41"/>
        <v>1</v>
      </c>
      <c r="R370" s="22">
        <f>countif('v2022'!F:F,F370)</f>
        <v>1</v>
      </c>
      <c r="S370" s="22">
        <f>countif('v2018'!F:F,F370)</f>
        <v>1</v>
      </c>
      <c r="T370" s="22">
        <f>countif('v2014'!F:F,F370)</f>
        <v>0</v>
      </c>
      <c r="U370" s="22">
        <f>countif('v2010'!F:F,F370)</f>
        <v>0</v>
      </c>
      <c r="V370" s="22">
        <f>countif('v2006'!F:F,F370)</f>
        <v>0</v>
      </c>
      <c r="W370" s="22">
        <f>countif('v2002'!F:F,F370)</f>
        <v>0</v>
      </c>
      <c r="X370" s="22">
        <f>countif('v1998'!F:F,F370)</f>
        <v>0</v>
      </c>
    </row>
  </sheetData>
  <conditionalFormatting sqref="I1:J370">
    <cfRule type="cellIs" dxfId="1" priority="1" operator="equal">
      <formula>"?"</formula>
    </cfRule>
  </conditionalFormatting>
  <conditionalFormatting sqref="R2:X370">
    <cfRule type="cellIs" dxfId="2" priority="2" operator="equal">
      <formula>0</formula>
    </cfRule>
  </conditionalFormatting>
  <conditionalFormatting sqref="R2:X370">
    <cfRule type="cellIs" dxfId="0" priority="3" operator="greaterThan">
      <formula>1</formula>
    </cfRule>
  </conditionalFormatting>
  <conditionalFormatting sqref="M2:M370">
    <cfRule type="cellIs" dxfId="0" priority="4" operator="equal">
      <formula>0</formula>
    </cfRule>
  </conditionalFormatting>
  <conditionalFormatting sqref="B1:B370">
    <cfRule type="expression" dxfId="0" priority="5">
      <formula>COUNTIF(B:B,B1) &gt; 1</formula>
    </cfRule>
  </conditionalFormatting>
  <hyperlinks>
    <hyperlink r:id="rId1" ref="Y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1.88"/>
    <col customWidth="1" min="11" max="11" width="6.63"/>
    <col customWidth="1" min="12" max="12" width="8.38"/>
    <col customWidth="1" min="14" max="14" width="8.88"/>
    <col customWidth="1" min="15" max="15" width="43.38"/>
  </cols>
  <sheetData>
    <row r="1">
      <c r="A1" s="10" t="s">
        <v>249</v>
      </c>
      <c r="B1" s="10" t="s">
        <v>2210</v>
      </c>
      <c r="C1" s="10" t="s">
        <v>2211</v>
      </c>
      <c r="D1" s="10" t="s">
        <v>2212</v>
      </c>
      <c r="E1" s="38" t="s">
        <v>2213</v>
      </c>
      <c r="F1" s="20" t="s">
        <v>0</v>
      </c>
      <c r="G1" s="39" t="s">
        <v>2214</v>
      </c>
      <c r="H1" s="39" t="s">
        <v>2215</v>
      </c>
      <c r="I1" s="39" t="s">
        <v>2216</v>
      </c>
      <c r="J1" s="40" t="s">
        <v>2217</v>
      </c>
      <c r="K1" s="39" t="s">
        <v>2218</v>
      </c>
      <c r="L1" s="39" t="s">
        <v>2219</v>
      </c>
      <c r="M1" s="41"/>
      <c r="N1" s="41" t="s">
        <v>2220</v>
      </c>
      <c r="O1" s="39" t="s">
        <v>2221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6" t="s">
        <v>531</v>
      </c>
      <c r="B2" s="6" t="s">
        <v>2222</v>
      </c>
      <c r="C2" s="6" t="s">
        <v>2223</v>
      </c>
      <c r="E2" s="42">
        <f>countif(Constants!F:F,F2)</f>
        <v>1</v>
      </c>
      <c r="F2" s="21" t="str">
        <f>VLOOKUP($A2,Constants!$D:$F,3,false)</f>
        <v>AlphaParticleElectronMassRatio</v>
      </c>
      <c r="G2" s="43" t="str">
        <f t="shared" ref="G2:G356" si="1">SUBSTITUTE(SUBSTITUTE(B2," ",""),"...","")</f>
        <v>7294.29954171</v>
      </c>
      <c r="H2" s="43">
        <f t="shared" ref="H2:H356" si="2">value(G2)</f>
        <v>7294.299542</v>
      </c>
      <c r="I2" s="43" t="str">
        <f t="shared" ref="I2:I356" si="3">SUBSTITUTE(C2," ","")</f>
        <v>0.00000017</v>
      </c>
      <c r="J2" s="44">
        <f t="shared" ref="J2:J356" si="4">if(I2="(exact)","",value(I2))</f>
        <v>0.00000017</v>
      </c>
      <c r="K2" s="43" t="b">
        <f t="shared" ref="K2:K356" si="5">ISNUMBER(search("...",B2))</f>
        <v>0</v>
      </c>
      <c r="L2" s="21" t="str">
        <f>IFERROR(__xludf.DUMMYFUNCTION("if(regexmatch(B2,""e(.*)$""),regexextract(B2,""e(.*)$""),"""")"),"")</f>
        <v/>
      </c>
      <c r="M2" s="45"/>
      <c r="N2" s="45">
        <f>countif(Constants!F:F,F2)</f>
        <v>1</v>
      </c>
      <c r="O2" s="21" t="str">
        <f>VLOOKUP($A2,Constants!$D:$D,1,false)</f>
        <v>alpha particle-electron mass ratio</v>
      </c>
    </row>
    <row r="3">
      <c r="A3" s="6" t="s">
        <v>537</v>
      </c>
      <c r="B3" s="6" t="s">
        <v>2224</v>
      </c>
      <c r="C3" s="6" t="s">
        <v>2225</v>
      </c>
      <c r="D3" s="6" t="s">
        <v>538</v>
      </c>
      <c r="E3" s="42">
        <f>countif(Constants!F:F,F3)</f>
        <v>1</v>
      </c>
      <c r="F3" s="21" t="str">
        <f>VLOOKUP($A3,Constants!$D:$F,3,false)</f>
        <v>AlphaParticleMass</v>
      </c>
      <c r="G3" s="43" t="str">
        <f t="shared" si="1"/>
        <v>6.6446573450e-27</v>
      </c>
      <c r="H3" s="43">
        <f t="shared" si="2"/>
        <v>0</v>
      </c>
      <c r="I3" s="43" t="str">
        <f t="shared" si="3"/>
        <v>0.0000000021e-27</v>
      </c>
      <c r="J3" s="44">
        <f t="shared" si="4"/>
        <v>0</v>
      </c>
      <c r="K3" s="43" t="b">
        <f t="shared" si="5"/>
        <v>0</v>
      </c>
      <c r="L3" s="21" t="str">
        <f>IFERROR(__xludf.DUMMYFUNCTION("if(regexmatch(B3,""e(.*)$""),regexextract(B3,""e(.*)$""),"""")"),"-27")</f>
        <v>-27</v>
      </c>
      <c r="M3" s="45"/>
      <c r="N3" s="45">
        <f>countif(Constants!F:F,F3)</f>
        <v>1</v>
      </c>
      <c r="O3" s="21" t="str">
        <f>VLOOKUP($A3,Constants!$D:$D,1,false)</f>
        <v>alpha particle mass</v>
      </c>
    </row>
    <row r="4">
      <c r="A4" s="6" t="s">
        <v>542</v>
      </c>
      <c r="B4" s="6" t="s">
        <v>2226</v>
      </c>
      <c r="C4" s="6" t="s">
        <v>2227</v>
      </c>
      <c r="D4" s="6" t="s">
        <v>543</v>
      </c>
      <c r="E4" s="42">
        <f>countif(Constants!F:F,F4)</f>
        <v>1</v>
      </c>
      <c r="F4" s="21" t="str">
        <f>VLOOKUP($A4,Constants!$D:$F,3,false)</f>
        <v>AlphaParticleMassEnergyEquivalent</v>
      </c>
      <c r="G4" s="43" t="str">
        <f t="shared" si="1"/>
        <v>5.9719201997e-10</v>
      </c>
      <c r="H4" s="43">
        <f t="shared" si="2"/>
        <v>0.00000000059719202</v>
      </c>
      <c r="I4" s="43" t="str">
        <f t="shared" si="3"/>
        <v>0.0000000019e-10</v>
      </c>
      <c r="J4" s="44">
        <f t="shared" si="4"/>
        <v>0</v>
      </c>
      <c r="K4" s="43" t="b">
        <f t="shared" si="5"/>
        <v>0</v>
      </c>
      <c r="L4" s="21" t="str">
        <f>IFERROR(__xludf.DUMMYFUNCTION("if(regexmatch(B4,""e(.*)$""),regexextract(B4,""e(.*)$""),"""")"),"-10")</f>
        <v>-10</v>
      </c>
      <c r="M4" s="45"/>
      <c r="N4" s="45">
        <f>countif(Constants!F:F,F4)</f>
        <v>1</v>
      </c>
      <c r="O4" s="21" t="str">
        <f>VLOOKUP($A4,Constants!$D:$D,1,false)</f>
        <v>alpha particle mass energy equivalent</v>
      </c>
    </row>
    <row r="5">
      <c r="A5" s="6" t="s">
        <v>547</v>
      </c>
      <c r="B5" s="6" t="s">
        <v>2228</v>
      </c>
      <c r="C5" s="6" t="s">
        <v>2229</v>
      </c>
      <c r="D5" s="6" t="s">
        <v>548</v>
      </c>
      <c r="E5" s="42">
        <f>countif(Constants!F:F,F5)</f>
        <v>1</v>
      </c>
      <c r="F5" s="21" t="str">
        <f>VLOOKUP($A5,Constants!$D:$F,3,false)</f>
        <v>AlphaParticleMassEnergyEquivalentInMeV</v>
      </c>
      <c r="G5" s="43" t="str">
        <f t="shared" si="1"/>
        <v>3727.3794118</v>
      </c>
      <c r="H5" s="43">
        <f t="shared" si="2"/>
        <v>3727.379412</v>
      </c>
      <c r="I5" s="43" t="str">
        <f t="shared" si="3"/>
        <v>0.0000012</v>
      </c>
      <c r="J5" s="44">
        <f t="shared" si="4"/>
        <v>0.0000012</v>
      </c>
      <c r="K5" s="43" t="b">
        <f t="shared" si="5"/>
        <v>0</v>
      </c>
      <c r="L5" s="21" t="str">
        <f>IFERROR(__xludf.DUMMYFUNCTION("if(regexmatch(B5,""e(.*)$""),regexextract(B5,""e(.*)$""),"""")"),"")</f>
        <v/>
      </c>
      <c r="M5" s="45"/>
      <c r="N5" s="45">
        <f>countif(Constants!F:F,F5)</f>
        <v>1</v>
      </c>
      <c r="O5" s="21" t="str">
        <f>VLOOKUP($A5,Constants!$D:$D,1,false)</f>
        <v>alpha particle mass energy equivalent in MeV</v>
      </c>
    </row>
    <row r="6">
      <c r="A6" s="6" t="s">
        <v>552</v>
      </c>
      <c r="B6" s="6" t="s">
        <v>2230</v>
      </c>
      <c r="C6" s="6" t="s">
        <v>2231</v>
      </c>
      <c r="D6" s="6" t="s">
        <v>553</v>
      </c>
      <c r="E6" s="42">
        <f>countif(Constants!F:F,F6)</f>
        <v>1</v>
      </c>
      <c r="F6" s="21" t="str">
        <f>VLOOKUP($A6,Constants!$D:$F,3,false)</f>
        <v>AlphaParticleMassInAtomicMassUnit</v>
      </c>
      <c r="G6" s="43" t="str">
        <f t="shared" si="1"/>
        <v>4.001506179129</v>
      </c>
      <c r="H6" s="43">
        <f t="shared" si="2"/>
        <v>4.001506179</v>
      </c>
      <c r="I6" s="43" t="str">
        <f t="shared" si="3"/>
        <v>0.000000000062</v>
      </c>
      <c r="J6" s="44">
        <f t="shared" si="4"/>
        <v>0</v>
      </c>
      <c r="K6" s="43" t="b">
        <f t="shared" si="5"/>
        <v>0</v>
      </c>
      <c r="L6" s="21" t="str">
        <f>IFERROR(__xludf.DUMMYFUNCTION("if(regexmatch(B6,""e(.*)$""),regexextract(B6,""e(.*)$""),"""")"),"")</f>
        <v/>
      </c>
      <c r="M6" s="45"/>
      <c r="N6" s="45">
        <f>countif(Constants!F:F,F6)</f>
        <v>1</v>
      </c>
      <c r="O6" s="21" t="str">
        <f>VLOOKUP($A6,Constants!$D:$D,1,false)</f>
        <v>alpha particle mass in u</v>
      </c>
    </row>
    <row r="7">
      <c r="A7" s="6" t="s">
        <v>556</v>
      </c>
      <c r="B7" s="6" t="s">
        <v>2232</v>
      </c>
      <c r="C7" s="6" t="s">
        <v>2233</v>
      </c>
      <c r="D7" s="6" t="s">
        <v>557</v>
      </c>
      <c r="E7" s="42">
        <f>countif(Constants!F:F,F7)</f>
        <v>1</v>
      </c>
      <c r="F7" s="21" t="str">
        <f>VLOOKUP($A7,Constants!$D:$F,3,false)</f>
        <v>AlphaParticleMolarMass</v>
      </c>
      <c r="G7" s="43" t="str">
        <f t="shared" si="1"/>
        <v>4.0015061833e-3</v>
      </c>
      <c r="H7" s="43">
        <f t="shared" si="2"/>
        <v>0.004001506183</v>
      </c>
      <c r="I7" s="43" t="str">
        <f t="shared" si="3"/>
        <v>0.0000000012e-3</v>
      </c>
      <c r="J7" s="44">
        <f t="shared" si="4"/>
        <v>0</v>
      </c>
      <c r="K7" s="43" t="b">
        <f t="shared" si="5"/>
        <v>0</v>
      </c>
      <c r="L7" s="21" t="str">
        <f>IFERROR(__xludf.DUMMYFUNCTION("if(regexmatch(B7,""e(.*)$""),regexextract(B7,""e(.*)$""),"""")"),"-3")</f>
        <v>-3</v>
      </c>
      <c r="M7" s="45"/>
      <c r="N7" s="45">
        <f>countif(Constants!F:F,F7)</f>
        <v>1</v>
      </c>
      <c r="O7" s="21" t="str">
        <f>VLOOKUP($A7,Constants!$D:$D,1,false)</f>
        <v>alpha particle molar mass</v>
      </c>
    </row>
    <row r="8">
      <c r="A8" s="6" t="s">
        <v>562</v>
      </c>
      <c r="B8" s="6" t="s">
        <v>2234</v>
      </c>
      <c r="C8" s="6" t="s">
        <v>2235</v>
      </c>
      <c r="E8" s="42">
        <f>countif(Constants!F:F,F8)</f>
        <v>1</v>
      </c>
      <c r="F8" s="21" t="str">
        <f>VLOOKUP($A8,Constants!$D:$F,3,false)</f>
        <v>AlphaParticleProtonMassRatio</v>
      </c>
      <c r="G8" s="43" t="str">
        <f t="shared" si="1"/>
        <v>3.972599690252</v>
      </c>
      <c r="H8" s="43">
        <f t="shared" si="2"/>
        <v>3.97259969</v>
      </c>
      <c r="I8" s="43" t="str">
        <f t="shared" si="3"/>
        <v>0.000000000070</v>
      </c>
      <c r="J8" s="44">
        <f t="shared" si="4"/>
        <v>0</v>
      </c>
      <c r="K8" s="43" t="b">
        <f t="shared" si="5"/>
        <v>0</v>
      </c>
      <c r="L8" s="21" t="str">
        <f>IFERROR(__xludf.DUMMYFUNCTION("if(regexmatch(B8,""e(.*)$""),regexextract(B8,""e(.*)$""),"""")"),"")</f>
        <v/>
      </c>
      <c r="M8" s="45"/>
      <c r="N8" s="45">
        <f>countif(Constants!F:F,F8)</f>
        <v>1</v>
      </c>
      <c r="O8" s="21" t="str">
        <f>VLOOKUP($A8,Constants!$D:$D,1,false)</f>
        <v>alpha particle-proton mass ratio</v>
      </c>
    </row>
    <row r="9">
      <c r="A9" s="6" t="s">
        <v>567</v>
      </c>
      <c r="B9" s="6" t="s">
        <v>2230</v>
      </c>
      <c r="C9" s="6" t="s">
        <v>2231</v>
      </c>
      <c r="E9" s="42">
        <f>countif(Constants!F:F,F9)</f>
        <v>1</v>
      </c>
      <c r="F9" s="21" t="str">
        <f>VLOOKUP($A9,Constants!$D:$F,3,false)</f>
        <v>AlphaParticleRelativeAtomicMass</v>
      </c>
      <c r="G9" s="43" t="str">
        <f t="shared" si="1"/>
        <v>4.001506179129</v>
      </c>
      <c r="H9" s="43">
        <f t="shared" si="2"/>
        <v>4.001506179</v>
      </c>
      <c r="I9" s="43" t="str">
        <f t="shared" si="3"/>
        <v>0.000000000062</v>
      </c>
      <c r="J9" s="44">
        <f t="shared" si="4"/>
        <v>0</v>
      </c>
      <c r="K9" s="43" t="b">
        <f t="shared" si="5"/>
        <v>0</v>
      </c>
      <c r="L9" s="21" t="str">
        <f>IFERROR(__xludf.DUMMYFUNCTION("if(regexmatch(B9,""e(.*)$""),regexextract(B9,""e(.*)$""),"""")"),"")</f>
        <v/>
      </c>
      <c r="M9" s="45"/>
      <c r="N9" s="45">
        <f>countif(Constants!F:F,F9)</f>
        <v>1</v>
      </c>
      <c r="O9" s="21" t="str">
        <f>VLOOKUP($A9,Constants!$D:$D,1,false)</f>
        <v>alpha particle relative atomic mass</v>
      </c>
    </row>
    <row r="10">
      <c r="A10" s="6" t="s">
        <v>569</v>
      </c>
      <c r="B10" s="46" t="s">
        <v>2236</v>
      </c>
      <c r="C10" s="46" t="s">
        <v>2237</v>
      </c>
      <c r="D10" s="6" t="s">
        <v>571</v>
      </c>
      <c r="E10" s="42">
        <f>countif(Constants!F:F,F10)</f>
        <v>1</v>
      </c>
      <c r="F10" s="21" t="str">
        <f>VLOOKUP($A10,Constants!$D:$F,3,false)</f>
        <v>AlphaParticleRmsChargeRadius</v>
      </c>
      <c r="G10" s="43" t="str">
        <f t="shared" si="1"/>
        <v>1.6785e-15</v>
      </c>
      <c r="H10" s="43">
        <f t="shared" si="2"/>
        <v>0</v>
      </c>
      <c r="I10" s="43" t="str">
        <f t="shared" si="3"/>
        <v>0.0021e-15</v>
      </c>
      <c r="J10" s="44">
        <f t="shared" si="4"/>
        <v>0</v>
      </c>
      <c r="K10" s="43" t="b">
        <f t="shared" si="5"/>
        <v>0</v>
      </c>
      <c r="L10" s="21" t="str">
        <f>IFERROR(__xludf.DUMMYFUNCTION("if(regexmatch(B10,""e(.*)$""),regexextract(B10,""e(.*)$""),"""")"),"-15")</f>
        <v>-15</v>
      </c>
      <c r="M10" s="45"/>
      <c r="N10" s="45">
        <f>countif(Constants!F:F,F10)</f>
        <v>1</v>
      </c>
      <c r="O10" s="21" t="str">
        <f>VLOOKUP($A10,Constants!$D:$D,1,false)</f>
        <v>alpha particle rms charge radius</v>
      </c>
    </row>
    <row r="11">
      <c r="A11" s="6" t="s">
        <v>573</v>
      </c>
      <c r="B11" s="6" t="s">
        <v>2238</v>
      </c>
      <c r="C11" s="6" t="s">
        <v>2239</v>
      </c>
      <c r="D11" s="6" t="s">
        <v>571</v>
      </c>
      <c r="E11" s="42">
        <f>countif(Constants!F:F,F11)</f>
        <v>1</v>
      </c>
      <c r="F11" s="21" t="str">
        <f>VLOOKUP($A11,Constants!$D:$F,3,false)</f>
        <v>AngstromStar</v>
      </c>
      <c r="G11" s="43" t="str">
        <f t="shared" si="1"/>
        <v>1.00001495e-10</v>
      </c>
      <c r="H11" s="43">
        <f t="shared" si="2"/>
        <v>0.000000000100001495</v>
      </c>
      <c r="I11" s="43" t="str">
        <f t="shared" si="3"/>
        <v>0.00000090e-10</v>
      </c>
      <c r="J11" s="44">
        <f t="shared" si="4"/>
        <v>0</v>
      </c>
      <c r="K11" s="43" t="b">
        <f t="shared" si="5"/>
        <v>0</v>
      </c>
      <c r="L11" s="21" t="str">
        <f>IFERROR(__xludf.DUMMYFUNCTION("if(regexmatch(B11,""e(.*)$""),regexextract(B11,""e(.*)$""),"""")"),"-10")</f>
        <v>-10</v>
      </c>
      <c r="M11" s="45"/>
      <c r="N11" s="45">
        <f>countif(Constants!F:F,F11)</f>
        <v>1</v>
      </c>
      <c r="O11" s="21" t="str">
        <f>VLOOKUP($A11,Constants!$D:$D,1,false)</f>
        <v>Angstrom star</v>
      </c>
    </row>
    <row r="12">
      <c r="A12" s="6" t="s">
        <v>575</v>
      </c>
      <c r="B12" s="6" t="s">
        <v>2240</v>
      </c>
      <c r="C12" s="6" t="s">
        <v>2241</v>
      </c>
      <c r="D12" s="6" t="s">
        <v>538</v>
      </c>
      <c r="E12" s="42">
        <f>countif(Constants!F:F,F12)</f>
        <v>1</v>
      </c>
      <c r="F12" s="21" t="str">
        <f>VLOOKUP($A12,Constants!$D:$F,3,false)</f>
        <v>AtomicMassConstant</v>
      </c>
      <c r="G12" s="43" t="str">
        <f t="shared" si="1"/>
        <v>1.66053906892e-27</v>
      </c>
      <c r="H12" s="43">
        <f t="shared" si="2"/>
        <v>0</v>
      </c>
      <c r="I12" s="43" t="str">
        <f t="shared" si="3"/>
        <v>0.00000000052e-27</v>
      </c>
      <c r="J12" s="44">
        <f t="shared" si="4"/>
        <v>0</v>
      </c>
      <c r="K12" s="43" t="b">
        <f t="shared" si="5"/>
        <v>0</v>
      </c>
      <c r="L12" s="21" t="str">
        <f>IFERROR(__xludf.DUMMYFUNCTION("if(regexmatch(B12,""e(.*)$""),regexextract(B12,""e(.*)$""),"""")"),"-27")</f>
        <v>-27</v>
      </c>
      <c r="M12" s="45"/>
      <c r="N12" s="45">
        <f>countif(Constants!F:F,F12)</f>
        <v>1</v>
      </c>
      <c r="O12" s="21" t="str">
        <f>VLOOKUP($A12,Constants!$D:$D,1,false)</f>
        <v>atomic mass constant</v>
      </c>
    </row>
    <row r="13">
      <c r="A13" s="6" t="s">
        <v>579</v>
      </c>
      <c r="B13" s="6" t="s">
        <v>2242</v>
      </c>
      <c r="C13" s="6" t="s">
        <v>2243</v>
      </c>
      <c r="D13" s="6" t="s">
        <v>543</v>
      </c>
      <c r="E13" s="42">
        <f>countif(Constants!F:F,F13)</f>
        <v>1</v>
      </c>
      <c r="F13" s="21" t="str">
        <f>VLOOKUP($A13,Constants!$D:$F,3,false)</f>
        <v>AtomicMassConstantEnergyEquivalent</v>
      </c>
      <c r="G13" s="43" t="str">
        <f t="shared" si="1"/>
        <v>1.49241808768e-10</v>
      </c>
      <c r="H13" s="43">
        <f t="shared" si="2"/>
        <v>0.0000000001492418088</v>
      </c>
      <c r="I13" s="43" t="str">
        <f t="shared" si="3"/>
        <v>0.00000000046e-10</v>
      </c>
      <c r="J13" s="44">
        <f t="shared" si="4"/>
        <v>0</v>
      </c>
      <c r="K13" s="43" t="b">
        <f t="shared" si="5"/>
        <v>0</v>
      </c>
      <c r="L13" s="21" t="str">
        <f>IFERROR(__xludf.DUMMYFUNCTION("if(regexmatch(B13,""e(.*)$""),regexextract(B13,""e(.*)$""),"""")"),"-10")</f>
        <v>-10</v>
      </c>
      <c r="M13" s="45"/>
      <c r="N13" s="45">
        <f>countif(Constants!F:F,F13)</f>
        <v>1</v>
      </c>
      <c r="O13" s="21" t="str">
        <f>VLOOKUP($A13,Constants!$D:$D,1,false)</f>
        <v>atomic mass constant energy equivalent</v>
      </c>
    </row>
    <row r="14">
      <c r="A14" s="6" t="s">
        <v>583</v>
      </c>
      <c r="B14" s="6" t="s">
        <v>2244</v>
      </c>
      <c r="C14" s="6" t="s">
        <v>2245</v>
      </c>
      <c r="D14" s="6" t="s">
        <v>548</v>
      </c>
      <c r="E14" s="42">
        <f>countif(Constants!F:F,F14)</f>
        <v>1</v>
      </c>
      <c r="F14" s="21" t="str">
        <f>VLOOKUP($A14,Constants!$D:$F,3,false)</f>
        <v>AtomicMassConstantEnergyEquivalentInMeV</v>
      </c>
      <c r="G14" s="43" t="str">
        <f t="shared" si="1"/>
        <v>931.49410372</v>
      </c>
      <c r="H14" s="43">
        <f t="shared" si="2"/>
        <v>931.4941037</v>
      </c>
      <c r="I14" s="43" t="str">
        <f t="shared" si="3"/>
        <v>0.00000029</v>
      </c>
      <c r="J14" s="44">
        <f t="shared" si="4"/>
        <v>0.00000029</v>
      </c>
      <c r="K14" s="43" t="b">
        <f t="shared" si="5"/>
        <v>0</v>
      </c>
      <c r="L14" s="21" t="str">
        <f>IFERROR(__xludf.DUMMYFUNCTION("if(regexmatch(B14,""e(.*)$""),regexextract(B14,""e(.*)$""),"""")"),"")</f>
        <v/>
      </c>
      <c r="M14" s="45"/>
      <c r="N14" s="45">
        <f>countif(Constants!F:F,F14)</f>
        <v>1</v>
      </c>
      <c r="O14" s="21" t="str">
        <f>VLOOKUP($A14,Constants!$D:$D,1,false)</f>
        <v>atomic mass constant energy equivalent in MeV</v>
      </c>
    </row>
    <row r="15">
      <c r="A15" s="6" t="s">
        <v>587</v>
      </c>
      <c r="B15" s="6" t="s">
        <v>2246</v>
      </c>
      <c r="C15" s="6" t="s">
        <v>2247</v>
      </c>
      <c r="D15" s="6" t="s">
        <v>175</v>
      </c>
      <c r="E15" s="42">
        <f>countif(Constants!F:F,F15)</f>
        <v>1</v>
      </c>
      <c r="F15" s="21" t="str">
        <f>VLOOKUP($A15,Constants!$D:$F,3,false)</f>
        <v>AtomicMassUnitElectronVoltRelationship</v>
      </c>
      <c r="G15" s="43" t="str">
        <f t="shared" si="1"/>
        <v>9.3149410372e8</v>
      </c>
      <c r="H15" s="43">
        <f t="shared" si="2"/>
        <v>931494103.7</v>
      </c>
      <c r="I15" s="43" t="str">
        <f t="shared" si="3"/>
        <v>0.0000000029e8</v>
      </c>
      <c r="J15" s="44">
        <f t="shared" si="4"/>
        <v>0.29</v>
      </c>
      <c r="K15" s="43" t="b">
        <f t="shared" si="5"/>
        <v>0</v>
      </c>
      <c r="L15" s="21" t="str">
        <f>IFERROR(__xludf.DUMMYFUNCTION("if(regexmatch(B15,""e(.*)$""),regexextract(B15,""e(.*)$""),"""")"),"8")</f>
        <v>8</v>
      </c>
      <c r="M15" s="45"/>
      <c r="N15" s="45">
        <f>countif(Constants!F:F,F15)</f>
        <v>1</v>
      </c>
      <c r="O15" s="21" t="str">
        <f>VLOOKUP($A15,Constants!$D:$D,1,false)</f>
        <v>atomic mass unit-electron volt relationship</v>
      </c>
    </row>
    <row r="16">
      <c r="A16" s="6" t="s">
        <v>592</v>
      </c>
      <c r="B16" s="6" t="s">
        <v>2248</v>
      </c>
      <c r="C16" s="6" t="s">
        <v>2249</v>
      </c>
      <c r="D16" s="6" t="s">
        <v>593</v>
      </c>
      <c r="E16" s="42">
        <f>countif(Constants!F:F,F16)</f>
        <v>1</v>
      </c>
      <c r="F16" s="21" t="str">
        <f>VLOOKUP($A16,Constants!$D:$F,3,false)</f>
        <v>AtomicMassUnitHartreeRelationship</v>
      </c>
      <c r="G16" s="43" t="str">
        <f t="shared" si="1"/>
        <v>3.4231776922e7</v>
      </c>
      <c r="H16" s="43">
        <f t="shared" si="2"/>
        <v>34231776.92</v>
      </c>
      <c r="I16" s="43" t="str">
        <f t="shared" si="3"/>
        <v>0.0000000011e7</v>
      </c>
      <c r="J16" s="44">
        <f t="shared" si="4"/>
        <v>0.011</v>
      </c>
      <c r="K16" s="43" t="b">
        <f t="shared" si="5"/>
        <v>0</v>
      </c>
      <c r="L16" s="21" t="str">
        <f>IFERROR(__xludf.DUMMYFUNCTION("if(regexmatch(B16,""e(.*)$""),regexextract(B16,""e(.*)$""),"""")"),"7")</f>
        <v>7</v>
      </c>
      <c r="M16" s="45"/>
      <c r="N16" s="45">
        <f>countif(Constants!F:F,F16)</f>
        <v>1</v>
      </c>
      <c r="O16" s="21" t="str">
        <f>VLOOKUP($A16,Constants!$D:$D,1,false)</f>
        <v>atomic mass unit-hartree relationship</v>
      </c>
    </row>
    <row r="17">
      <c r="A17" s="6" t="s">
        <v>599</v>
      </c>
      <c r="B17" s="6" t="s">
        <v>2250</v>
      </c>
      <c r="C17" s="6" t="s">
        <v>2251</v>
      </c>
      <c r="D17" s="6" t="s">
        <v>600</v>
      </c>
      <c r="E17" s="42">
        <f>countif(Constants!F:F,F17)</f>
        <v>1</v>
      </c>
      <c r="F17" s="21" t="str">
        <f>VLOOKUP($A17,Constants!$D:$F,3,false)</f>
        <v>AtomicMassUnitHertzRelationship</v>
      </c>
      <c r="G17" s="43" t="str">
        <f t="shared" si="1"/>
        <v>2.25234272185e23</v>
      </c>
      <c r="H17" s="43">
        <f t="shared" si="2"/>
        <v>2.25234E+23</v>
      </c>
      <c r="I17" s="43" t="str">
        <f t="shared" si="3"/>
        <v>0.00000000070e23</v>
      </c>
      <c r="J17" s="44">
        <f t="shared" si="4"/>
        <v>70000000000000</v>
      </c>
      <c r="K17" s="43" t="b">
        <f t="shared" si="5"/>
        <v>0</v>
      </c>
      <c r="L17" s="21" t="str">
        <f>IFERROR(__xludf.DUMMYFUNCTION("if(regexmatch(B17,""e(.*)$""),regexextract(B17,""e(.*)$""),"""")"),"23")</f>
        <v>23</v>
      </c>
      <c r="M17" s="45"/>
      <c r="N17" s="45">
        <f>countif(Constants!F:F,F17)</f>
        <v>1</v>
      </c>
      <c r="O17" s="21" t="str">
        <f>VLOOKUP($A17,Constants!$D:$D,1,false)</f>
        <v>atomic mass unit-hertz relationship</v>
      </c>
    </row>
    <row r="18">
      <c r="A18" s="6" t="s">
        <v>605</v>
      </c>
      <c r="B18" s="6" t="s">
        <v>2252</v>
      </c>
      <c r="C18" s="6" t="s">
        <v>2253</v>
      </c>
      <c r="D18" s="6" t="s">
        <v>606</v>
      </c>
      <c r="E18" s="42">
        <f>countif(Constants!F:F,F18)</f>
        <v>1</v>
      </c>
      <c r="F18" s="21" t="str">
        <f>VLOOKUP($A18,Constants!$D:$F,3,false)</f>
        <v>AtomicMassUnitInverseMeterRelationship</v>
      </c>
      <c r="G18" s="43" t="str">
        <f t="shared" si="1"/>
        <v>7.5130066209e14</v>
      </c>
      <c r="H18" s="43">
        <f t="shared" si="2"/>
        <v>751300662090000</v>
      </c>
      <c r="I18" s="43" t="str">
        <f t="shared" si="3"/>
        <v>0.0000000023e14</v>
      </c>
      <c r="J18" s="44">
        <f t="shared" si="4"/>
        <v>230000</v>
      </c>
      <c r="K18" s="43" t="b">
        <f t="shared" si="5"/>
        <v>0</v>
      </c>
      <c r="L18" s="21" t="str">
        <f>IFERROR(__xludf.DUMMYFUNCTION("if(regexmatch(B18,""e(.*)$""),regexextract(B18,""e(.*)$""),"""")"),"14")</f>
        <v>14</v>
      </c>
      <c r="M18" s="45"/>
      <c r="N18" s="45">
        <f>countif(Constants!F:F,F18)</f>
        <v>1</v>
      </c>
      <c r="O18" s="21" t="str">
        <f>VLOOKUP($A18,Constants!$D:$D,1,false)</f>
        <v>atomic mass unit-inverse meter relationship</v>
      </c>
    </row>
    <row r="19">
      <c r="A19" s="6" t="s">
        <v>612</v>
      </c>
      <c r="B19" s="6" t="s">
        <v>2242</v>
      </c>
      <c r="C19" s="6" t="s">
        <v>2243</v>
      </c>
      <c r="D19" s="6" t="s">
        <v>543</v>
      </c>
      <c r="E19" s="42">
        <f>countif(Constants!F:F,F19)</f>
        <v>1</v>
      </c>
      <c r="F19" s="21" t="str">
        <f>VLOOKUP($A19,Constants!$D:$F,3,false)</f>
        <v>AtomicMassUnitJouleRelationship</v>
      </c>
      <c r="G19" s="43" t="str">
        <f t="shared" si="1"/>
        <v>1.49241808768e-10</v>
      </c>
      <c r="H19" s="43">
        <f t="shared" si="2"/>
        <v>0.0000000001492418088</v>
      </c>
      <c r="I19" s="43" t="str">
        <f t="shared" si="3"/>
        <v>0.00000000046e-10</v>
      </c>
      <c r="J19" s="44">
        <f t="shared" si="4"/>
        <v>0</v>
      </c>
      <c r="K19" s="43" t="b">
        <f t="shared" si="5"/>
        <v>0</v>
      </c>
      <c r="L19" s="21" t="str">
        <f>IFERROR(__xludf.DUMMYFUNCTION("if(regexmatch(B19,""e(.*)$""),regexextract(B19,""e(.*)$""),"""")"),"-10")</f>
        <v>-10</v>
      </c>
      <c r="M19" s="45"/>
      <c r="N19" s="45">
        <f>countif(Constants!F:F,F19)</f>
        <v>1</v>
      </c>
      <c r="O19" s="21" t="str">
        <f>VLOOKUP($A19,Constants!$D:$D,1,false)</f>
        <v>atomic mass unit-joule relationship</v>
      </c>
    </row>
    <row r="20">
      <c r="A20" s="6" t="s">
        <v>617</v>
      </c>
      <c r="B20" s="6" t="s">
        <v>2254</v>
      </c>
      <c r="C20" s="6" t="s">
        <v>2255</v>
      </c>
      <c r="D20" s="6" t="s">
        <v>618</v>
      </c>
      <c r="E20" s="42">
        <f>countif(Constants!F:F,F20)</f>
        <v>1</v>
      </c>
      <c r="F20" s="21" t="str">
        <f>VLOOKUP($A20,Constants!$D:$F,3,false)</f>
        <v>AtomicMassUnitKelvinRelationship</v>
      </c>
      <c r="G20" s="43" t="str">
        <f t="shared" si="1"/>
        <v>1.08095402067e13</v>
      </c>
      <c r="H20" s="43">
        <f t="shared" si="2"/>
        <v>10809540206700</v>
      </c>
      <c r="I20" s="43" t="str">
        <f t="shared" si="3"/>
        <v>0.00000000034e13</v>
      </c>
      <c r="J20" s="44">
        <f t="shared" si="4"/>
        <v>3400</v>
      </c>
      <c r="K20" s="43" t="b">
        <f t="shared" si="5"/>
        <v>0</v>
      </c>
      <c r="L20" s="21" t="str">
        <f>IFERROR(__xludf.DUMMYFUNCTION("if(regexmatch(B20,""e(.*)$""),regexextract(B20,""e(.*)$""),"""")"),"13")</f>
        <v>13</v>
      </c>
      <c r="M20" s="45"/>
      <c r="N20" s="45">
        <f>countif(Constants!F:F,F20)</f>
        <v>1</v>
      </c>
      <c r="O20" s="21" t="str">
        <f>VLOOKUP($A20,Constants!$D:$D,1,false)</f>
        <v>atomic mass unit-kelvin relationship</v>
      </c>
    </row>
    <row r="21">
      <c r="A21" s="6" t="s">
        <v>623</v>
      </c>
      <c r="B21" s="6" t="s">
        <v>2240</v>
      </c>
      <c r="C21" s="6" t="s">
        <v>2241</v>
      </c>
      <c r="D21" s="6" t="s">
        <v>538</v>
      </c>
      <c r="E21" s="42">
        <f>countif(Constants!F:F,F21)</f>
        <v>1</v>
      </c>
      <c r="F21" s="21" t="str">
        <f>VLOOKUP($A21,Constants!$D:$F,3,false)</f>
        <v>AtomicMassUnitKilogramRelationship</v>
      </c>
      <c r="G21" s="43" t="str">
        <f t="shared" si="1"/>
        <v>1.66053906892e-27</v>
      </c>
      <c r="H21" s="43">
        <f t="shared" si="2"/>
        <v>0</v>
      </c>
      <c r="I21" s="43" t="str">
        <f t="shared" si="3"/>
        <v>0.00000000052e-27</v>
      </c>
      <c r="J21" s="44">
        <f t="shared" si="4"/>
        <v>0</v>
      </c>
      <c r="K21" s="43" t="b">
        <f t="shared" si="5"/>
        <v>0</v>
      </c>
      <c r="L21" s="21" t="str">
        <f>IFERROR(__xludf.DUMMYFUNCTION("if(regexmatch(B21,""e(.*)$""),regexextract(B21,""e(.*)$""),"""")"),"-27")</f>
        <v>-27</v>
      </c>
      <c r="M21" s="45"/>
      <c r="N21" s="45">
        <f>countif(Constants!F:F,F21)</f>
        <v>1</v>
      </c>
      <c r="O21" s="21" t="str">
        <f>VLOOKUP($A21,Constants!$D:$D,1,false)</f>
        <v>atomic mass unit-kilogram relationship</v>
      </c>
    </row>
    <row r="22">
      <c r="A22" s="6" t="s">
        <v>628</v>
      </c>
      <c r="B22" s="6" t="s">
        <v>2256</v>
      </c>
      <c r="C22" s="6" t="s">
        <v>2257</v>
      </c>
      <c r="D22" s="6" t="s">
        <v>629</v>
      </c>
      <c r="E22" s="42">
        <f>countif(Constants!F:F,F22)</f>
        <v>1</v>
      </c>
      <c r="F22" s="21" t="str">
        <f>VLOOKUP($A22,Constants!$D:$F,3,false)</f>
        <v>AtomicUnitOf1stHyperpolarizablity</v>
      </c>
      <c r="G22" s="43" t="str">
        <f t="shared" si="1"/>
        <v>3.2063612996e-53</v>
      </c>
      <c r="H22" s="43">
        <f t="shared" si="2"/>
        <v>0</v>
      </c>
      <c r="I22" s="43" t="str">
        <f t="shared" si="3"/>
        <v>0.0000000015e-53</v>
      </c>
      <c r="J22" s="44">
        <f t="shared" si="4"/>
        <v>0</v>
      </c>
      <c r="K22" s="43" t="b">
        <f t="shared" si="5"/>
        <v>0</v>
      </c>
      <c r="L22" s="21" t="str">
        <f>IFERROR(__xludf.DUMMYFUNCTION("if(regexmatch(B22,""e(.*)$""),regexextract(B22,""e(.*)$""),"""")"),"-53")</f>
        <v>-53</v>
      </c>
      <c r="M22" s="45"/>
      <c r="N22" s="45">
        <f>countif(Constants!F:F,F22)</f>
        <v>1</v>
      </c>
      <c r="O22" s="21" t="str">
        <f>VLOOKUP($A22,Constants!$D:$D,1,false)</f>
        <v>atomic unit of 1st hyperpolarizability</v>
      </c>
    </row>
    <row r="23">
      <c r="A23" s="6" t="s">
        <v>635</v>
      </c>
      <c r="B23" s="6" t="s">
        <v>2258</v>
      </c>
      <c r="C23" s="6" t="s">
        <v>2259</v>
      </c>
      <c r="D23" s="6" t="s">
        <v>636</v>
      </c>
      <c r="E23" s="42">
        <f>countif(Constants!F:F,F23)</f>
        <v>1</v>
      </c>
      <c r="F23" s="21" t="str">
        <f>VLOOKUP($A23,Constants!$D:$F,3,false)</f>
        <v>AtomicUnitOf2ndHyperpolarizablity</v>
      </c>
      <c r="G23" s="43" t="str">
        <f t="shared" si="1"/>
        <v>6.2353799735e-65</v>
      </c>
      <c r="H23" s="43">
        <f t="shared" si="2"/>
        <v>0</v>
      </c>
      <c r="I23" s="43" t="str">
        <f t="shared" si="3"/>
        <v>0.0000000039e-65</v>
      </c>
      <c r="J23" s="44">
        <f t="shared" si="4"/>
        <v>0</v>
      </c>
      <c r="K23" s="43" t="b">
        <f t="shared" si="5"/>
        <v>0</v>
      </c>
      <c r="L23" s="21" t="str">
        <f>IFERROR(__xludf.DUMMYFUNCTION("if(regexmatch(B23,""e(.*)$""),regexextract(B23,""e(.*)$""),"""")"),"-65")</f>
        <v>-65</v>
      </c>
      <c r="M23" s="45"/>
      <c r="N23" s="45">
        <f>countif(Constants!F:F,F23)</f>
        <v>1</v>
      </c>
      <c r="O23" s="21" t="str">
        <f>VLOOKUP($A23,Constants!$D:$D,1,false)</f>
        <v>atomic unit of 2nd hyperpolarizability</v>
      </c>
    </row>
    <row r="24">
      <c r="A24" s="6" t="s">
        <v>642</v>
      </c>
      <c r="B24" s="6" t="s">
        <v>2260</v>
      </c>
      <c r="C24" s="6" t="s">
        <v>2261</v>
      </c>
      <c r="D24" s="6" t="s">
        <v>643</v>
      </c>
      <c r="E24" s="42">
        <f>countif(Constants!F:F,F24)</f>
        <v>1</v>
      </c>
      <c r="F24" s="21" t="str">
        <f>VLOOKUP($A24,Constants!$D:$F,3,false)</f>
        <v>AtomicUnitOfAction</v>
      </c>
      <c r="G24" s="43" t="str">
        <f t="shared" si="1"/>
        <v>1.054571817e-34</v>
      </c>
      <c r="H24" s="43">
        <f t="shared" si="2"/>
        <v>0</v>
      </c>
      <c r="I24" s="43" t="str">
        <f t="shared" si="3"/>
        <v>(exact)</v>
      </c>
      <c r="J24" s="44" t="str">
        <f t="shared" si="4"/>
        <v/>
      </c>
      <c r="K24" s="43" t="b">
        <f t="shared" si="5"/>
        <v>0</v>
      </c>
      <c r="L24" s="21" t="str">
        <f>IFERROR(__xludf.DUMMYFUNCTION("if(regexmatch(B24,""e(.*)$""),regexextract(B24,""e(.*)$""),"""")"),"-34")</f>
        <v>-34</v>
      </c>
      <c r="M24" s="45"/>
      <c r="N24" s="45">
        <f>countif(Constants!F:F,F24)</f>
        <v>1</v>
      </c>
      <c r="O24" s="21" t="str">
        <f>VLOOKUP($A24,Constants!$D:$D,1,false)</f>
        <v>atomic unit of action</v>
      </c>
    </row>
    <row r="25">
      <c r="A25" s="6" t="s">
        <v>648</v>
      </c>
      <c r="B25" s="6" t="s">
        <v>2262</v>
      </c>
      <c r="C25" s="6" t="s">
        <v>2261</v>
      </c>
      <c r="D25" s="6" t="s">
        <v>649</v>
      </c>
      <c r="E25" s="42">
        <f>countif(Constants!F:F,F25)</f>
        <v>1</v>
      </c>
      <c r="F25" s="21" t="str">
        <f>VLOOKUP($A25,Constants!$D:$F,3,false)</f>
        <v>AtomicUnitOfCharge</v>
      </c>
      <c r="G25" s="43" t="str">
        <f t="shared" si="1"/>
        <v>1.602176634e-19</v>
      </c>
      <c r="H25" s="43">
        <f t="shared" si="2"/>
        <v>0</v>
      </c>
      <c r="I25" s="43" t="str">
        <f t="shared" si="3"/>
        <v>(exact)</v>
      </c>
      <c r="J25" s="44" t="str">
        <f t="shared" si="4"/>
        <v/>
      </c>
      <c r="K25" s="43" t="b">
        <f t="shared" si="5"/>
        <v>0</v>
      </c>
      <c r="L25" s="21" t="str">
        <f>IFERROR(__xludf.DUMMYFUNCTION("if(regexmatch(B25,""e(.*)$""),regexextract(B25,""e(.*)$""),"""")"),"-19")</f>
        <v>-19</v>
      </c>
      <c r="M25" s="45"/>
      <c r="N25" s="45">
        <f>countif(Constants!F:F,F25)</f>
        <v>1</v>
      </c>
      <c r="O25" s="21" t="str">
        <f>VLOOKUP($A25,Constants!$D:$D,1,false)</f>
        <v>atomic unit of charge</v>
      </c>
    </row>
    <row r="26">
      <c r="A26" s="6" t="s">
        <v>654</v>
      </c>
      <c r="B26" s="6" t="s">
        <v>2263</v>
      </c>
      <c r="C26" s="6" t="s">
        <v>2264</v>
      </c>
      <c r="D26" s="6" t="s">
        <v>655</v>
      </c>
      <c r="E26" s="42">
        <f>countif(Constants!F:F,F26)</f>
        <v>1</v>
      </c>
      <c r="F26" s="21" t="str">
        <f>VLOOKUP($A26,Constants!$D:$F,3,false)</f>
        <v>AtomicUnitOfChargeDensity</v>
      </c>
      <c r="G26" s="43" t="str">
        <f t="shared" si="1"/>
        <v>1.08120238677e12</v>
      </c>
      <c r="H26" s="43">
        <f t="shared" si="2"/>
        <v>1081202386770</v>
      </c>
      <c r="I26" s="43" t="str">
        <f t="shared" si="3"/>
        <v>0.00000000051e12</v>
      </c>
      <c r="J26" s="44">
        <f t="shared" si="4"/>
        <v>510</v>
      </c>
      <c r="K26" s="43" t="b">
        <f t="shared" si="5"/>
        <v>0</v>
      </c>
      <c r="L26" s="21" t="str">
        <f>IFERROR(__xludf.DUMMYFUNCTION("if(regexmatch(B26,""e(.*)$""),regexextract(B26,""e(.*)$""),"""")"),"12")</f>
        <v>12</v>
      </c>
      <c r="M26" s="45"/>
      <c r="N26" s="45">
        <f>countif(Constants!F:F,F26)</f>
        <v>1</v>
      </c>
      <c r="O26" s="21" t="str">
        <f>VLOOKUP($A26,Constants!$D:$D,1,false)</f>
        <v>atomic unit of charge density</v>
      </c>
    </row>
    <row r="27">
      <c r="A27" s="6" t="s">
        <v>660</v>
      </c>
      <c r="B27" s="6" t="s">
        <v>2265</v>
      </c>
      <c r="C27" s="6" t="s">
        <v>2266</v>
      </c>
      <c r="D27" s="6" t="s">
        <v>661</v>
      </c>
      <c r="E27" s="42">
        <f>countif(Constants!F:F,F27)</f>
        <v>1</v>
      </c>
      <c r="F27" s="21" t="str">
        <f>VLOOKUP($A27,Constants!$D:$F,3,false)</f>
        <v>AtomicUnitOfCurrent</v>
      </c>
      <c r="G27" s="43" t="str">
        <f t="shared" si="1"/>
        <v>6.6236182375082e-3</v>
      </c>
      <c r="H27" s="43">
        <f t="shared" si="2"/>
        <v>0.006623618238</v>
      </c>
      <c r="I27" s="43" t="str">
        <f t="shared" si="3"/>
        <v>0.0000000000072e-3</v>
      </c>
      <c r="J27" s="44">
        <f t="shared" si="4"/>
        <v>0</v>
      </c>
      <c r="K27" s="43" t="b">
        <f t="shared" si="5"/>
        <v>0</v>
      </c>
      <c r="L27" s="21" t="str">
        <f>IFERROR(__xludf.DUMMYFUNCTION("if(regexmatch(B27,""e(.*)$""),regexextract(B27,""e(.*)$""),"""")"),"-3")</f>
        <v>-3</v>
      </c>
      <c r="M27" s="45"/>
      <c r="N27" s="45">
        <f>countif(Constants!F:F,F27)</f>
        <v>1</v>
      </c>
      <c r="O27" s="21" t="str">
        <f>VLOOKUP($A27,Constants!$D:$D,1,false)</f>
        <v>atomic unit of current</v>
      </c>
    </row>
    <row r="28">
      <c r="A28" s="6" t="s">
        <v>665</v>
      </c>
      <c r="B28" s="6" t="s">
        <v>2267</v>
      </c>
      <c r="C28" s="6" t="s">
        <v>2268</v>
      </c>
      <c r="D28" s="6" t="s">
        <v>666</v>
      </c>
      <c r="E28" s="42">
        <f>countif(Constants!F:F,F28)</f>
        <v>1</v>
      </c>
      <c r="F28" s="21" t="str">
        <f>VLOOKUP($A28,Constants!$D:$F,3,false)</f>
        <v>AtomicUnitOfElectricDipoleMoment</v>
      </c>
      <c r="G28" s="43" t="str">
        <f t="shared" si="1"/>
        <v>8.4783536198e-30</v>
      </c>
      <c r="H28" s="43">
        <f t="shared" si="2"/>
        <v>0</v>
      </c>
      <c r="I28" s="43" t="str">
        <f t="shared" si="3"/>
        <v>0.0000000013e-30</v>
      </c>
      <c r="J28" s="44">
        <f t="shared" si="4"/>
        <v>0</v>
      </c>
      <c r="K28" s="43" t="b">
        <f t="shared" si="5"/>
        <v>0</v>
      </c>
      <c r="L28" s="21" t="str">
        <f>IFERROR(__xludf.DUMMYFUNCTION("if(regexmatch(B28,""e(.*)$""),regexextract(B28,""e(.*)$""),"""")"),"-30")</f>
        <v>-30</v>
      </c>
      <c r="M28" s="45"/>
      <c r="N28" s="45">
        <f>countif(Constants!F:F,F28)</f>
        <v>1</v>
      </c>
      <c r="O28" s="21" t="str">
        <f>VLOOKUP($A28,Constants!$D:$D,1,false)</f>
        <v>atomic unit of electric dipole mom.</v>
      </c>
    </row>
    <row r="29">
      <c r="A29" s="6" t="s">
        <v>671</v>
      </c>
      <c r="B29" s="6" t="s">
        <v>2269</v>
      </c>
      <c r="C29" s="6" t="s">
        <v>2270</v>
      </c>
      <c r="D29" s="6" t="s">
        <v>672</v>
      </c>
      <c r="E29" s="42">
        <f>countif(Constants!F:F,F29)</f>
        <v>1</v>
      </c>
      <c r="F29" s="21" t="str">
        <f>VLOOKUP($A29,Constants!$D:$F,3,false)</f>
        <v>AtomicUnitOfElectricField</v>
      </c>
      <c r="G29" s="43" t="str">
        <f t="shared" si="1"/>
        <v>5.14220675112e11</v>
      </c>
      <c r="H29" s="43">
        <f t="shared" si="2"/>
        <v>514220675112</v>
      </c>
      <c r="I29" s="43" t="str">
        <f t="shared" si="3"/>
        <v>0.00000000080e11</v>
      </c>
      <c r="J29" s="44">
        <f t="shared" si="4"/>
        <v>80</v>
      </c>
      <c r="K29" s="43" t="b">
        <f t="shared" si="5"/>
        <v>0</v>
      </c>
      <c r="L29" s="21" t="str">
        <f>IFERROR(__xludf.DUMMYFUNCTION("if(regexmatch(B29,""e(.*)$""),regexextract(B29,""e(.*)$""),"""")"),"11")</f>
        <v>11</v>
      </c>
      <c r="M29" s="45"/>
      <c r="N29" s="45">
        <f>countif(Constants!F:F,F29)</f>
        <v>1</v>
      </c>
      <c r="O29" s="21" t="str">
        <f>VLOOKUP($A29,Constants!$D:$D,1,false)</f>
        <v>atomic unit of electric field</v>
      </c>
    </row>
    <row r="30">
      <c r="A30" s="6" t="s">
        <v>677</v>
      </c>
      <c r="B30" s="6" t="s">
        <v>2271</v>
      </c>
      <c r="C30" s="6" t="s">
        <v>2272</v>
      </c>
      <c r="D30" s="6" t="s">
        <v>678</v>
      </c>
      <c r="E30" s="42">
        <f>countif(Constants!F:F,F30)</f>
        <v>1</v>
      </c>
      <c r="F30" s="21" t="str">
        <f>VLOOKUP($A30,Constants!$D:$F,3,false)</f>
        <v>AtomicUnitOfElectricFieldGradient</v>
      </c>
      <c r="G30" s="43" t="str">
        <f t="shared" si="1"/>
        <v>9.7173624424e21</v>
      </c>
      <c r="H30" s="43">
        <f t="shared" si="2"/>
        <v>9.71736E+21</v>
      </c>
      <c r="I30" s="43" t="str">
        <f t="shared" si="3"/>
        <v>0.0000000030e21</v>
      </c>
      <c r="J30" s="44">
        <f t="shared" si="4"/>
        <v>3000000000000</v>
      </c>
      <c r="K30" s="43" t="b">
        <f t="shared" si="5"/>
        <v>0</v>
      </c>
      <c r="L30" s="21" t="str">
        <f>IFERROR(__xludf.DUMMYFUNCTION("if(regexmatch(B30,""e(.*)$""),regexextract(B30,""e(.*)$""),"""")"),"21")</f>
        <v>21</v>
      </c>
      <c r="M30" s="45"/>
      <c r="N30" s="45">
        <f>countif(Constants!F:F,F30)</f>
        <v>1</v>
      </c>
      <c r="O30" s="21" t="str">
        <f>VLOOKUP($A30,Constants!$D:$D,1,false)</f>
        <v>atomic unit of electric field gradient</v>
      </c>
    </row>
    <row r="31">
      <c r="A31" s="6" t="s">
        <v>683</v>
      </c>
      <c r="B31" s="6" t="s">
        <v>2273</v>
      </c>
      <c r="C31" s="6" t="s">
        <v>2274</v>
      </c>
      <c r="D31" s="6" t="s">
        <v>684</v>
      </c>
      <c r="E31" s="42">
        <f>countif(Constants!F:F,F31)</f>
        <v>1</v>
      </c>
      <c r="F31" s="21" t="str">
        <f>VLOOKUP($A31,Constants!$D:$F,3,false)</f>
        <v>AtomicUnitOfElectricPolarizablity</v>
      </c>
      <c r="G31" s="43" t="str">
        <f t="shared" si="1"/>
        <v>1.64877727212e-41</v>
      </c>
      <c r="H31" s="43">
        <f t="shared" si="2"/>
        <v>0</v>
      </c>
      <c r="I31" s="43" t="str">
        <f t="shared" si="3"/>
        <v>0.00000000051e-41</v>
      </c>
      <c r="J31" s="44">
        <f t="shared" si="4"/>
        <v>0</v>
      </c>
      <c r="K31" s="43" t="b">
        <f t="shared" si="5"/>
        <v>0</v>
      </c>
      <c r="L31" s="21" t="str">
        <f>IFERROR(__xludf.DUMMYFUNCTION("if(regexmatch(B31,""e(.*)$""),regexextract(B31,""e(.*)$""),"""")"),"-41")</f>
        <v>-41</v>
      </c>
      <c r="M31" s="45"/>
      <c r="N31" s="45">
        <f>countif(Constants!F:F,F31)</f>
        <v>1</v>
      </c>
      <c r="O31" s="21" t="str">
        <f>VLOOKUP($A31,Constants!$D:$D,1,false)</f>
        <v>atomic unit of electric polarizability</v>
      </c>
    </row>
    <row r="32">
      <c r="A32" s="6" t="s">
        <v>689</v>
      </c>
      <c r="B32" s="6" t="s">
        <v>2275</v>
      </c>
      <c r="C32" s="6" t="s">
        <v>2276</v>
      </c>
      <c r="D32" s="6" t="s">
        <v>237</v>
      </c>
      <c r="E32" s="42">
        <f>countif(Constants!F:F,F32)</f>
        <v>1</v>
      </c>
      <c r="F32" s="21" t="str">
        <f>VLOOKUP($A32,Constants!$D:$F,3,false)</f>
        <v>AtomicUnitOfElectricPotential</v>
      </c>
      <c r="G32" s="43" t="str">
        <f t="shared" si="1"/>
        <v>27.211386245981</v>
      </c>
      <c r="H32" s="43">
        <f t="shared" si="2"/>
        <v>27.21138625</v>
      </c>
      <c r="I32" s="43" t="str">
        <f t="shared" si="3"/>
        <v>0.000000000030</v>
      </c>
      <c r="J32" s="44">
        <f t="shared" si="4"/>
        <v>0</v>
      </c>
      <c r="K32" s="43" t="b">
        <f t="shared" si="5"/>
        <v>0</v>
      </c>
      <c r="L32" s="21" t="str">
        <f>IFERROR(__xludf.DUMMYFUNCTION("if(regexmatch(B32,""e(.*)$""),regexextract(B32,""e(.*)$""),"""")"),"")</f>
        <v/>
      </c>
      <c r="M32" s="45"/>
      <c r="N32" s="45">
        <f>countif(Constants!F:F,F32)</f>
        <v>1</v>
      </c>
      <c r="O32" s="21" t="str">
        <f>VLOOKUP($A32,Constants!$D:$D,1,false)</f>
        <v>atomic unit of electric potential</v>
      </c>
    </row>
    <row r="33">
      <c r="A33" s="6" t="s">
        <v>693</v>
      </c>
      <c r="B33" s="6" t="s">
        <v>2277</v>
      </c>
      <c r="C33" s="6" t="s">
        <v>2278</v>
      </c>
      <c r="D33" s="6" t="s">
        <v>694</v>
      </c>
      <c r="E33" s="42">
        <f>countif(Constants!F:F,F33)</f>
        <v>1</v>
      </c>
      <c r="F33" s="21" t="str">
        <f>VLOOKUP($A33,Constants!$D:$F,3,false)</f>
        <v>AtomicUnitOfElectricQuadrupoleMoment</v>
      </c>
      <c r="G33" s="43" t="str">
        <f t="shared" si="1"/>
        <v>4.4865515185e-40</v>
      </c>
      <c r="H33" s="43">
        <f t="shared" si="2"/>
        <v>0</v>
      </c>
      <c r="I33" s="43" t="str">
        <f t="shared" si="3"/>
        <v>0.0000000014e-40</v>
      </c>
      <c r="J33" s="44">
        <f t="shared" si="4"/>
        <v>0</v>
      </c>
      <c r="K33" s="43" t="b">
        <f t="shared" si="5"/>
        <v>0</v>
      </c>
      <c r="L33" s="21" t="str">
        <f>IFERROR(__xludf.DUMMYFUNCTION("if(regexmatch(B33,""e(.*)$""),regexextract(B33,""e(.*)$""),"""")"),"-40")</f>
        <v>-40</v>
      </c>
      <c r="M33" s="45"/>
      <c r="N33" s="45">
        <f>countif(Constants!F:F,F33)</f>
        <v>1</v>
      </c>
      <c r="O33" s="21" t="str">
        <f>VLOOKUP($A33,Constants!$D:$D,1,false)</f>
        <v>atomic unit of electric quadrupole mom.</v>
      </c>
    </row>
    <row r="34">
      <c r="A34" s="6" t="s">
        <v>700</v>
      </c>
      <c r="B34" s="6" t="s">
        <v>2279</v>
      </c>
      <c r="C34" s="6" t="s">
        <v>2280</v>
      </c>
      <c r="D34" s="6" t="s">
        <v>543</v>
      </c>
      <c r="E34" s="42">
        <f>countif(Constants!F:F,F34)</f>
        <v>1</v>
      </c>
      <c r="F34" s="21" t="str">
        <f>VLOOKUP($A34,Constants!$D:$F,3,false)</f>
        <v>AtomicUnitOfEnergy</v>
      </c>
      <c r="G34" s="43" t="str">
        <f t="shared" si="1"/>
        <v>4.3597447222060e-18</v>
      </c>
      <c r="H34" s="43">
        <f t="shared" si="2"/>
        <v>0</v>
      </c>
      <c r="I34" s="43" t="str">
        <f t="shared" si="3"/>
        <v>0.0000000000048e-18</v>
      </c>
      <c r="J34" s="44">
        <f t="shared" si="4"/>
        <v>0</v>
      </c>
      <c r="K34" s="43" t="b">
        <f t="shared" si="5"/>
        <v>0</v>
      </c>
      <c r="L34" s="21" t="str">
        <f>IFERROR(__xludf.DUMMYFUNCTION("if(regexmatch(B34,""e(.*)$""),regexextract(B34,""e(.*)$""),"""")"),"-18")</f>
        <v>-18</v>
      </c>
      <c r="M34" s="45"/>
      <c r="N34" s="45">
        <f>countif(Constants!F:F,F34)</f>
        <v>1</v>
      </c>
      <c r="O34" s="21" t="str">
        <f>VLOOKUP($A34,Constants!$D:$D,1,false)</f>
        <v>atomic unit of energy</v>
      </c>
    </row>
    <row r="35">
      <c r="A35" s="6" t="s">
        <v>704</v>
      </c>
      <c r="B35" s="6" t="s">
        <v>2281</v>
      </c>
      <c r="C35" s="6" t="s">
        <v>2282</v>
      </c>
      <c r="D35" s="6" t="s">
        <v>705</v>
      </c>
      <c r="E35" s="42">
        <f>countif(Constants!F:F,F35)</f>
        <v>1</v>
      </c>
      <c r="F35" s="21" t="str">
        <f>VLOOKUP($A35,Constants!$D:$F,3,false)</f>
        <v>AtomicUnitOfForce</v>
      </c>
      <c r="G35" s="43" t="str">
        <f t="shared" si="1"/>
        <v>8.2387235038e-8</v>
      </c>
      <c r="H35" s="43">
        <f t="shared" si="2"/>
        <v>0.00000008238723504</v>
      </c>
      <c r="I35" s="43" t="str">
        <f t="shared" si="3"/>
        <v>0.0000000013e-8</v>
      </c>
      <c r="J35" s="44">
        <f t="shared" si="4"/>
        <v>0</v>
      </c>
      <c r="K35" s="43" t="b">
        <f t="shared" si="5"/>
        <v>0</v>
      </c>
      <c r="L35" s="21" t="str">
        <f>IFERROR(__xludf.DUMMYFUNCTION("if(regexmatch(B35,""e(.*)$""),regexextract(B35,""e(.*)$""),"""")"),"-8")</f>
        <v>-8</v>
      </c>
      <c r="M35" s="45"/>
      <c r="N35" s="45">
        <f>countif(Constants!F:F,F35)</f>
        <v>1</v>
      </c>
      <c r="O35" s="21" t="str">
        <f>VLOOKUP($A35,Constants!$D:$D,1,false)</f>
        <v>atomic unit of force</v>
      </c>
    </row>
    <row r="36">
      <c r="A36" s="6" t="s">
        <v>709</v>
      </c>
      <c r="B36" s="6" t="s">
        <v>2283</v>
      </c>
      <c r="C36" s="6" t="s">
        <v>2284</v>
      </c>
      <c r="D36" s="6" t="s">
        <v>571</v>
      </c>
      <c r="E36" s="42">
        <f>countif(Constants!F:F,F36)</f>
        <v>1</v>
      </c>
      <c r="F36" s="21" t="str">
        <f>VLOOKUP($A36,Constants!$D:$F,3,false)</f>
        <v>AtomicUnitOfLength</v>
      </c>
      <c r="G36" s="43" t="str">
        <f t="shared" si="1"/>
        <v>5.29177210544e-11</v>
      </c>
      <c r="H36" s="43">
        <f t="shared" si="2"/>
        <v>0</v>
      </c>
      <c r="I36" s="43" t="str">
        <f t="shared" si="3"/>
        <v>0.00000000082e-11</v>
      </c>
      <c r="J36" s="44">
        <f t="shared" si="4"/>
        <v>0</v>
      </c>
      <c r="K36" s="43" t="b">
        <f t="shared" si="5"/>
        <v>0</v>
      </c>
      <c r="L36" s="21" t="str">
        <f>IFERROR(__xludf.DUMMYFUNCTION("if(regexmatch(B36,""e(.*)$""),regexextract(B36,""e(.*)$""),"""")"),"-11")</f>
        <v>-11</v>
      </c>
      <c r="M36" s="45"/>
      <c r="N36" s="45">
        <f>countif(Constants!F:F,F36)</f>
        <v>1</v>
      </c>
      <c r="O36" s="21" t="str">
        <f>VLOOKUP($A36,Constants!$D:$D,1,false)</f>
        <v>atomic unit of length</v>
      </c>
    </row>
    <row r="37">
      <c r="A37" s="6" t="s">
        <v>713</v>
      </c>
      <c r="B37" s="6" t="s">
        <v>2285</v>
      </c>
      <c r="C37" s="6" t="s">
        <v>2286</v>
      </c>
      <c r="D37" s="6" t="s">
        <v>714</v>
      </c>
      <c r="E37" s="42">
        <f>countif(Constants!F:F,F37)</f>
        <v>1</v>
      </c>
      <c r="F37" s="21" t="str">
        <f>VLOOKUP($A37,Constants!$D:$F,3,false)</f>
        <v>AtomicUnitOfMagneticDipoleMoment</v>
      </c>
      <c r="G37" s="43" t="str">
        <f t="shared" si="1"/>
        <v>1.85480201315e-23</v>
      </c>
      <c r="H37" s="43">
        <f t="shared" si="2"/>
        <v>0</v>
      </c>
      <c r="I37" s="43" t="str">
        <f t="shared" si="3"/>
        <v>0.00000000058e-23</v>
      </c>
      <c r="J37" s="44">
        <f t="shared" si="4"/>
        <v>0</v>
      </c>
      <c r="K37" s="43" t="b">
        <f t="shared" si="5"/>
        <v>0</v>
      </c>
      <c r="L37" s="21" t="str">
        <f>IFERROR(__xludf.DUMMYFUNCTION("if(regexmatch(B37,""e(.*)$""),regexextract(B37,""e(.*)$""),"""")"),"-23")</f>
        <v>-23</v>
      </c>
      <c r="M37" s="45"/>
      <c r="N37" s="45">
        <f>countif(Constants!F:F,F37)</f>
        <v>1</v>
      </c>
      <c r="O37" s="21" t="str">
        <f>VLOOKUP($A37,Constants!$D:$D,1,false)</f>
        <v>atomic unit of mag. dipole mom.</v>
      </c>
    </row>
    <row r="38">
      <c r="A38" s="6" t="s">
        <v>720</v>
      </c>
      <c r="B38" s="6" t="s">
        <v>2287</v>
      </c>
      <c r="C38" s="6" t="s">
        <v>2288</v>
      </c>
      <c r="D38" s="6" t="s">
        <v>721</v>
      </c>
      <c r="E38" s="42">
        <f>countif(Constants!F:F,F38)</f>
        <v>1</v>
      </c>
      <c r="F38" s="21" t="str">
        <f>VLOOKUP($A38,Constants!$D:$F,3,false)</f>
        <v>AtomicUnitOfMagneticFluxDensity</v>
      </c>
      <c r="G38" s="43" t="str">
        <f t="shared" si="1"/>
        <v>2.35051757077e5</v>
      </c>
      <c r="H38" s="43">
        <f t="shared" si="2"/>
        <v>235051.7571</v>
      </c>
      <c r="I38" s="43" t="str">
        <f t="shared" si="3"/>
        <v>0.00000000073e5</v>
      </c>
      <c r="J38" s="44">
        <f t="shared" si="4"/>
        <v>0.000073</v>
      </c>
      <c r="K38" s="43" t="b">
        <f t="shared" si="5"/>
        <v>0</v>
      </c>
      <c r="L38" s="21" t="str">
        <f>IFERROR(__xludf.DUMMYFUNCTION("if(regexmatch(B38,""e(.*)$""),regexextract(B38,""e(.*)$""),"""")"),"5")</f>
        <v>5</v>
      </c>
      <c r="M38" s="45"/>
      <c r="N38" s="45">
        <f>countif(Constants!F:F,F38)</f>
        <v>1</v>
      </c>
      <c r="O38" s="21" t="str">
        <f>VLOOKUP($A38,Constants!$D:$D,1,false)</f>
        <v>atomic unit of mag. flux density</v>
      </c>
    </row>
    <row r="39">
      <c r="A39" s="6" t="s">
        <v>725</v>
      </c>
      <c r="B39" s="6" t="s">
        <v>2289</v>
      </c>
      <c r="C39" s="6" t="s">
        <v>2290</v>
      </c>
      <c r="D39" s="6" t="s">
        <v>726</v>
      </c>
      <c r="E39" s="42">
        <f>countif(Constants!F:F,F39)</f>
        <v>1</v>
      </c>
      <c r="F39" s="21" t="str">
        <f>VLOOKUP($A39,Constants!$D:$F,3,false)</f>
        <v>AtomicUnitOfMagnetizability</v>
      </c>
      <c r="G39" s="43" t="str">
        <f t="shared" si="1"/>
        <v>7.8910365794e-29</v>
      </c>
      <c r="H39" s="43">
        <f t="shared" si="2"/>
        <v>0</v>
      </c>
      <c r="I39" s="43" t="str">
        <f t="shared" si="3"/>
        <v>0.0000000049e-29</v>
      </c>
      <c r="J39" s="44">
        <f t="shared" si="4"/>
        <v>0</v>
      </c>
      <c r="K39" s="43" t="b">
        <f t="shared" si="5"/>
        <v>0</v>
      </c>
      <c r="L39" s="21" t="str">
        <f>IFERROR(__xludf.DUMMYFUNCTION("if(regexmatch(B39,""e(.*)$""),regexextract(B39,""e(.*)$""),"""")"),"-29")</f>
        <v>-29</v>
      </c>
      <c r="M39" s="45"/>
      <c r="N39" s="45">
        <f>countif(Constants!F:F,F39)</f>
        <v>1</v>
      </c>
      <c r="O39" s="21" t="str">
        <f>VLOOKUP($A39,Constants!$D:$D,1,false)</f>
        <v>atomic unit of magnetizability</v>
      </c>
    </row>
    <row r="40">
      <c r="A40" s="6" t="s">
        <v>731</v>
      </c>
      <c r="B40" s="6" t="s">
        <v>2291</v>
      </c>
      <c r="C40" s="6" t="s">
        <v>2292</v>
      </c>
      <c r="D40" s="6" t="s">
        <v>538</v>
      </c>
      <c r="E40" s="42">
        <f>countif(Constants!F:F,F40)</f>
        <v>1</v>
      </c>
      <c r="F40" s="21" t="str">
        <f>VLOOKUP($A40,Constants!$D:$F,3,false)</f>
        <v>AtomicUnitOfMass</v>
      </c>
      <c r="G40" s="43" t="str">
        <f t="shared" si="1"/>
        <v>9.1093837139e-31</v>
      </c>
      <c r="H40" s="43">
        <f t="shared" si="2"/>
        <v>0</v>
      </c>
      <c r="I40" s="43" t="str">
        <f t="shared" si="3"/>
        <v>0.0000000028e-31</v>
      </c>
      <c r="J40" s="44">
        <f t="shared" si="4"/>
        <v>0</v>
      </c>
      <c r="K40" s="43" t="b">
        <f t="shared" si="5"/>
        <v>0</v>
      </c>
      <c r="L40" s="21" t="str">
        <f>IFERROR(__xludf.DUMMYFUNCTION("if(regexmatch(B40,""e(.*)$""),regexextract(B40,""e(.*)$""),"""")"),"-31")</f>
        <v>-31</v>
      </c>
      <c r="M40" s="45"/>
      <c r="N40" s="45">
        <f>countif(Constants!F:F,F40)</f>
        <v>1</v>
      </c>
      <c r="O40" s="21" t="str">
        <f>VLOOKUP($A40,Constants!$D:$D,1,false)</f>
        <v>atomic unit of mass</v>
      </c>
    </row>
    <row r="41">
      <c r="A41" s="6" t="s">
        <v>735</v>
      </c>
      <c r="B41" s="6" t="s">
        <v>2293</v>
      </c>
      <c r="C41" s="6" t="s">
        <v>2294</v>
      </c>
      <c r="D41" s="6" t="s">
        <v>736</v>
      </c>
      <c r="E41" s="42">
        <f>countif(Constants!F:F,F41)</f>
        <v>1</v>
      </c>
      <c r="F41" s="21" t="str">
        <f>VLOOKUP($A41,Constants!$D:$F,3,false)</f>
        <v>AtomicUnitOfMomentum</v>
      </c>
      <c r="G41" s="43" t="str">
        <f t="shared" si="1"/>
        <v>1.99285191545e-24</v>
      </c>
      <c r="H41" s="43">
        <f t="shared" si="2"/>
        <v>0</v>
      </c>
      <c r="I41" s="43" t="str">
        <f t="shared" si="3"/>
        <v>0.00000000031e-24</v>
      </c>
      <c r="J41" s="44">
        <f t="shared" si="4"/>
        <v>0</v>
      </c>
      <c r="K41" s="43" t="b">
        <f t="shared" si="5"/>
        <v>0</v>
      </c>
      <c r="L41" s="21" t="str">
        <f>IFERROR(__xludf.DUMMYFUNCTION("if(regexmatch(B41,""e(.*)$""),regexextract(B41,""e(.*)$""),"""")"),"-24")</f>
        <v>-24</v>
      </c>
      <c r="M41" s="45"/>
      <c r="N41" s="45">
        <f>countif(Constants!F:F,F41)</f>
        <v>1</v>
      </c>
      <c r="O41" s="21" t="str">
        <f>VLOOKUP($A41,Constants!$D:$D,1,false)</f>
        <v>atomic unit of momentum</v>
      </c>
    </row>
    <row r="42">
      <c r="A42" s="6" t="s">
        <v>742</v>
      </c>
      <c r="B42" s="6" t="s">
        <v>2295</v>
      </c>
      <c r="C42" s="6" t="s">
        <v>2296</v>
      </c>
      <c r="D42" s="6" t="s">
        <v>743</v>
      </c>
      <c r="E42" s="42">
        <f>countif(Constants!F:F,F42)</f>
        <v>1</v>
      </c>
      <c r="F42" s="21" t="str">
        <f>VLOOKUP($A42,Constants!$D:$F,3,false)</f>
        <v>AtomicUnitOfPermittivity</v>
      </c>
      <c r="G42" s="43" t="str">
        <f t="shared" si="1"/>
        <v>1.11265005620e-10</v>
      </c>
      <c r="H42" s="43">
        <f t="shared" si="2"/>
        <v>0.0000000001112650056</v>
      </c>
      <c r="I42" s="43" t="str">
        <f t="shared" si="3"/>
        <v>0.00000000017e-10</v>
      </c>
      <c r="J42" s="44">
        <f t="shared" si="4"/>
        <v>0</v>
      </c>
      <c r="K42" s="43" t="b">
        <f t="shared" si="5"/>
        <v>0</v>
      </c>
      <c r="L42" s="21" t="str">
        <f>IFERROR(__xludf.DUMMYFUNCTION("if(regexmatch(B42,""e(.*)$""),regexextract(B42,""e(.*)$""),"""")"),"-10")</f>
        <v>-10</v>
      </c>
      <c r="M42" s="45"/>
      <c r="N42" s="45">
        <f>countif(Constants!F:F,F42)</f>
        <v>1</v>
      </c>
      <c r="O42" s="21" t="str">
        <f>VLOOKUP($A42,Constants!$D:$D,1,false)</f>
        <v>atomic unit of permittivity</v>
      </c>
    </row>
    <row r="43">
      <c r="A43" s="6" t="s">
        <v>748</v>
      </c>
      <c r="B43" s="6" t="s">
        <v>2297</v>
      </c>
      <c r="C43" s="6" t="s">
        <v>2298</v>
      </c>
      <c r="D43" s="6" t="s">
        <v>749</v>
      </c>
      <c r="E43" s="42">
        <f>countif(Constants!F:F,F43)</f>
        <v>1</v>
      </c>
      <c r="F43" s="21" t="str">
        <f>VLOOKUP($A43,Constants!$D:$F,3,false)</f>
        <v>AtomicUnitOfTime</v>
      </c>
      <c r="G43" s="43" t="str">
        <f t="shared" si="1"/>
        <v>2.4188843265864e-17</v>
      </c>
      <c r="H43" s="43">
        <f t="shared" si="2"/>
        <v>0</v>
      </c>
      <c r="I43" s="43" t="str">
        <f t="shared" si="3"/>
        <v>0.0000000000026e-17</v>
      </c>
      <c r="J43" s="44">
        <f t="shared" si="4"/>
        <v>0</v>
      </c>
      <c r="K43" s="43" t="b">
        <f t="shared" si="5"/>
        <v>0</v>
      </c>
      <c r="L43" s="21" t="str">
        <f>IFERROR(__xludf.DUMMYFUNCTION("if(regexmatch(B43,""e(.*)$""),regexextract(B43,""e(.*)$""),"""")"),"-17")</f>
        <v>-17</v>
      </c>
      <c r="M43" s="45"/>
      <c r="N43" s="45">
        <f>countif(Constants!F:F,F43)</f>
        <v>1</v>
      </c>
      <c r="O43" s="21" t="str">
        <f>VLOOKUP($A43,Constants!$D:$D,1,false)</f>
        <v>atomic unit of time</v>
      </c>
    </row>
    <row r="44">
      <c r="A44" s="6" t="s">
        <v>753</v>
      </c>
      <c r="B44" s="6" t="s">
        <v>2299</v>
      </c>
      <c r="C44" s="6" t="s">
        <v>2300</v>
      </c>
      <c r="D44" s="6" t="s">
        <v>754</v>
      </c>
      <c r="E44" s="42">
        <f>countif(Constants!F:F,F44)</f>
        <v>1</v>
      </c>
      <c r="F44" s="21" t="str">
        <f>VLOOKUP($A44,Constants!$D:$F,3,false)</f>
        <v>AtomicUnitOfVelocity</v>
      </c>
      <c r="G44" s="43" t="str">
        <f t="shared" si="1"/>
        <v>2.18769126216e6</v>
      </c>
      <c r="H44" s="43">
        <f t="shared" si="2"/>
        <v>2187691.262</v>
      </c>
      <c r="I44" s="43" t="str">
        <f t="shared" si="3"/>
        <v>0.00000000034e6</v>
      </c>
      <c r="J44" s="44">
        <f t="shared" si="4"/>
        <v>0.00034</v>
      </c>
      <c r="K44" s="43" t="b">
        <f t="shared" si="5"/>
        <v>0</v>
      </c>
      <c r="L44" s="21" t="str">
        <f>IFERROR(__xludf.DUMMYFUNCTION("if(regexmatch(B44,""e(.*)$""),regexextract(B44,""e(.*)$""),"""")"),"6")</f>
        <v>6</v>
      </c>
      <c r="M44" s="45"/>
      <c r="N44" s="45">
        <f>countif(Constants!F:F,F44)</f>
        <v>1</v>
      </c>
      <c r="O44" s="21" t="str">
        <f>VLOOKUP($A44,Constants!$D:$D,1,false)</f>
        <v>atomic unit of velocity</v>
      </c>
    </row>
    <row r="45">
      <c r="A45" s="6" t="s">
        <v>145</v>
      </c>
      <c r="B45" s="6" t="s">
        <v>2301</v>
      </c>
      <c r="C45" s="6" t="s">
        <v>2261</v>
      </c>
      <c r="D45" s="6" t="s">
        <v>759</v>
      </c>
      <c r="E45" s="42">
        <f>countif(Constants!F:F,F45)</f>
        <v>1</v>
      </c>
      <c r="F45" s="21" t="str">
        <f>VLOOKUP($A45,Constants!$D:$F,3,false)</f>
        <v>AvogadroConstant</v>
      </c>
      <c r="G45" s="43" t="str">
        <f t="shared" si="1"/>
        <v>6.02214076e23</v>
      </c>
      <c r="H45" s="43">
        <f t="shared" si="2"/>
        <v>6.02214E+23</v>
      </c>
      <c r="I45" s="43" t="str">
        <f t="shared" si="3"/>
        <v>(exact)</v>
      </c>
      <c r="J45" s="44" t="str">
        <f t="shared" si="4"/>
        <v/>
      </c>
      <c r="K45" s="43" t="b">
        <f t="shared" si="5"/>
        <v>0</v>
      </c>
      <c r="L45" s="21" t="str">
        <f>IFERROR(__xludf.DUMMYFUNCTION("if(regexmatch(B45,""e(.*)$""),regexextract(B45,""e(.*)$""),"""")"),"23")</f>
        <v>23</v>
      </c>
      <c r="M45" s="45"/>
      <c r="N45" s="45">
        <f>countif(Constants!F:F,F45)</f>
        <v>1</v>
      </c>
      <c r="O45" s="21" t="str">
        <f>VLOOKUP($A45,Constants!$D:$D,1,false)</f>
        <v>Avogadro constant</v>
      </c>
    </row>
    <row r="46">
      <c r="A46" s="6" t="s">
        <v>764</v>
      </c>
      <c r="B46" s="6" t="s">
        <v>2302</v>
      </c>
      <c r="C46" s="6" t="s">
        <v>2303</v>
      </c>
      <c r="D46" s="6" t="s">
        <v>714</v>
      </c>
      <c r="E46" s="42">
        <f>countif(Constants!F:F,F46)</f>
        <v>1</v>
      </c>
      <c r="F46" s="21" t="str">
        <f>VLOOKUP($A46,Constants!$D:$F,3,false)</f>
        <v>BohrMagneton</v>
      </c>
      <c r="G46" s="43" t="str">
        <f t="shared" si="1"/>
        <v>9.2740100657e-24</v>
      </c>
      <c r="H46" s="43">
        <f t="shared" si="2"/>
        <v>0</v>
      </c>
      <c r="I46" s="43" t="str">
        <f t="shared" si="3"/>
        <v>0.0000000029e-24</v>
      </c>
      <c r="J46" s="44">
        <f t="shared" si="4"/>
        <v>0</v>
      </c>
      <c r="K46" s="43" t="b">
        <f t="shared" si="5"/>
        <v>0</v>
      </c>
      <c r="L46" s="21" t="str">
        <f>IFERROR(__xludf.DUMMYFUNCTION("if(regexmatch(B46,""e(.*)$""),regexextract(B46,""e(.*)$""),"""")"),"-24")</f>
        <v>-24</v>
      </c>
      <c r="M46" s="45"/>
      <c r="N46" s="45">
        <f>countif(Constants!F:F,F46)</f>
        <v>1</v>
      </c>
      <c r="O46" s="21" t="str">
        <f>VLOOKUP($A46,Constants!$D:$D,1,false)</f>
        <v>Bohr magneton</v>
      </c>
    </row>
    <row r="47">
      <c r="A47" s="6" t="s">
        <v>768</v>
      </c>
      <c r="B47" s="6" t="s">
        <v>2304</v>
      </c>
      <c r="C47" s="6" t="s">
        <v>2305</v>
      </c>
      <c r="D47" s="6" t="s">
        <v>769</v>
      </c>
      <c r="E47" s="42">
        <f>countif(Constants!F:F,F47)</f>
        <v>1</v>
      </c>
      <c r="F47" s="21" t="str">
        <f>VLOOKUP($A47,Constants!$D:$F,3,false)</f>
        <v>BohrMagnetonInEVPerT</v>
      </c>
      <c r="G47" s="43" t="str">
        <f t="shared" si="1"/>
        <v>5.7883817982e-5</v>
      </c>
      <c r="H47" s="43">
        <f t="shared" si="2"/>
        <v>0.00005788381798</v>
      </c>
      <c r="I47" s="43" t="str">
        <f t="shared" si="3"/>
        <v>0.0000000018e-5</v>
      </c>
      <c r="J47" s="44">
        <f t="shared" si="4"/>
        <v>0</v>
      </c>
      <c r="K47" s="43" t="b">
        <f t="shared" si="5"/>
        <v>0</v>
      </c>
      <c r="L47" s="21" t="str">
        <f>IFERROR(__xludf.DUMMYFUNCTION("if(regexmatch(B47,""e(.*)$""),regexextract(B47,""e(.*)$""),"""")"),"-5")</f>
        <v>-5</v>
      </c>
      <c r="M47" s="45"/>
      <c r="N47" s="45">
        <f>countif(Constants!F:F,F47)</f>
        <v>1</v>
      </c>
      <c r="O47" s="21" t="str">
        <f>VLOOKUP($A47,Constants!$D:$D,1,false)</f>
        <v>Bohr magneton in eV/T</v>
      </c>
    </row>
    <row r="48">
      <c r="A48" s="6" t="s">
        <v>773</v>
      </c>
      <c r="B48" s="6" t="s">
        <v>2306</v>
      </c>
      <c r="C48" s="6" t="s">
        <v>2307</v>
      </c>
      <c r="D48" s="6" t="s">
        <v>774</v>
      </c>
      <c r="E48" s="42">
        <f>countif(Constants!F:F,F48)</f>
        <v>1</v>
      </c>
      <c r="F48" s="21" t="str">
        <f>VLOOKUP($A48,Constants!$D:$F,3,false)</f>
        <v>BohrMagnetonInHzPerT</v>
      </c>
      <c r="G48" s="43" t="str">
        <f t="shared" si="1"/>
        <v>1.39962449171e10</v>
      </c>
      <c r="H48" s="43">
        <f t="shared" si="2"/>
        <v>13996244917</v>
      </c>
      <c r="I48" s="43" t="str">
        <f t="shared" si="3"/>
        <v>0.00000000044e10</v>
      </c>
      <c r="J48" s="44">
        <f t="shared" si="4"/>
        <v>4.4</v>
      </c>
      <c r="K48" s="43" t="b">
        <f t="shared" si="5"/>
        <v>0</v>
      </c>
      <c r="L48" s="21" t="str">
        <f>IFERROR(__xludf.DUMMYFUNCTION("if(regexmatch(B48,""e(.*)$""),regexextract(B48,""e(.*)$""),"""")"),"10")</f>
        <v>10</v>
      </c>
      <c r="M48" s="45"/>
      <c r="N48" s="45">
        <f>countif(Constants!F:F,F48)</f>
        <v>1</v>
      </c>
      <c r="O48" s="21" t="str">
        <f>VLOOKUP($A48,Constants!$D:$D,1,false)</f>
        <v>Bohr magneton in Hz/T</v>
      </c>
    </row>
    <row r="49">
      <c r="A49" s="6" t="s">
        <v>778</v>
      </c>
      <c r="B49" s="6" t="s">
        <v>2308</v>
      </c>
      <c r="C49" s="6" t="s">
        <v>2309</v>
      </c>
      <c r="D49" s="6" t="s">
        <v>779</v>
      </c>
      <c r="E49" s="42">
        <f>countif(Constants!F:F,F49)</f>
        <v>1</v>
      </c>
      <c r="F49" s="21" t="str">
        <f>VLOOKUP($A49,Constants!$D:$F,3,false)</f>
        <v>BohrMagnetonInInverseMetersPerTesla</v>
      </c>
      <c r="G49" s="43" t="str">
        <f t="shared" si="1"/>
        <v>46.686447719</v>
      </c>
      <c r="H49" s="43">
        <f t="shared" si="2"/>
        <v>46.68644772</v>
      </c>
      <c r="I49" s="43" t="str">
        <f t="shared" si="3"/>
        <v>0.000000015</v>
      </c>
      <c r="J49" s="44">
        <f t="shared" si="4"/>
        <v>0.000000015</v>
      </c>
      <c r="K49" s="43" t="b">
        <f t="shared" si="5"/>
        <v>0</v>
      </c>
      <c r="L49" s="21" t="str">
        <f>IFERROR(__xludf.DUMMYFUNCTION("if(regexmatch(B49,""e(.*)$""),regexextract(B49,""e(.*)$""),"""")"),"")</f>
        <v/>
      </c>
      <c r="M49" s="45"/>
      <c r="N49" s="45">
        <f>countif(Constants!F:F,F49)</f>
        <v>1</v>
      </c>
      <c r="O49" s="21" t="str">
        <f>VLOOKUP($A49,Constants!$D:$D,1,false)</f>
        <v>Bohr magneton in inverse meter per tesla</v>
      </c>
    </row>
    <row r="50">
      <c r="A50" s="6" t="s">
        <v>783</v>
      </c>
      <c r="B50" s="6" t="s">
        <v>2310</v>
      </c>
      <c r="C50" s="6" t="s">
        <v>2311</v>
      </c>
      <c r="D50" s="6" t="s">
        <v>784</v>
      </c>
      <c r="E50" s="42">
        <f>countif(Constants!F:F,F50)</f>
        <v>1</v>
      </c>
      <c r="F50" s="21" t="str">
        <f>VLOOKUP($A50,Constants!$D:$F,3,false)</f>
        <v>BohrMagnetonInKPerT</v>
      </c>
      <c r="G50" s="43" t="str">
        <f t="shared" si="1"/>
        <v>0.67171381472</v>
      </c>
      <c r="H50" s="43">
        <f t="shared" si="2"/>
        <v>0.6717138147</v>
      </c>
      <c r="I50" s="43" t="str">
        <f t="shared" si="3"/>
        <v>0.00000000021</v>
      </c>
      <c r="J50" s="44">
        <f t="shared" si="4"/>
        <v>0.00000000021</v>
      </c>
      <c r="K50" s="43" t="b">
        <f t="shared" si="5"/>
        <v>0</v>
      </c>
      <c r="L50" s="21" t="str">
        <f>IFERROR(__xludf.DUMMYFUNCTION("if(regexmatch(B50,""e(.*)$""),regexextract(B50,""e(.*)$""),"""")"),"")</f>
        <v/>
      </c>
      <c r="M50" s="45"/>
      <c r="N50" s="45">
        <f>countif(Constants!F:F,F50)</f>
        <v>1</v>
      </c>
      <c r="O50" s="21" t="str">
        <f>VLOOKUP($A50,Constants!$D:$D,1,false)</f>
        <v>Bohr magneton in K/T</v>
      </c>
    </row>
    <row r="51">
      <c r="A51" s="6" t="s">
        <v>788</v>
      </c>
      <c r="B51" s="6" t="s">
        <v>2283</v>
      </c>
      <c r="C51" s="6" t="s">
        <v>2284</v>
      </c>
      <c r="D51" s="6" t="s">
        <v>571</v>
      </c>
      <c r="E51" s="42">
        <f>countif(Constants!F:F,F51)</f>
        <v>1</v>
      </c>
      <c r="F51" s="21" t="str">
        <f>VLOOKUP($A51,Constants!$D:$F,3,false)</f>
        <v>BohrRadius</v>
      </c>
      <c r="G51" s="43" t="str">
        <f t="shared" si="1"/>
        <v>5.29177210544e-11</v>
      </c>
      <c r="H51" s="43">
        <f t="shared" si="2"/>
        <v>0</v>
      </c>
      <c r="I51" s="43" t="str">
        <f t="shared" si="3"/>
        <v>0.00000000082e-11</v>
      </c>
      <c r="J51" s="44">
        <f t="shared" si="4"/>
        <v>0</v>
      </c>
      <c r="K51" s="43" t="b">
        <f t="shared" si="5"/>
        <v>0</v>
      </c>
      <c r="L51" s="21" t="str">
        <f>IFERROR(__xludf.DUMMYFUNCTION("if(regexmatch(B51,""e(.*)$""),regexextract(B51,""e(.*)$""),"""")"),"-11")</f>
        <v>-11</v>
      </c>
      <c r="M51" s="45"/>
      <c r="N51" s="45">
        <f>countif(Constants!F:F,F51)</f>
        <v>1</v>
      </c>
      <c r="O51" s="21" t="str">
        <f>VLOOKUP($A51,Constants!$D:$D,1,false)</f>
        <v>Bohr radius</v>
      </c>
    </row>
    <row r="52">
      <c r="A52" s="6" t="s">
        <v>791</v>
      </c>
      <c r="B52" s="6" t="s">
        <v>2312</v>
      </c>
      <c r="C52" s="6" t="s">
        <v>2261</v>
      </c>
      <c r="D52" s="6" t="s">
        <v>792</v>
      </c>
      <c r="E52" s="42">
        <f>countif(Constants!F:F,F52)</f>
        <v>1</v>
      </c>
      <c r="F52" s="21" t="str">
        <f>VLOOKUP($A52,Constants!$D:$F,3,false)</f>
        <v>BoltzmannConstant</v>
      </c>
      <c r="G52" s="43" t="str">
        <f t="shared" si="1"/>
        <v>1.380649e-23</v>
      </c>
      <c r="H52" s="43">
        <f t="shared" si="2"/>
        <v>0</v>
      </c>
      <c r="I52" s="43" t="str">
        <f t="shared" si="3"/>
        <v>(exact)</v>
      </c>
      <c r="J52" s="44" t="str">
        <f t="shared" si="4"/>
        <v/>
      </c>
      <c r="K52" s="43" t="b">
        <f t="shared" si="5"/>
        <v>0</v>
      </c>
      <c r="L52" s="21" t="str">
        <f>IFERROR(__xludf.DUMMYFUNCTION("if(regexmatch(B52,""e(.*)$""),regexextract(B52,""e(.*)$""),"""")"),"-23")</f>
        <v>-23</v>
      </c>
      <c r="M52" s="45"/>
      <c r="N52" s="45">
        <f>countif(Constants!F:F,F52)</f>
        <v>1</v>
      </c>
      <c r="O52" s="21" t="str">
        <f>VLOOKUP($A52,Constants!$D:$D,1,false)</f>
        <v>Boltzmann constant</v>
      </c>
    </row>
    <row r="53">
      <c r="A53" s="6" t="s">
        <v>798</v>
      </c>
      <c r="B53" s="6" t="s">
        <v>2313</v>
      </c>
      <c r="C53" s="6" t="s">
        <v>2261</v>
      </c>
      <c r="D53" s="6" t="s">
        <v>799</v>
      </c>
      <c r="E53" s="42">
        <f>countif(Constants!F:F,F53)</f>
        <v>1</v>
      </c>
      <c r="F53" s="21" t="str">
        <f>VLOOKUP($A53,Constants!$D:$F,3,false)</f>
        <v>BoltzmannConstantInEVPerK</v>
      </c>
      <c r="G53" s="43" t="str">
        <f t="shared" si="1"/>
        <v>8.617333262e-5</v>
      </c>
      <c r="H53" s="43">
        <f t="shared" si="2"/>
        <v>0.00008617333262</v>
      </c>
      <c r="I53" s="43" t="str">
        <f t="shared" si="3"/>
        <v>(exact)</v>
      </c>
      <c r="J53" s="44" t="str">
        <f t="shared" si="4"/>
        <v/>
      </c>
      <c r="K53" s="43" t="b">
        <f t="shared" si="5"/>
        <v>0</v>
      </c>
      <c r="L53" s="21" t="str">
        <f>IFERROR(__xludf.DUMMYFUNCTION("if(regexmatch(B53,""e(.*)$""),regexextract(B53,""e(.*)$""),"""")"),"-5")</f>
        <v>-5</v>
      </c>
      <c r="M53" s="45"/>
      <c r="N53" s="45">
        <f>countif(Constants!F:F,F53)</f>
        <v>1</v>
      </c>
      <c r="O53" s="21" t="str">
        <f>VLOOKUP($A53,Constants!$D:$D,1,false)</f>
        <v>Boltzmann constant in eV/K</v>
      </c>
    </row>
    <row r="54">
      <c r="A54" s="6" t="s">
        <v>803</v>
      </c>
      <c r="B54" s="6" t="s">
        <v>2314</v>
      </c>
      <c r="C54" s="6" t="s">
        <v>2261</v>
      </c>
      <c r="D54" s="6" t="s">
        <v>804</v>
      </c>
      <c r="E54" s="42">
        <f>countif(Constants!F:F,F54)</f>
        <v>1</v>
      </c>
      <c r="F54" s="21" t="str">
        <f>VLOOKUP($A54,Constants!$D:$F,3,false)</f>
        <v>BoltzmannConstantInHzPerK</v>
      </c>
      <c r="G54" s="43" t="str">
        <f t="shared" si="1"/>
        <v>2.083661912e10</v>
      </c>
      <c r="H54" s="43">
        <f t="shared" si="2"/>
        <v>20836619120</v>
      </c>
      <c r="I54" s="43" t="str">
        <f t="shared" si="3"/>
        <v>(exact)</v>
      </c>
      <c r="J54" s="44" t="str">
        <f t="shared" si="4"/>
        <v/>
      </c>
      <c r="K54" s="43" t="b">
        <f t="shared" si="5"/>
        <v>0</v>
      </c>
      <c r="L54" s="21" t="str">
        <f>IFERROR(__xludf.DUMMYFUNCTION("if(regexmatch(B54,""e(.*)$""),regexextract(B54,""e(.*)$""),"""")"),"10")</f>
        <v>10</v>
      </c>
      <c r="M54" s="45"/>
      <c r="N54" s="45">
        <f>countif(Constants!F:F,F54)</f>
        <v>1</v>
      </c>
      <c r="O54" s="21" t="str">
        <f>VLOOKUP($A54,Constants!$D:$D,1,false)</f>
        <v>Boltzmann constant in Hz/K</v>
      </c>
    </row>
    <row r="55">
      <c r="A55" s="6" t="s">
        <v>808</v>
      </c>
      <c r="B55" s="6" t="s">
        <v>2315</v>
      </c>
      <c r="C55" s="6" t="s">
        <v>2261</v>
      </c>
      <c r="D55" s="6" t="s">
        <v>809</v>
      </c>
      <c r="E55" s="42">
        <f>countif(Constants!F:F,F55)</f>
        <v>1</v>
      </c>
      <c r="F55" s="21" t="str">
        <f>VLOOKUP($A55,Constants!$D:$F,3,false)</f>
        <v>BoltzmannConstantInInverseMetersPerKelvin</v>
      </c>
      <c r="G55" s="43" t="str">
        <f t="shared" si="1"/>
        <v>69.50348004</v>
      </c>
      <c r="H55" s="43">
        <f t="shared" si="2"/>
        <v>69.50348004</v>
      </c>
      <c r="I55" s="43" t="str">
        <f t="shared" si="3"/>
        <v>(exact)</v>
      </c>
      <c r="J55" s="44" t="str">
        <f t="shared" si="4"/>
        <v/>
      </c>
      <c r="K55" s="43" t="b">
        <f t="shared" si="5"/>
        <v>0</v>
      </c>
      <c r="L55" s="21" t="str">
        <f>IFERROR(__xludf.DUMMYFUNCTION("if(regexmatch(B55,""e(.*)$""),regexextract(B55,""e(.*)$""),"""")"),"")</f>
        <v/>
      </c>
      <c r="M55" s="45"/>
      <c r="N55" s="45">
        <f>countif(Constants!F:F,F55)</f>
        <v>1</v>
      </c>
      <c r="O55" s="21" t="str">
        <f>VLOOKUP($A55,Constants!$D:$D,1,false)</f>
        <v>Boltzmann constant in inverse meter per kelvin</v>
      </c>
    </row>
    <row r="56">
      <c r="A56" s="6" t="s">
        <v>813</v>
      </c>
      <c r="B56" s="6" t="s">
        <v>2316</v>
      </c>
      <c r="C56" s="6" t="s">
        <v>2317</v>
      </c>
      <c r="D56" s="6" t="s">
        <v>814</v>
      </c>
      <c r="E56" s="42">
        <f>countif(Constants!F:F,F56)</f>
        <v>1</v>
      </c>
      <c r="F56" s="21" t="str">
        <f>VLOOKUP($A56,Constants!$D:$F,3,false)</f>
        <v>CharacteristicImpedanceOfVacuum</v>
      </c>
      <c r="G56" s="43" t="str">
        <f t="shared" si="1"/>
        <v>376.730313412</v>
      </c>
      <c r="H56" s="43">
        <f t="shared" si="2"/>
        <v>376.7303134</v>
      </c>
      <c r="I56" s="43" t="str">
        <f t="shared" si="3"/>
        <v>0.000000059</v>
      </c>
      <c r="J56" s="44">
        <f t="shared" si="4"/>
        <v>0.000000059</v>
      </c>
      <c r="K56" s="43" t="b">
        <f t="shared" si="5"/>
        <v>0</v>
      </c>
      <c r="L56" s="21" t="str">
        <f>IFERROR(__xludf.DUMMYFUNCTION("if(regexmatch(B56,""e(.*)$""),regexextract(B56,""e(.*)$""),"""")"),"")</f>
        <v/>
      </c>
      <c r="M56" s="45"/>
      <c r="N56" s="45">
        <f>countif(Constants!F:F,F56)</f>
        <v>1</v>
      </c>
      <c r="O56" s="21" t="str">
        <f>VLOOKUP($A56,Constants!$D:$D,1,false)</f>
        <v>characteristic impedance of vacuum</v>
      </c>
    </row>
    <row r="57">
      <c r="A57" s="6" t="s">
        <v>819</v>
      </c>
      <c r="B57" s="6" t="s">
        <v>2318</v>
      </c>
      <c r="C57" s="6" t="s">
        <v>2319</v>
      </c>
      <c r="D57" s="6" t="s">
        <v>571</v>
      </c>
      <c r="E57" s="42">
        <f>countif(Constants!F:F,F57)</f>
        <v>1</v>
      </c>
      <c r="F57" s="21" t="str">
        <f>VLOOKUP($A57,Constants!$D:$F,3,false)</f>
        <v>ClassicalElectronRadius</v>
      </c>
      <c r="G57" s="43" t="str">
        <f t="shared" si="1"/>
        <v>2.8179403205e-15</v>
      </c>
      <c r="H57" s="43">
        <f t="shared" si="2"/>
        <v>0</v>
      </c>
      <c r="I57" s="43" t="str">
        <f t="shared" si="3"/>
        <v>0.0000000013e-15</v>
      </c>
      <c r="J57" s="44">
        <f t="shared" si="4"/>
        <v>0</v>
      </c>
      <c r="K57" s="43" t="b">
        <f t="shared" si="5"/>
        <v>0</v>
      </c>
      <c r="L57" s="21" t="str">
        <f>IFERROR(__xludf.DUMMYFUNCTION("if(regexmatch(B57,""e(.*)$""),regexextract(B57,""e(.*)$""),"""")"),"-15")</f>
        <v>-15</v>
      </c>
      <c r="M57" s="45"/>
      <c r="N57" s="45">
        <f>countif(Constants!F:F,F57)</f>
        <v>1</v>
      </c>
      <c r="O57" s="21" t="str">
        <f>VLOOKUP($A57,Constants!$D:$D,1,false)</f>
        <v>classical electron radius</v>
      </c>
    </row>
    <row r="58">
      <c r="A58" s="6" t="s">
        <v>823</v>
      </c>
      <c r="B58" s="6" t="s">
        <v>2320</v>
      </c>
      <c r="C58" s="6" t="s">
        <v>2321</v>
      </c>
      <c r="D58" s="6" t="s">
        <v>571</v>
      </c>
      <c r="E58" s="42">
        <f>countif(Constants!F:F,F58)</f>
        <v>1</v>
      </c>
      <c r="F58" s="21" t="str">
        <f>VLOOKUP($A58,Constants!$D:$F,3,false)</f>
        <v>ComptonWavelength</v>
      </c>
      <c r="G58" s="43" t="str">
        <f t="shared" si="1"/>
        <v>2.42631023538e-12</v>
      </c>
      <c r="H58" s="43">
        <f t="shared" si="2"/>
        <v>0</v>
      </c>
      <c r="I58" s="43" t="str">
        <f t="shared" si="3"/>
        <v>0.00000000076e-12</v>
      </c>
      <c r="J58" s="44">
        <f t="shared" si="4"/>
        <v>0</v>
      </c>
      <c r="K58" s="43" t="b">
        <f t="shared" si="5"/>
        <v>0</v>
      </c>
      <c r="L58" s="21" t="str">
        <f>IFERROR(__xludf.DUMMYFUNCTION("if(regexmatch(B58,""e(.*)$""),regexextract(B58,""e(.*)$""),"""")"),"-12")</f>
        <v>-12</v>
      </c>
      <c r="M58" s="45"/>
      <c r="N58" s="45">
        <f>countif(Constants!F:F,F58)</f>
        <v>1</v>
      </c>
      <c r="O58" s="21" t="str">
        <f>VLOOKUP($A58,Constants!$D:$D,1,false)</f>
        <v>Compton wavelength</v>
      </c>
    </row>
    <row r="59">
      <c r="A59" s="6" t="s">
        <v>827</v>
      </c>
      <c r="B59" s="6" t="s">
        <v>2322</v>
      </c>
      <c r="C59" s="6" t="s">
        <v>2261</v>
      </c>
      <c r="D59" s="6" t="s">
        <v>828</v>
      </c>
      <c r="E59" s="42">
        <f>countif(Constants!F:F,F59)</f>
        <v>1</v>
      </c>
      <c r="F59" s="21" t="str">
        <f>VLOOKUP($A59,Constants!$D:$F,3,false)</f>
        <v>ConductanceQuantum</v>
      </c>
      <c r="G59" s="43" t="str">
        <f t="shared" si="1"/>
        <v>7.748091729e-5</v>
      </c>
      <c r="H59" s="43">
        <f t="shared" si="2"/>
        <v>0.00007748091729</v>
      </c>
      <c r="I59" s="43" t="str">
        <f t="shared" si="3"/>
        <v>(exact)</v>
      </c>
      <c r="J59" s="44" t="str">
        <f t="shared" si="4"/>
        <v/>
      </c>
      <c r="K59" s="43" t="b">
        <f t="shared" si="5"/>
        <v>0</v>
      </c>
      <c r="L59" s="21" t="str">
        <f>IFERROR(__xludf.DUMMYFUNCTION("if(regexmatch(B59,""e(.*)$""),regexextract(B59,""e(.*)$""),"""")"),"-5")</f>
        <v>-5</v>
      </c>
      <c r="M59" s="45"/>
      <c r="N59" s="45">
        <f>countif(Constants!F:F,F59)</f>
        <v>1</v>
      </c>
      <c r="O59" s="21" t="str">
        <f>VLOOKUP($A59,Constants!$D:$D,1,false)</f>
        <v>conductance quantum</v>
      </c>
    </row>
    <row r="60">
      <c r="A60" s="6" t="s">
        <v>832</v>
      </c>
      <c r="B60" s="6" t="s">
        <v>2323</v>
      </c>
      <c r="C60" s="6" t="s">
        <v>2261</v>
      </c>
      <c r="D60" s="6" t="s">
        <v>661</v>
      </c>
      <c r="E60" s="42">
        <f>countif(Constants!F:F,F60)</f>
        <v>1</v>
      </c>
      <c r="F60" s="21" t="str">
        <f>VLOOKUP($A60,Constants!$D:$F,3,false)</f>
        <v>ConventionalValueOfAmpere-90</v>
      </c>
      <c r="G60" s="43" t="str">
        <f t="shared" si="1"/>
        <v>1.00000008887</v>
      </c>
      <c r="H60" s="43">
        <f t="shared" si="2"/>
        <v>1.000000089</v>
      </c>
      <c r="I60" s="43" t="str">
        <f t="shared" si="3"/>
        <v>(exact)</v>
      </c>
      <c r="J60" s="44" t="str">
        <f t="shared" si="4"/>
        <v/>
      </c>
      <c r="K60" s="43" t="b">
        <f t="shared" si="5"/>
        <v>0</v>
      </c>
      <c r="L60" s="21" t="str">
        <f>IFERROR(__xludf.DUMMYFUNCTION("if(regexmatch(B60,""e(.*)$""),regexextract(B60,""e(.*)$""),"""")"),"")</f>
        <v/>
      </c>
      <c r="M60" s="45"/>
      <c r="N60" s="45">
        <f>countif(Constants!F:F,F60)</f>
        <v>1</v>
      </c>
      <c r="O60" s="21" t="str">
        <f>VLOOKUP($A60,Constants!$D:$D,1,false)</f>
        <v>conventional value of ampere-90</v>
      </c>
    </row>
    <row r="61">
      <c r="A61" s="6" t="s">
        <v>835</v>
      </c>
      <c r="B61" s="6" t="s">
        <v>2323</v>
      </c>
      <c r="C61" s="6" t="s">
        <v>2261</v>
      </c>
      <c r="D61" s="6" t="s">
        <v>649</v>
      </c>
      <c r="E61" s="42">
        <f>countif(Constants!F:F,F61)</f>
        <v>1</v>
      </c>
      <c r="F61" s="21" t="str">
        <f>VLOOKUP($A61,Constants!$D:$F,3,false)</f>
        <v>ConventionalValueOfCoulomb-90</v>
      </c>
      <c r="G61" s="43" t="str">
        <f t="shared" si="1"/>
        <v>1.00000008887</v>
      </c>
      <c r="H61" s="43">
        <f t="shared" si="2"/>
        <v>1.000000089</v>
      </c>
      <c r="I61" s="43" t="str">
        <f t="shared" si="3"/>
        <v>(exact)</v>
      </c>
      <c r="J61" s="44" t="str">
        <f t="shared" si="4"/>
        <v/>
      </c>
      <c r="K61" s="43" t="b">
        <f t="shared" si="5"/>
        <v>0</v>
      </c>
      <c r="L61" s="21" t="str">
        <f>IFERROR(__xludf.DUMMYFUNCTION("if(regexmatch(B61,""e(.*)$""),regexextract(B61,""e(.*)$""),"""")"),"")</f>
        <v/>
      </c>
      <c r="M61" s="45"/>
      <c r="N61" s="45">
        <f>countif(Constants!F:F,F61)</f>
        <v>1</v>
      </c>
      <c r="O61" s="21" t="str">
        <f>VLOOKUP($A61,Constants!$D:$D,1,false)</f>
        <v>conventional value of coulomb-90</v>
      </c>
    </row>
    <row r="62">
      <c r="A62" s="6" t="s">
        <v>838</v>
      </c>
      <c r="B62" s="6" t="s">
        <v>2324</v>
      </c>
      <c r="C62" s="6" t="s">
        <v>2261</v>
      </c>
      <c r="D62" s="6" t="s">
        <v>839</v>
      </c>
      <c r="E62" s="42">
        <f>countif(Constants!F:F,F62)</f>
        <v>1</v>
      </c>
      <c r="F62" s="21" t="str">
        <f>VLOOKUP($A62,Constants!$D:$F,3,false)</f>
        <v>ConventionalValueOfFarad-90</v>
      </c>
      <c r="G62" s="43" t="str">
        <f t="shared" si="1"/>
        <v>0.99999998220</v>
      </c>
      <c r="H62" s="43">
        <f t="shared" si="2"/>
        <v>0.9999999822</v>
      </c>
      <c r="I62" s="43" t="str">
        <f t="shared" si="3"/>
        <v>(exact)</v>
      </c>
      <c r="J62" s="44" t="str">
        <f t="shared" si="4"/>
        <v/>
      </c>
      <c r="K62" s="43" t="b">
        <f t="shared" si="5"/>
        <v>0</v>
      </c>
      <c r="L62" s="21" t="str">
        <f>IFERROR(__xludf.DUMMYFUNCTION("if(regexmatch(B62,""e(.*)$""),regexextract(B62,""e(.*)$""),"""")"),"")</f>
        <v/>
      </c>
      <c r="M62" s="45"/>
      <c r="N62" s="45">
        <f>countif(Constants!F:F,F62)</f>
        <v>1</v>
      </c>
      <c r="O62" s="21" t="str">
        <f>VLOOKUP($A62,Constants!$D:$D,1,false)</f>
        <v>conventional value of farad-90</v>
      </c>
    </row>
    <row r="63">
      <c r="A63" s="6" t="s">
        <v>842</v>
      </c>
      <c r="B63" s="6" t="s">
        <v>2325</v>
      </c>
      <c r="C63" s="6" t="s">
        <v>2261</v>
      </c>
      <c r="D63" s="6" t="s">
        <v>843</v>
      </c>
      <c r="E63" s="42">
        <f>countif(Constants!F:F,F63)</f>
        <v>1</v>
      </c>
      <c r="F63" s="21" t="str">
        <f>VLOOKUP($A63,Constants!$D:$F,3,false)</f>
        <v>ConventionalValueOfHenry-90</v>
      </c>
      <c r="G63" s="43" t="str">
        <f t="shared" si="1"/>
        <v>1.00000001779</v>
      </c>
      <c r="H63" s="43">
        <f t="shared" si="2"/>
        <v>1.000000018</v>
      </c>
      <c r="I63" s="43" t="str">
        <f t="shared" si="3"/>
        <v>(exact)</v>
      </c>
      <c r="J63" s="44" t="str">
        <f t="shared" si="4"/>
        <v/>
      </c>
      <c r="K63" s="43" t="b">
        <f t="shared" si="5"/>
        <v>0</v>
      </c>
      <c r="L63" s="21" t="str">
        <f>IFERROR(__xludf.DUMMYFUNCTION("if(regexmatch(B63,""e(.*)$""),regexextract(B63,""e(.*)$""),"""")"),"")</f>
        <v/>
      </c>
      <c r="M63" s="45"/>
      <c r="N63" s="45">
        <f>countif(Constants!F:F,F63)</f>
        <v>1</v>
      </c>
      <c r="O63" s="21" t="str">
        <f>VLOOKUP($A63,Constants!$D:$D,1,false)</f>
        <v>conventional value of henry-90</v>
      </c>
    </row>
    <row r="64">
      <c r="A64" s="6" t="s">
        <v>846</v>
      </c>
      <c r="B64" s="6" t="s">
        <v>2326</v>
      </c>
      <c r="C64" s="6" t="s">
        <v>2261</v>
      </c>
      <c r="D64" s="6" t="s">
        <v>847</v>
      </c>
      <c r="E64" s="42">
        <f>countif(Constants!F:F,F64)</f>
        <v>1</v>
      </c>
      <c r="F64" s="21" t="str">
        <f>VLOOKUP($A64,Constants!$D:$F,3,false)</f>
        <v>ConventionalValueOfJosephsonConstant</v>
      </c>
      <c r="G64" s="43" t="str">
        <f t="shared" si="1"/>
        <v>483597.9e9</v>
      </c>
      <c r="H64" s="43">
        <f t="shared" si="2"/>
        <v>483597900000000</v>
      </c>
      <c r="I64" s="43" t="str">
        <f t="shared" si="3"/>
        <v>(exact)</v>
      </c>
      <c r="J64" s="44" t="str">
        <f t="shared" si="4"/>
        <v/>
      </c>
      <c r="K64" s="43" t="b">
        <f t="shared" si="5"/>
        <v>0</v>
      </c>
      <c r="L64" s="21" t="str">
        <f>IFERROR(__xludf.DUMMYFUNCTION("if(regexmatch(B64,""e(.*)$""),regexextract(B64,""e(.*)$""),"""")"),"9")</f>
        <v>9</v>
      </c>
      <c r="M64" s="45"/>
      <c r="N64" s="45">
        <f>countif(Constants!F:F,F64)</f>
        <v>1</v>
      </c>
      <c r="O64" s="21" t="str">
        <f>VLOOKUP($A64,Constants!$D:$D,1,false)</f>
        <v>conventional value of Josephson constant</v>
      </c>
    </row>
    <row r="65">
      <c r="A65" s="6" t="s">
        <v>852</v>
      </c>
      <c r="B65" s="6" t="s">
        <v>2325</v>
      </c>
      <c r="C65" s="6" t="s">
        <v>2261</v>
      </c>
      <c r="D65" s="6" t="s">
        <v>814</v>
      </c>
      <c r="E65" s="42">
        <f>countif(Constants!F:F,F65)</f>
        <v>1</v>
      </c>
      <c r="F65" s="21" t="str">
        <f>VLOOKUP($A65,Constants!$D:$F,3,false)</f>
        <v>ConventionalValueOfOhm-90</v>
      </c>
      <c r="G65" s="43" t="str">
        <f t="shared" si="1"/>
        <v>1.00000001779</v>
      </c>
      <c r="H65" s="43">
        <f t="shared" si="2"/>
        <v>1.000000018</v>
      </c>
      <c r="I65" s="43" t="str">
        <f t="shared" si="3"/>
        <v>(exact)</v>
      </c>
      <c r="J65" s="44" t="str">
        <f t="shared" si="4"/>
        <v/>
      </c>
      <c r="K65" s="43" t="b">
        <f t="shared" si="5"/>
        <v>0</v>
      </c>
      <c r="L65" s="21" t="str">
        <f>IFERROR(__xludf.DUMMYFUNCTION("if(regexmatch(B65,""e(.*)$""),regexextract(B65,""e(.*)$""),"""")"),"")</f>
        <v/>
      </c>
      <c r="M65" s="45"/>
      <c r="N65" s="45">
        <f>countif(Constants!F:F,F65)</f>
        <v>1</v>
      </c>
      <c r="O65" s="21" t="str">
        <f>VLOOKUP($A65,Constants!$D:$D,1,false)</f>
        <v>conventional value of ohm-90</v>
      </c>
    </row>
    <row r="66">
      <c r="A66" s="6" t="s">
        <v>855</v>
      </c>
      <c r="B66" s="6" t="s">
        <v>2327</v>
      </c>
      <c r="C66" s="6" t="s">
        <v>2261</v>
      </c>
      <c r="D66" s="6" t="s">
        <v>237</v>
      </c>
      <c r="E66" s="42">
        <f>countif(Constants!F:F,F66)</f>
        <v>1</v>
      </c>
      <c r="F66" s="21" t="str">
        <f>VLOOKUP($A66,Constants!$D:$F,3,false)</f>
        <v>ConventionalValueOfVolt-90</v>
      </c>
      <c r="G66" s="43" t="str">
        <f t="shared" si="1"/>
        <v>1.00000010666</v>
      </c>
      <c r="H66" s="43">
        <f t="shared" si="2"/>
        <v>1.000000107</v>
      </c>
      <c r="I66" s="43" t="str">
        <f t="shared" si="3"/>
        <v>(exact)</v>
      </c>
      <c r="J66" s="44" t="str">
        <f t="shared" si="4"/>
        <v/>
      </c>
      <c r="K66" s="43" t="b">
        <f t="shared" si="5"/>
        <v>0</v>
      </c>
      <c r="L66" s="21" t="str">
        <f>IFERROR(__xludf.DUMMYFUNCTION("if(regexmatch(B66,""e(.*)$""),regexextract(B66,""e(.*)$""),"""")"),"")</f>
        <v/>
      </c>
      <c r="M66" s="45"/>
      <c r="N66" s="45">
        <f>countif(Constants!F:F,F66)</f>
        <v>1</v>
      </c>
      <c r="O66" s="21" t="str">
        <f>VLOOKUP($A66,Constants!$D:$D,1,false)</f>
        <v>conventional value of volt-90</v>
      </c>
    </row>
    <row r="67">
      <c r="A67" s="6" t="s">
        <v>858</v>
      </c>
      <c r="B67" s="6" t="s">
        <v>2328</v>
      </c>
      <c r="C67" s="6" t="s">
        <v>2261</v>
      </c>
      <c r="D67" s="6" t="s">
        <v>814</v>
      </c>
      <c r="E67" s="42">
        <f>countif(Constants!F:F,F67)</f>
        <v>1</v>
      </c>
      <c r="F67" s="21" t="str">
        <f>VLOOKUP($A67,Constants!$D:$F,3,false)</f>
        <v>ConventionalValueOfVonKlitzingConstant</v>
      </c>
      <c r="G67" s="43" t="str">
        <f t="shared" si="1"/>
        <v>25812.807</v>
      </c>
      <c r="H67" s="43">
        <f t="shared" si="2"/>
        <v>25812.807</v>
      </c>
      <c r="I67" s="43" t="str">
        <f t="shared" si="3"/>
        <v>(exact)</v>
      </c>
      <c r="J67" s="44" t="str">
        <f t="shared" si="4"/>
        <v/>
      </c>
      <c r="K67" s="43" t="b">
        <f t="shared" si="5"/>
        <v>0</v>
      </c>
      <c r="L67" s="21" t="str">
        <f>IFERROR(__xludf.DUMMYFUNCTION("if(regexmatch(B67,""e(.*)$""),regexextract(B67,""e(.*)$""),"""")"),"")</f>
        <v/>
      </c>
      <c r="M67" s="45"/>
      <c r="N67" s="45">
        <f>countif(Constants!F:F,F67)</f>
        <v>1</v>
      </c>
      <c r="O67" s="21" t="str">
        <f>VLOOKUP($A67,Constants!$D:$D,1,false)</f>
        <v>conventional value of von Klitzing constant</v>
      </c>
    </row>
    <row r="68">
      <c r="A68" s="6" t="s">
        <v>863</v>
      </c>
      <c r="B68" s="6" t="s">
        <v>2329</v>
      </c>
      <c r="C68" s="6" t="s">
        <v>2261</v>
      </c>
      <c r="D68" s="6" t="s">
        <v>864</v>
      </c>
      <c r="E68" s="42">
        <f>countif(Constants!F:F,F68)</f>
        <v>1</v>
      </c>
      <c r="F68" s="21" t="str">
        <f>VLOOKUP($A68,Constants!$D:$F,3,false)</f>
        <v>ConventionalValueOfWatt-90</v>
      </c>
      <c r="G68" s="43" t="str">
        <f t="shared" si="1"/>
        <v>1.00000019553</v>
      </c>
      <c r="H68" s="43">
        <f t="shared" si="2"/>
        <v>1.000000196</v>
      </c>
      <c r="I68" s="43" t="str">
        <f t="shared" si="3"/>
        <v>(exact)</v>
      </c>
      <c r="J68" s="44" t="str">
        <f t="shared" si="4"/>
        <v/>
      </c>
      <c r="K68" s="43" t="b">
        <f t="shared" si="5"/>
        <v>0</v>
      </c>
      <c r="L68" s="21" t="str">
        <f>IFERROR(__xludf.DUMMYFUNCTION("if(regexmatch(B68,""e(.*)$""),regexextract(B68,""e(.*)$""),"""")"),"")</f>
        <v/>
      </c>
      <c r="M68" s="45"/>
      <c r="N68" s="45">
        <f>countif(Constants!F:F,F68)</f>
        <v>1</v>
      </c>
      <c r="O68" s="21" t="str">
        <f>VLOOKUP($A68,Constants!$D:$D,1,false)</f>
        <v>conventional value of watt-90</v>
      </c>
    </row>
    <row r="69">
      <c r="A69" s="6" t="s">
        <v>866</v>
      </c>
      <c r="B69" s="6" t="s">
        <v>2330</v>
      </c>
      <c r="C69" s="6" t="s">
        <v>2331</v>
      </c>
      <c r="D69" s="6" t="s">
        <v>571</v>
      </c>
      <c r="E69" s="42">
        <f>countif(Constants!F:F,F69)</f>
        <v>1</v>
      </c>
      <c r="F69" s="47" t="s">
        <v>272</v>
      </c>
      <c r="G69" s="43" t="str">
        <f t="shared" si="1"/>
        <v>1.00207697e-13</v>
      </c>
      <c r="H69" s="43">
        <f t="shared" si="2"/>
        <v>0</v>
      </c>
      <c r="I69" s="43" t="str">
        <f t="shared" si="3"/>
        <v>0.00000028e-13</v>
      </c>
      <c r="J69" s="44">
        <f t="shared" si="4"/>
        <v>0</v>
      </c>
      <c r="K69" s="43" t="b">
        <f t="shared" si="5"/>
        <v>0</v>
      </c>
      <c r="L69" s="21" t="str">
        <f>IFERROR(__xludf.DUMMYFUNCTION("if(regexmatch(B69,""e(.*)$""),regexextract(B69,""e(.*)$""),"""")"),"-13")</f>
        <v>-13</v>
      </c>
      <c r="M69" s="45"/>
      <c r="N69" s="45">
        <f>countif(Constants!F:F,F69)</f>
        <v>1</v>
      </c>
      <c r="O69" s="21" t="str">
        <f>VLOOKUP($A69,Constants!$D:$D,1,false)</f>
        <v>#N/A</v>
      </c>
    </row>
    <row r="70">
      <c r="A70" s="6" t="s">
        <v>871</v>
      </c>
      <c r="B70" s="6" t="s">
        <v>2332</v>
      </c>
      <c r="C70" s="6" t="s">
        <v>2333</v>
      </c>
      <c r="E70" s="42">
        <f>countif(Constants!F:F,F70)</f>
        <v>1</v>
      </c>
      <c r="F70" s="21" t="str">
        <f>VLOOKUP($A70,Constants!$D:$F,3,false)</f>
        <v>DeuteronElectronMagneticMomentRatio</v>
      </c>
      <c r="G70" s="43" t="str">
        <f t="shared" si="1"/>
        <v>-4.664345550e-4</v>
      </c>
      <c r="H70" s="43">
        <f t="shared" si="2"/>
        <v>-0.000466434555</v>
      </c>
      <c r="I70" s="43" t="str">
        <f t="shared" si="3"/>
        <v>0.000000012e-4</v>
      </c>
      <c r="J70" s="44">
        <f t="shared" si="4"/>
        <v>0</v>
      </c>
      <c r="K70" s="43" t="b">
        <f t="shared" si="5"/>
        <v>0</v>
      </c>
      <c r="L70" s="21" t="str">
        <f>IFERROR(__xludf.DUMMYFUNCTION("if(regexmatch(B70,""e(.*)$""),regexextract(B70,""e(.*)$""),"""")"),"-4")</f>
        <v>-4</v>
      </c>
      <c r="M70" s="45"/>
      <c r="N70" s="45">
        <f>countif(Constants!F:F,F70)</f>
        <v>1</v>
      </c>
      <c r="O70" s="21" t="str">
        <f>VLOOKUP($A70,Constants!$D:$D,1,false)</f>
        <v>deuteron-electron mag. mom. ratio</v>
      </c>
    </row>
    <row r="71">
      <c r="A71" s="6" t="s">
        <v>876</v>
      </c>
      <c r="B71" s="6" t="s">
        <v>2334</v>
      </c>
      <c r="C71" s="6" t="s">
        <v>2335</v>
      </c>
      <c r="E71" s="42">
        <f>countif(Constants!F:F,F71)</f>
        <v>1</v>
      </c>
      <c r="F71" s="21" t="str">
        <f>VLOOKUP($A71,Constants!$D:$F,3,false)</f>
        <v>DeuteronElectronMassRatio</v>
      </c>
      <c r="G71" s="43" t="str">
        <f t="shared" si="1"/>
        <v>3670.482967655</v>
      </c>
      <c r="H71" s="43">
        <f t="shared" si="2"/>
        <v>3670.482968</v>
      </c>
      <c r="I71" s="43" t="str">
        <f t="shared" si="3"/>
        <v>0.000000063</v>
      </c>
      <c r="J71" s="44">
        <f t="shared" si="4"/>
        <v>0.000000063</v>
      </c>
      <c r="K71" s="43" t="b">
        <f t="shared" si="5"/>
        <v>0</v>
      </c>
      <c r="L71" s="21" t="str">
        <f>IFERROR(__xludf.DUMMYFUNCTION("if(regexmatch(B71,""e(.*)$""),regexextract(B71,""e(.*)$""),"""")"),"")</f>
        <v/>
      </c>
      <c r="M71" s="45"/>
      <c r="N71" s="45">
        <f>countif(Constants!F:F,F71)</f>
        <v>1</v>
      </c>
      <c r="O71" s="21" t="str">
        <f>VLOOKUP($A71,Constants!$D:$D,1,false)</f>
        <v>deuteron-electron mass ratio</v>
      </c>
    </row>
    <row r="72">
      <c r="A72" s="6" t="s">
        <v>881</v>
      </c>
      <c r="B72" s="6" t="s">
        <v>2336</v>
      </c>
      <c r="C72" s="6" t="s">
        <v>2337</v>
      </c>
      <c r="E72" s="42">
        <f>countif(Constants!F:F,F72)</f>
        <v>1</v>
      </c>
      <c r="F72" s="21" t="str">
        <f>VLOOKUP($A72,Constants!$D:$F,3,false)</f>
        <v>DeuteronGFactor</v>
      </c>
      <c r="G72" s="43" t="str">
        <f t="shared" si="1"/>
        <v>0.8574382335</v>
      </c>
      <c r="H72" s="43">
        <f t="shared" si="2"/>
        <v>0.8574382335</v>
      </c>
      <c r="I72" s="43" t="str">
        <f t="shared" si="3"/>
        <v>0.0000000022</v>
      </c>
      <c r="J72" s="44">
        <f t="shared" si="4"/>
        <v>0.0000000022</v>
      </c>
      <c r="K72" s="43" t="b">
        <f t="shared" si="5"/>
        <v>0</v>
      </c>
      <c r="L72" s="21" t="str">
        <f>IFERROR(__xludf.DUMMYFUNCTION("if(regexmatch(B72,""e(.*)$""),regexextract(B72,""e(.*)$""),"""")"),"")</f>
        <v/>
      </c>
      <c r="M72" s="45"/>
      <c r="N72" s="45">
        <f>countif(Constants!F:F,F72)</f>
        <v>1</v>
      </c>
      <c r="O72" s="21" t="str">
        <f>VLOOKUP($A72,Constants!$D:$D,1,false)</f>
        <v>deuteron g factor</v>
      </c>
    </row>
    <row r="73">
      <c r="A73" s="6" t="s">
        <v>885</v>
      </c>
      <c r="B73" s="6" t="s">
        <v>2338</v>
      </c>
      <c r="C73" s="6" t="s">
        <v>2339</v>
      </c>
      <c r="D73" s="6" t="s">
        <v>714</v>
      </c>
      <c r="E73" s="42">
        <f>countif(Constants!F:F,F73)</f>
        <v>1</v>
      </c>
      <c r="F73" s="21" t="str">
        <f>VLOOKUP($A73,Constants!$D:$F,3,false)</f>
        <v>DeuteronMagneticMoment</v>
      </c>
      <c r="G73" s="43" t="str">
        <f t="shared" si="1"/>
        <v>4.330735087e-27</v>
      </c>
      <c r="H73" s="43">
        <f t="shared" si="2"/>
        <v>0</v>
      </c>
      <c r="I73" s="43" t="str">
        <f t="shared" si="3"/>
        <v>0.000000011e-27</v>
      </c>
      <c r="J73" s="44">
        <f t="shared" si="4"/>
        <v>0</v>
      </c>
      <c r="K73" s="43" t="b">
        <f t="shared" si="5"/>
        <v>0</v>
      </c>
      <c r="L73" s="21" t="str">
        <f>IFERROR(__xludf.DUMMYFUNCTION("if(regexmatch(B73,""e(.*)$""),regexextract(B73,""e(.*)$""),"""")"),"-27")</f>
        <v>-27</v>
      </c>
      <c r="M73" s="45"/>
      <c r="N73" s="45">
        <f>countif(Constants!F:F,F73)</f>
        <v>1</v>
      </c>
      <c r="O73" s="21" t="str">
        <f>VLOOKUP($A73,Constants!$D:$D,1,false)</f>
        <v>deuteron mag. mom.</v>
      </c>
    </row>
    <row r="74">
      <c r="A74" s="6" t="s">
        <v>890</v>
      </c>
      <c r="B74" s="6" t="s">
        <v>2340</v>
      </c>
      <c r="C74" s="6" t="s">
        <v>2333</v>
      </c>
      <c r="E74" s="42">
        <f>countif(Constants!F:F,F74)</f>
        <v>1</v>
      </c>
      <c r="F74" s="21" t="str">
        <f>VLOOKUP($A74,Constants!$D:$F,3,false)</f>
        <v>DeuteronMagneticMomentToBohrMagnetonRatio</v>
      </c>
      <c r="G74" s="43" t="str">
        <f t="shared" si="1"/>
        <v>4.669754568e-4</v>
      </c>
      <c r="H74" s="43">
        <f t="shared" si="2"/>
        <v>0.0004669754568</v>
      </c>
      <c r="I74" s="43" t="str">
        <f t="shared" si="3"/>
        <v>0.000000012e-4</v>
      </c>
      <c r="J74" s="44">
        <f t="shared" si="4"/>
        <v>0</v>
      </c>
      <c r="K74" s="43" t="b">
        <f t="shared" si="5"/>
        <v>0</v>
      </c>
      <c r="L74" s="21" t="str">
        <f>IFERROR(__xludf.DUMMYFUNCTION("if(regexmatch(B74,""e(.*)$""),regexextract(B74,""e(.*)$""),"""")"),"-4")</f>
        <v>-4</v>
      </c>
      <c r="M74" s="45"/>
      <c r="N74" s="45">
        <f>countif(Constants!F:F,F74)</f>
        <v>1</v>
      </c>
      <c r="O74" s="21" t="str">
        <f>VLOOKUP($A74,Constants!$D:$D,1,false)</f>
        <v>deuteron mag. mom. to Bohr magneton ratio</v>
      </c>
    </row>
    <row r="75">
      <c r="A75" s="6" t="s">
        <v>895</v>
      </c>
      <c r="B75" s="6" t="s">
        <v>2336</v>
      </c>
      <c r="C75" s="6" t="s">
        <v>2337</v>
      </c>
      <c r="E75" s="42">
        <f>countif(Constants!F:F,F75)</f>
        <v>1</v>
      </c>
      <c r="F75" s="21" t="str">
        <f>VLOOKUP($A75,Constants!$D:$F,3,false)</f>
        <v>DeuteronMagneticMomentToNuclearMagnetonRatio</v>
      </c>
      <c r="G75" s="43" t="str">
        <f t="shared" si="1"/>
        <v>0.8574382335</v>
      </c>
      <c r="H75" s="43">
        <f t="shared" si="2"/>
        <v>0.8574382335</v>
      </c>
      <c r="I75" s="43" t="str">
        <f t="shared" si="3"/>
        <v>0.0000000022</v>
      </c>
      <c r="J75" s="44">
        <f t="shared" si="4"/>
        <v>0.0000000022</v>
      </c>
      <c r="K75" s="43" t="b">
        <f t="shared" si="5"/>
        <v>0</v>
      </c>
      <c r="L75" s="21" t="str">
        <f>IFERROR(__xludf.DUMMYFUNCTION("if(regexmatch(B75,""e(.*)$""),regexextract(B75,""e(.*)$""),"""")"),"")</f>
        <v/>
      </c>
      <c r="M75" s="45"/>
      <c r="N75" s="45">
        <f>countif(Constants!F:F,F75)</f>
        <v>1</v>
      </c>
      <c r="O75" s="21" t="str">
        <f>VLOOKUP($A75,Constants!$D:$D,1,false)</f>
        <v>deuteron mag. mom. to nuclear magneton ratio</v>
      </c>
    </row>
    <row r="76">
      <c r="A76" s="6" t="s">
        <v>900</v>
      </c>
      <c r="B76" s="6" t="s">
        <v>2341</v>
      </c>
      <c r="C76" s="6" t="s">
        <v>2342</v>
      </c>
      <c r="D76" s="6" t="s">
        <v>538</v>
      </c>
      <c r="E76" s="42">
        <f>countif(Constants!F:F,F76)</f>
        <v>1</v>
      </c>
      <c r="F76" s="21" t="str">
        <f>VLOOKUP($A76,Constants!$D:$F,3,false)</f>
        <v>DeuteronMass</v>
      </c>
      <c r="G76" s="43" t="str">
        <f t="shared" si="1"/>
        <v>3.3435837768e-27</v>
      </c>
      <c r="H76" s="43">
        <f t="shared" si="2"/>
        <v>0</v>
      </c>
      <c r="I76" s="43" t="str">
        <f t="shared" si="3"/>
        <v>0.0000000010e-27</v>
      </c>
      <c r="J76" s="44">
        <f t="shared" si="4"/>
        <v>0</v>
      </c>
      <c r="K76" s="43" t="b">
        <f t="shared" si="5"/>
        <v>0</v>
      </c>
      <c r="L76" s="21" t="str">
        <f>IFERROR(__xludf.DUMMYFUNCTION("if(regexmatch(B76,""e(.*)$""),regexextract(B76,""e(.*)$""),"""")"),"-27")</f>
        <v>-27</v>
      </c>
      <c r="M76" s="45"/>
      <c r="N76" s="45">
        <f>countif(Constants!F:F,F76)</f>
        <v>1</v>
      </c>
      <c r="O76" s="21" t="str">
        <f>VLOOKUP($A76,Constants!$D:$D,1,false)</f>
        <v>deuteron mass</v>
      </c>
    </row>
    <row r="77">
      <c r="A77" s="6" t="s">
        <v>904</v>
      </c>
      <c r="B77" s="6" t="s">
        <v>2343</v>
      </c>
      <c r="C77" s="6" t="s">
        <v>2344</v>
      </c>
      <c r="D77" s="6" t="s">
        <v>543</v>
      </c>
      <c r="E77" s="42">
        <f>countif(Constants!F:F,F77)</f>
        <v>1</v>
      </c>
      <c r="F77" s="21" t="str">
        <f>VLOOKUP($A77,Constants!$D:$F,3,false)</f>
        <v>DeuteronMassEnergyEquivalent</v>
      </c>
      <c r="G77" s="43" t="str">
        <f t="shared" si="1"/>
        <v>3.00506323491e-10</v>
      </c>
      <c r="H77" s="43">
        <f t="shared" si="2"/>
        <v>0.0000000003005063235</v>
      </c>
      <c r="I77" s="43" t="str">
        <f t="shared" si="3"/>
        <v>0.00000000094e-10</v>
      </c>
      <c r="J77" s="44">
        <f t="shared" si="4"/>
        <v>0</v>
      </c>
      <c r="K77" s="43" t="b">
        <f t="shared" si="5"/>
        <v>0</v>
      </c>
      <c r="L77" s="21" t="str">
        <f>IFERROR(__xludf.DUMMYFUNCTION("if(regexmatch(B77,""e(.*)$""),regexextract(B77,""e(.*)$""),"""")"),"-10")</f>
        <v>-10</v>
      </c>
      <c r="M77" s="45"/>
      <c r="N77" s="45">
        <f>countif(Constants!F:F,F77)</f>
        <v>1</v>
      </c>
      <c r="O77" s="21" t="str">
        <f>VLOOKUP($A77,Constants!$D:$D,1,false)</f>
        <v>deuteron mass energy equivalent</v>
      </c>
    </row>
    <row r="78">
      <c r="A78" s="6" t="s">
        <v>908</v>
      </c>
      <c r="B78" s="6" t="s">
        <v>2345</v>
      </c>
      <c r="C78" s="6" t="s">
        <v>2346</v>
      </c>
      <c r="D78" s="6" t="s">
        <v>548</v>
      </c>
      <c r="E78" s="42">
        <f>countif(Constants!F:F,F78)</f>
        <v>1</v>
      </c>
      <c r="F78" s="21" t="str">
        <f>VLOOKUP($A78,Constants!$D:$F,3,false)</f>
        <v>DeuteronMassEnergyEquivalentInMeV</v>
      </c>
      <c r="G78" s="43" t="str">
        <f t="shared" si="1"/>
        <v>1875.61294500</v>
      </c>
      <c r="H78" s="43">
        <f t="shared" si="2"/>
        <v>1875.612945</v>
      </c>
      <c r="I78" s="43" t="str">
        <f t="shared" si="3"/>
        <v>0.00000058</v>
      </c>
      <c r="J78" s="44">
        <f t="shared" si="4"/>
        <v>0.00000058</v>
      </c>
      <c r="K78" s="43" t="b">
        <f t="shared" si="5"/>
        <v>0</v>
      </c>
      <c r="L78" s="21" t="str">
        <f>IFERROR(__xludf.DUMMYFUNCTION("if(regexmatch(B78,""e(.*)$""),regexextract(B78,""e(.*)$""),"""")"),"")</f>
        <v/>
      </c>
      <c r="M78" s="45"/>
      <c r="N78" s="45">
        <f>countif(Constants!F:F,F78)</f>
        <v>1</v>
      </c>
      <c r="O78" s="21" t="str">
        <f>VLOOKUP($A78,Constants!$D:$D,1,false)</f>
        <v>deuteron mass energy equivalent in MeV</v>
      </c>
    </row>
    <row r="79">
      <c r="A79" s="6" t="s">
        <v>911</v>
      </c>
      <c r="B79" s="6" t="s">
        <v>2347</v>
      </c>
      <c r="C79" s="6" t="s">
        <v>2348</v>
      </c>
      <c r="D79" s="6" t="s">
        <v>553</v>
      </c>
      <c r="E79" s="42">
        <f>countif(Constants!F:F,F79)</f>
        <v>1</v>
      </c>
      <c r="F79" s="21" t="str">
        <f>VLOOKUP($A79,Constants!$D:$F,3,false)</f>
        <v>DeuteronMassInAtomicMassUnit</v>
      </c>
      <c r="G79" s="43" t="str">
        <f t="shared" si="1"/>
        <v>2.013553212544</v>
      </c>
      <c r="H79" s="43">
        <f t="shared" si="2"/>
        <v>2.013553213</v>
      </c>
      <c r="I79" s="43" t="str">
        <f t="shared" si="3"/>
        <v>0.000000000015</v>
      </c>
      <c r="J79" s="44">
        <f t="shared" si="4"/>
        <v>0</v>
      </c>
      <c r="K79" s="43" t="b">
        <f t="shared" si="5"/>
        <v>0</v>
      </c>
      <c r="L79" s="21" t="str">
        <f>IFERROR(__xludf.DUMMYFUNCTION("if(regexmatch(B79,""e(.*)$""),regexextract(B79,""e(.*)$""),"""")"),"")</f>
        <v/>
      </c>
      <c r="M79" s="45"/>
      <c r="N79" s="45">
        <f>countif(Constants!F:F,F79)</f>
        <v>1</v>
      </c>
      <c r="O79" s="21" t="str">
        <f>VLOOKUP($A79,Constants!$D:$D,1,false)</f>
        <v>deuteron mass in u</v>
      </c>
    </row>
    <row r="80">
      <c r="A80" s="6" t="s">
        <v>914</v>
      </c>
      <c r="B80" s="6" t="s">
        <v>2349</v>
      </c>
      <c r="C80" s="6" t="s">
        <v>2350</v>
      </c>
      <c r="D80" s="6" t="s">
        <v>557</v>
      </c>
      <c r="E80" s="42">
        <f>countif(Constants!F:F,F80)</f>
        <v>1</v>
      </c>
      <c r="F80" s="21" t="str">
        <f>VLOOKUP($A80,Constants!$D:$F,3,false)</f>
        <v>DeuteronMolarMass</v>
      </c>
      <c r="G80" s="43" t="str">
        <f t="shared" si="1"/>
        <v>2.01355321466e-3</v>
      </c>
      <c r="H80" s="43">
        <f t="shared" si="2"/>
        <v>0.002013553215</v>
      </c>
      <c r="I80" s="43" t="str">
        <f t="shared" si="3"/>
        <v>0.00000000063e-3</v>
      </c>
      <c r="J80" s="44">
        <f t="shared" si="4"/>
        <v>0</v>
      </c>
      <c r="K80" s="43" t="b">
        <f t="shared" si="5"/>
        <v>0</v>
      </c>
      <c r="L80" s="21" t="str">
        <f>IFERROR(__xludf.DUMMYFUNCTION("if(regexmatch(B80,""e(.*)$""),regexextract(B80,""e(.*)$""),"""")"),"-3")</f>
        <v>-3</v>
      </c>
      <c r="M80" s="45"/>
      <c r="N80" s="45">
        <f>countif(Constants!F:F,F80)</f>
        <v>1</v>
      </c>
      <c r="O80" s="21" t="str">
        <f>VLOOKUP($A80,Constants!$D:$D,1,false)</f>
        <v>deuteron molar mass</v>
      </c>
    </row>
    <row r="81">
      <c r="A81" s="6" t="s">
        <v>918</v>
      </c>
      <c r="B81" s="6" t="s">
        <v>2351</v>
      </c>
      <c r="C81" s="6" t="s">
        <v>2352</v>
      </c>
      <c r="E81" s="42">
        <f>countif(Constants!F:F,F81)</f>
        <v>1</v>
      </c>
      <c r="F81" s="21" t="str">
        <f>VLOOKUP($A81,Constants!$D:$F,3,false)</f>
        <v>DeuteronNeutronMagneticMomentRatio</v>
      </c>
      <c r="G81" s="43" t="str">
        <f t="shared" si="1"/>
        <v>-0.44820652</v>
      </c>
      <c r="H81" s="43">
        <f t="shared" si="2"/>
        <v>-0.44820652</v>
      </c>
      <c r="I81" s="43" t="str">
        <f t="shared" si="3"/>
        <v>0.00000011</v>
      </c>
      <c r="J81" s="44">
        <f t="shared" si="4"/>
        <v>0.00000011</v>
      </c>
      <c r="K81" s="43" t="b">
        <f t="shared" si="5"/>
        <v>0</v>
      </c>
      <c r="L81" s="21" t="str">
        <f>IFERROR(__xludf.DUMMYFUNCTION("if(regexmatch(B81,""e(.*)$""),regexextract(B81,""e(.*)$""),"""")"),"")</f>
        <v/>
      </c>
      <c r="M81" s="45"/>
      <c r="N81" s="45">
        <f>countif(Constants!F:F,F81)</f>
        <v>1</v>
      </c>
      <c r="O81" s="21" t="str">
        <f>VLOOKUP($A81,Constants!$D:$D,1,false)</f>
        <v>deuteron-neutron mag. mom. ratio</v>
      </c>
    </row>
    <row r="82">
      <c r="A82" s="6" t="s">
        <v>923</v>
      </c>
      <c r="B82" s="6" t="s">
        <v>2353</v>
      </c>
      <c r="C82" s="6" t="s">
        <v>2354</v>
      </c>
      <c r="E82" s="42">
        <f>countif(Constants!F:F,F82)</f>
        <v>1</v>
      </c>
      <c r="F82" s="21" t="str">
        <f>VLOOKUP($A82,Constants!$D:$F,3,false)</f>
        <v>DeuteronProtonMagneticMomentRatio</v>
      </c>
      <c r="G82" s="43" t="str">
        <f t="shared" si="1"/>
        <v>0.30701220930</v>
      </c>
      <c r="H82" s="43">
        <f t="shared" si="2"/>
        <v>0.3070122093</v>
      </c>
      <c r="I82" s="43" t="str">
        <f t="shared" si="3"/>
        <v>0.00000000079</v>
      </c>
      <c r="J82" s="44">
        <f t="shared" si="4"/>
        <v>0.00000000079</v>
      </c>
      <c r="K82" s="43" t="b">
        <f t="shared" si="5"/>
        <v>0</v>
      </c>
      <c r="L82" s="21" t="str">
        <f>IFERROR(__xludf.DUMMYFUNCTION("if(regexmatch(B82,""e(.*)$""),regexextract(B82,""e(.*)$""),"""")"),"")</f>
        <v/>
      </c>
      <c r="M82" s="45"/>
      <c r="N82" s="45">
        <f>countif(Constants!F:F,F82)</f>
        <v>1</v>
      </c>
      <c r="O82" s="21" t="str">
        <f>VLOOKUP($A82,Constants!$D:$D,1,false)</f>
        <v>deuteron-proton mag. mom. ratio</v>
      </c>
    </row>
    <row r="83">
      <c r="A83" s="6" t="s">
        <v>928</v>
      </c>
      <c r="B83" s="6" t="s">
        <v>2355</v>
      </c>
      <c r="C83" s="6" t="s">
        <v>2356</v>
      </c>
      <c r="E83" s="42">
        <f>countif(Constants!F:F,F83)</f>
        <v>1</v>
      </c>
      <c r="F83" s="21" t="str">
        <f>VLOOKUP($A83,Constants!$D:$F,3,false)</f>
        <v>DeuteronProtonMassRatio</v>
      </c>
      <c r="G83" s="43" t="str">
        <f t="shared" si="1"/>
        <v>1.9990075012699</v>
      </c>
      <c r="H83" s="43">
        <f t="shared" si="2"/>
        <v>1.999007501</v>
      </c>
      <c r="I83" s="43" t="str">
        <f t="shared" si="3"/>
        <v>0.0000000000084</v>
      </c>
      <c r="J83" s="44">
        <f t="shared" si="4"/>
        <v>0</v>
      </c>
      <c r="K83" s="43" t="b">
        <f t="shared" si="5"/>
        <v>0</v>
      </c>
      <c r="L83" s="21" t="str">
        <f>IFERROR(__xludf.DUMMYFUNCTION("if(regexmatch(B83,""e(.*)$""),regexextract(B83,""e(.*)$""),"""")"),"")</f>
        <v/>
      </c>
      <c r="M83" s="45"/>
      <c r="N83" s="45">
        <f>countif(Constants!F:F,F83)</f>
        <v>1</v>
      </c>
      <c r="O83" s="21" t="str">
        <f>VLOOKUP($A83,Constants!$D:$D,1,false)</f>
        <v>deuteron-proton mass ratio</v>
      </c>
    </row>
    <row r="84">
      <c r="A84" s="6" t="s">
        <v>933</v>
      </c>
      <c r="B84" s="6" t="s">
        <v>2347</v>
      </c>
      <c r="C84" s="6" t="s">
        <v>2348</v>
      </c>
      <c r="E84" s="42">
        <f>countif(Constants!F:F,F84)</f>
        <v>1</v>
      </c>
      <c r="F84" s="21" t="str">
        <f>VLOOKUP($A84,Constants!$D:$F,3,false)</f>
        <v>DeuteronRelativeAtomicMass</v>
      </c>
      <c r="G84" s="43" t="str">
        <f t="shared" si="1"/>
        <v>2.013553212544</v>
      </c>
      <c r="H84" s="43">
        <f t="shared" si="2"/>
        <v>2.013553213</v>
      </c>
      <c r="I84" s="43" t="str">
        <f t="shared" si="3"/>
        <v>0.000000000015</v>
      </c>
      <c r="J84" s="44">
        <f t="shared" si="4"/>
        <v>0</v>
      </c>
      <c r="K84" s="43" t="b">
        <f t="shared" si="5"/>
        <v>0</v>
      </c>
      <c r="L84" s="21" t="str">
        <f>IFERROR(__xludf.DUMMYFUNCTION("if(regexmatch(B84,""e(.*)$""),regexextract(B84,""e(.*)$""),"""")"),"")</f>
        <v/>
      </c>
      <c r="M84" s="45"/>
      <c r="N84" s="45">
        <f>countif(Constants!F:F,F84)</f>
        <v>1</v>
      </c>
      <c r="O84" s="21" t="str">
        <f>VLOOKUP($A84,Constants!$D:$D,1,false)</f>
        <v>deuteron relative atomic mass</v>
      </c>
    </row>
    <row r="85">
      <c r="A85" s="6" t="s">
        <v>936</v>
      </c>
      <c r="B85" s="6" t="s">
        <v>2357</v>
      </c>
      <c r="C85" s="6" t="s">
        <v>2358</v>
      </c>
      <c r="D85" s="6" t="s">
        <v>571</v>
      </c>
      <c r="E85" s="42">
        <f>countif(Constants!F:F,F85)</f>
        <v>1</v>
      </c>
      <c r="F85" s="21" t="str">
        <f>VLOOKUP($A85,Constants!$D:$F,3,false)</f>
        <v>DeuteronRmsChargeRadius</v>
      </c>
      <c r="G85" s="43" t="str">
        <f t="shared" si="1"/>
        <v>2.12778e-15</v>
      </c>
      <c r="H85" s="43">
        <f t="shared" si="2"/>
        <v>0</v>
      </c>
      <c r="I85" s="43" t="str">
        <f t="shared" si="3"/>
        <v>0.00027e-15</v>
      </c>
      <c r="J85" s="44">
        <f t="shared" si="4"/>
        <v>0</v>
      </c>
      <c r="K85" s="43" t="b">
        <f t="shared" si="5"/>
        <v>0</v>
      </c>
      <c r="L85" s="21" t="str">
        <f>IFERROR(__xludf.DUMMYFUNCTION("if(regexmatch(B85,""e(.*)$""),regexextract(B85,""e(.*)$""),"""")"),"-15")</f>
        <v>-15</v>
      </c>
      <c r="M85" s="45"/>
      <c r="N85" s="45">
        <f>countif(Constants!F:F,F85)</f>
        <v>1</v>
      </c>
      <c r="O85" s="21" t="str">
        <f>VLOOKUP($A85,Constants!$D:$D,1,false)</f>
        <v>deuteron rms charge radius</v>
      </c>
    </row>
    <row r="86">
      <c r="A86" s="6" t="s">
        <v>940</v>
      </c>
      <c r="B86" s="6" t="s">
        <v>2359</v>
      </c>
      <c r="C86" s="6" t="s">
        <v>2360</v>
      </c>
      <c r="D86" s="6" t="s">
        <v>941</v>
      </c>
      <c r="E86" s="42">
        <f>countif(Constants!F:F,F86)</f>
        <v>1</v>
      </c>
      <c r="F86" s="21" t="str">
        <f>VLOOKUP($A86,Constants!$D:$F,3,false)</f>
        <v>ElectronChargeToMassQuotient</v>
      </c>
      <c r="G86" s="43" t="str">
        <f t="shared" si="1"/>
        <v>-1.75882000838e11</v>
      </c>
      <c r="H86" s="43">
        <f t="shared" si="2"/>
        <v>-175882000838</v>
      </c>
      <c r="I86" s="43" t="str">
        <f t="shared" si="3"/>
        <v>0.00000000055e11</v>
      </c>
      <c r="J86" s="44">
        <f t="shared" si="4"/>
        <v>55</v>
      </c>
      <c r="K86" s="43" t="b">
        <f t="shared" si="5"/>
        <v>0</v>
      </c>
      <c r="L86" s="21" t="str">
        <f>IFERROR(__xludf.DUMMYFUNCTION("if(regexmatch(B86,""e(.*)$""),regexextract(B86,""e(.*)$""),"""")"),"11")</f>
        <v>11</v>
      </c>
      <c r="M86" s="45"/>
      <c r="N86" s="45">
        <f>countif(Constants!F:F,F86)</f>
        <v>1</v>
      </c>
      <c r="O86" s="21" t="str">
        <f>VLOOKUP($A86,Constants!$D:$D,1,false)</f>
        <v>electron charge to mass quotient</v>
      </c>
    </row>
    <row r="87">
      <c r="A87" s="6" t="s">
        <v>946</v>
      </c>
      <c r="B87" s="6" t="s">
        <v>2361</v>
      </c>
      <c r="C87" s="6" t="s">
        <v>2362</v>
      </c>
      <c r="E87" s="42">
        <f>countif(Constants!F:F,F87)</f>
        <v>1</v>
      </c>
      <c r="F87" s="21" t="str">
        <f>VLOOKUP($A87,Constants!$D:$F,3,false)</f>
        <v>ElectronDeuteronMagneticMomentRatio</v>
      </c>
      <c r="G87" s="43" t="str">
        <f t="shared" si="1"/>
        <v>-2143.9234921</v>
      </c>
      <c r="H87" s="43">
        <f t="shared" si="2"/>
        <v>-2143.923492</v>
      </c>
      <c r="I87" s="43" t="str">
        <f t="shared" si="3"/>
        <v>0.0000056</v>
      </c>
      <c r="J87" s="44">
        <f t="shared" si="4"/>
        <v>0.0000056</v>
      </c>
      <c r="K87" s="43" t="b">
        <f t="shared" si="5"/>
        <v>0</v>
      </c>
      <c r="L87" s="21" t="str">
        <f>IFERROR(__xludf.DUMMYFUNCTION("if(regexmatch(B87,""e(.*)$""),regexextract(B87,""e(.*)$""),"""")"),"")</f>
        <v/>
      </c>
      <c r="M87" s="45"/>
      <c r="N87" s="45">
        <f>countif(Constants!F:F,F87)</f>
        <v>1</v>
      </c>
      <c r="O87" s="21" t="str">
        <f>VLOOKUP($A87,Constants!$D:$D,1,false)</f>
        <v>electron-deuteron mag. mom. ratio</v>
      </c>
    </row>
    <row r="88">
      <c r="A88" s="6" t="s">
        <v>951</v>
      </c>
      <c r="B88" s="6" t="s">
        <v>2363</v>
      </c>
      <c r="C88" s="6" t="s">
        <v>2364</v>
      </c>
      <c r="E88" s="42">
        <f>countif(Constants!F:F,F88)</f>
        <v>1</v>
      </c>
      <c r="F88" s="21" t="str">
        <f>VLOOKUP($A88,Constants!$D:$F,3,false)</f>
        <v>ElectronDeuteronMassRatio</v>
      </c>
      <c r="G88" s="43" t="str">
        <f t="shared" si="1"/>
        <v>2.724437107629e-4</v>
      </c>
      <c r="H88" s="43">
        <f t="shared" si="2"/>
        <v>0.0002724437108</v>
      </c>
      <c r="I88" s="43" t="str">
        <f t="shared" si="3"/>
        <v>0.000000000047e-4</v>
      </c>
      <c r="J88" s="44">
        <f t="shared" si="4"/>
        <v>0</v>
      </c>
      <c r="K88" s="43" t="b">
        <f t="shared" si="5"/>
        <v>0</v>
      </c>
      <c r="L88" s="21" t="str">
        <f>IFERROR(__xludf.DUMMYFUNCTION("if(regexmatch(B88,""e(.*)$""),regexextract(B88,""e(.*)$""),"""")"),"-4")</f>
        <v>-4</v>
      </c>
      <c r="M88" s="45"/>
      <c r="N88" s="45">
        <f>countif(Constants!F:F,F88)</f>
        <v>1</v>
      </c>
      <c r="O88" s="21" t="str">
        <f>VLOOKUP($A88,Constants!$D:$D,1,false)</f>
        <v>electron-deuteron mass ratio</v>
      </c>
    </row>
    <row r="89">
      <c r="A89" s="6" t="s">
        <v>956</v>
      </c>
      <c r="B89" s="6" t="s">
        <v>2365</v>
      </c>
      <c r="C89" s="6" t="s">
        <v>2366</v>
      </c>
      <c r="E89" s="42">
        <f>countif(Constants!F:F,F89)</f>
        <v>1</v>
      </c>
      <c r="F89" s="21" t="str">
        <f>VLOOKUP($A89,Constants!$D:$F,3,false)</f>
        <v>ElectronGFactor</v>
      </c>
      <c r="G89" s="43" t="str">
        <f t="shared" si="1"/>
        <v>-2.00231930436092</v>
      </c>
      <c r="H89" s="43">
        <f t="shared" si="2"/>
        <v>-2.002319304</v>
      </c>
      <c r="I89" s="43" t="str">
        <f t="shared" si="3"/>
        <v>0.00000000000036</v>
      </c>
      <c r="J89" s="44">
        <f t="shared" si="4"/>
        <v>0</v>
      </c>
      <c r="K89" s="43" t="b">
        <f t="shared" si="5"/>
        <v>0</v>
      </c>
      <c r="L89" s="21" t="str">
        <f>IFERROR(__xludf.DUMMYFUNCTION("if(regexmatch(B89,""e(.*)$""),regexextract(B89,""e(.*)$""),"""")"),"")</f>
        <v/>
      </c>
      <c r="M89" s="45"/>
      <c r="N89" s="45">
        <f>countif(Constants!F:F,F89)</f>
        <v>1</v>
      </c>
      <c r="O89" s="21" t="str">
        <f>VLOOKUP($A89,Constants!$D:$D,1,false)</f>
        <v>electron g factor</v>
      </c>
    </row>
    <row r="90">
      <c r="A90" s="6" t="s">
        <v>960</v>
      </c>
      <c r="B90" s="6" t="s">
        <v>2367</v>
      </c>
      <c r="C90" s="6" t="s">
        <v>2360</v>
      </c>
      <c r="D90" s="6" t="s">
        <v>961</v>
      </c>
      <c r="E90" s="42">
        <f>countif(Constants!F:F,F90)</f>
        <v>1</v>
      </c>
      <c r="F90" s="21" t="str">
        <f>VLOOKUP($A90,Constants!$D:$F,3,false)</f>
        <v>ElectronGyromagneticRatio</v>
      </c>
      <c r="G90" s="43" t="str">
        <f t="shared" si="1"/>
        <v>1.76085962784e11</v>
      </c>
      <c r="H90" s="43">
        <f t="shared" si="2"/>
        <v>176085962784</v>
      </c>
      <c r="I90" s="43" t="str">
        <f t="shared" si="3"/>
        <v>0.00000000055e11</v>
      </c>
      <c r="J90" s="44">
        <f t="shared" si="4"/>
        <v>55</v>
      </c>
      <c r="K90" s="43" t="b">
        <f t="shared" si="5"/>
        <v>0</v>
      </c>
      <c r="L90" s="21" t="str">
        <f>IFERROR(__xludf.DUMMYFUNCTION("if(regexmatch(B90,""e(.*)$""),regexextract(B90,""e(.*)$""),"""")"),"11")</f>
        <v>11</v>
      </c>
      <c r="M90" s="45"/>
      <c r="N90" s="45">
        <f>countif(Constants!F:F,F90)</f>
        <v>1</v>
      </c>
      <c r="O90" s="21" t="str">
        <f>VLOOKUP($A90,Constants!$D:$D,1,false)</f>
        <v>electron gyromag. ratio</v>
      </c>
    </row>
    <row r="91">
      <c r="A91" s="6" t="s">
        <v>968</v>
      </c>
      <c r="B91" s="6" t="s">
        <v>2368</v>
      </c>
      <c r="C91" s="6" t="s">
        <v>2369</v>
      </c>
      <c r="D91" s="6" t="s">
        <v>969</v>
      </c>
      <c r="E91" s="42">
        <f>countif(Constants!F:F,F91)</f>
        <v>1</v>
      </c>
      <c r="F91" s="21" t="str">
        <f>VLOOKUP($A91,Constants!$D:$F,3,false)</f>
        <v>ElectronGyromagneticRatioOver2Pi</v>
      </c>
      <c r="G91" s="43" t="str">
        <f t="shared" si="1"/>
        <v>28024.9513861</v>
      </c>
      <c r="H91" s="43">
        <f t="shared" si="2"/>
        <v>28024.95139</v>
      </c>
      <c r="I91" s="43" t="str">
        <f t="shared" si="3"/>
        <v>0.0000087</v>
      </c>
      <c r="J91" s="44">
        <f t="shared" si="4"/>
        <v>0.0000087</v>
      </c>
      <c r="K91" s="43" t="b">
        <f t="shared" si="5"/>
        <v>0</v>
      </c>
      <c r="L91" s="21" t="str">
        <f>IFERROR(__xludf.DUMMYFUNCTION("if(regexmatch(B91,""e(.*)$""),regexextract(B91,""e(.*)$""),"""")"),"")</f>
        <v/>
      </c>
      <c r="M91" s="45"/>
      <c r="N91" s="45">
        <f>countif(Constants!F:F,F91)</f>
        <v>1</v>
      </c>
      <c r="O91" s="21" t="str">
        <f>VLOOKUP($A91,Constants!$D:$D,1,false)</f>
        <v>electron gyromag. ratio in MHz/T</v>
      </c>
    </row>
    <row r="92">
      <c r="A92" s="6" t="s">
        <v>975</v>
      </c>
      <c r="B92" s="6" t="s">
        <v>2370</v>
      </c>
      <c r="C92" s="6" t="s">
        <v>2371</v>
      </c>
      <c r="E92" s="42">
        <f>countif(Constants!F:F,F92)</f>
        <v>1</v>
      </c>
      <c r="F92" s="21" t="str">
        <f>VLOOKUP($A92,Constants!$D:$F,3,false)</f>
        <v>Electron-HelionMassRatio</v>
      </c>
      <c r="G92" s="43" t="str">
        <f t="shared" si="1"/>
        <v>1.819543074649e-4</v>
      </c>
      <c r="H92" s="43">
        <f t="shared" si="2"/>
        <v>0.0001819543075</v>
      </c>
      <c r="I92" s="43" t="str">
        <f t="shared" si="3"/>
        <v>0.000000000053e-4</v>
      </c>
      <c r="J92" s="44">
        <f t="shared" si="4"/>
        <v>0</v>
      </c>
      <c r="K92" s="43" t="b">
        <f t="shared" si="5"/>
        <v>0</v>
      </c>
      <c r="L92" s="21" t="str">
        <f>IFERROR(__xludf.DUMMYFUNCTION("if(regexmatch(B92,""e(.*)$""),regexextract(B92,""e(.*)$""),"""")"),"-4")</f>
        <v>-4</v>
      </c>
      <c r="M92" s="45"/>
      <c r="N92" s="45">
        <f>countif(Constants!F:F,F92)</f>
        <v>1</v>
      </c>
      <c r="O92" s="21" t="str">
        <f>VLOOKUP($A92,Constants!$D:$D,1,false)</f>
        <v>electron-helion mass ratio</v>
      </c>
    </row>
    <row r="93">
      <c r="A93" s="6" t="s">
        <v>979</v>
      </c>
      <c r="B93" s="6" t="s">
        <v>2372</v>
      </c>
      <c r="C93" s="6" t="s">
        <v>2303</v>
      </c>
      <c r="D93" s="6" t="s">
        <v>714</v>
      </c>
      <c r="E93" s="42">
        <f>countif(Constants!F:F,F93)</f>
        <v>1</v>
      </c>
      <c r="F93" s="21" t="str">
        <f>VLOOKUP($A93,Constants!$D:$F,3,false)</f>
        <v>ElectronMagneticMoment</v>
      </c>
      <c r="G93" s="43" t="str">
        <f t="shared" si="1"/>
        <v>-9.2847646917e-24</v>
      </c>
      <c r="H93" s="43">
        <f t="shared" si="2"/>
        <v>0</v>
      </c>
      <c r="I93" s="43" t="str">
        <f t="shared" si="3"/>
        <v>0.0000000029e-24</v>
      </c>
      <c r="J93" s="44">
        <f t="shared" si="4"/>
        <v>0</v>
      </c>
      <c r="K93" s="43" t="b">
        <f t="shared" si="5"/>
        <v>0</v>
      </c>
      <c r="L93" s="21" t="str">
        <f>IFERROR(__xludf.DUMMYFUNCTION("if(regexmatch(B93,""e(.*)$""),regexextract(B93,""e(.*)$""),"""")"),"-24")</f>
        <v>-24</v>
      </c>
      <c r="M93" s="45"/>
      <c r="N93" s="45">
        <f>countif(Constants!F:F,F93)</f>
        <v>1</v>
      </c>
      <c r="O93" s="21" t="str">
        <f>VLOOKUP($A93,Constants!$D:$D,1,false)</f>
        <v>electron mag. mom.</v>
      </c>
    </row>
    <row r="94">
      <c r="A94" s="6" t="s">
        <v>984</v>
      </c>
      <c r="B94" s="6" t="s">
        <v>2373</v>
      </c>
      <c r="C94" s="6" t="s">
        <v>2374</v>
      </c>
      <c r="E94" s="42">
        <f>countif(Constants!F:F,F94)</f>
        <v>1</v>
      </c>
      <c r="F94" s="21" t="str">
        <f>VLOOKUP($A94,Constants!$D:$F,3,false)</f>
        <v>ElectronMagneticMomentAnomaly</v>
      </c>
      <c r="G94" s="43" t="str">
        <f t="shared" si="1"/>
        <v>1.15965218046e-3</v>
      </c>
      <c r="H94" s="43">
        <f t="shared" si="2"/>
        <v>0.00115965218</v>
      </c>
      <c r="I94" s="43" t="str">
        <f t="shared" si="3"/>
        <v>0.00000000018e-3</v>
      </c>
      <c r="J94" s="44">
        <f t="shared" si="4"/>
        <v>0</v>
      </c>
      <c r="K94" s="43" t="b">
        <f t="shared" si="5"/>
        <v>0</v>
      </c>
      <c r="L94" s="21" t="str">
        <f>IFERROR(__xludf.DUMMYFUNCTION("if(regexmatch(B94,""e(.*)$""),regexextract(B94,""e(.*)$""),"""")"),"-3")</f>
        <v>-3</v>
      </c>
      <c r="M94" s="45"/>
      <c r="N94" s="45">
        <f>countif(Constants!F:F,F94)</f>
        <v>1</v>
      </c>
      <c r="O94" s="21" t="str">
        <f>VLOOKUP($A94,Constants!$D:$D,1,false)</f>
        <v>electron mag. mom. anomaly</v>
      </c>
    </row>
    <row r="95">
      <c r="A95" s="6" t="s">
        <v>989</v>
      </c>
      <c r="B95" s="6" t="s">
        <v>2375</v>
      </c>
      <c r="C95" s="6" t="s">
        <v>2376</v>
      </c>
      <c r="E95" s="42">
        <f>countif(Constants!F:F,F95)</f>
        <v>1</v>
      </c>
      <c r="F95" s="21" t="str">
        <f>VLOOKUP($A95,Constants!$D:$F,3,false)</f>
        <v>ElectronMagneticMomentToBohrMagnetonRatio</v>
      </c>
      <c r="G95" s="43" t="str">
        <f t="shared" si="1"/>
        <v>-1.00115965218046</v>
      </c>
      <c r="H95" s="43">
        <f t="shared" si="2"/>
        <v>-1.001159652</v>
      </c>
      <c r="I95" s="43" t="str">
        <f t="shared" si="3"/>
        <v>0.00000000000018</v>
      </c>
      <c r="J95" s="44">
        <f t="shared" si="4"/>
        <v>0</v>
      </c>
      <c r="K95" s="43" t="b">
        <f t="shared" si="5"/>
        <v>0</v>
      </c>
      <c r="L95" s="21" t="str">
        <f>IFERROR(__xludf.DUMMYFUNCTION("if(regexmatch(B95,""e(.*)$""),regexextract(B95,""e(.*)$""),"""")"),"")</f>
        <v/>
      </c>
      <c r="M95" s="45"/>
      <c r="N95" s="45">
        <f>countif(Constants!F:F,F95)</f>
        <v>1</v>
      </c>
      <c r="O95" s="21" t="str">
        <f>VLOOKUP($A95,Constants!$D:$D,1,false)</f>
        <v>electron mag. mom. to Bohr magneton ratio</v>
      </c>
    </row>
    <row r="96">
      <c r="A96" s="6" t="s">
        <v>994</v>
      </c>
      <c r="B96" s="6" t="s">
        <v>2377</v>
      </c>
      <c r="C96" s="6" t="s">
        <v>2378</v>
      </c>
      <c r="E96" s="42">
        <f>countif(Constants!F:F,F96)</f>
        <v>1</v>
      </c>
      <c r="F96" s="21" t="str">
        <f>VLOOKUP($A96,Constants!$D:$F,3,false)</f>
        <v>ElectronMagneticMomentToNuclearMagnetonRatio</v>
      </c>
      <c r="G96" s="43" t="str">
        <f t="shared" si="1"/>
        <v>-1838.281971877</v>
      </c>
      <c r="H96" s="43">
        <f t="shared" si="2"/>
        <v>-1838.281972</v>
      </c>
      <c r="I96" s="43" t="str">
        <f t="shared" si="3"/>
        <v>0.000000032</v>
      </c>
      <c r="J96" s="44">
        <f t="shared" si="4"/>
        <v>0.000000032</v>
      </c>
      <c r="K96" s="43" t="b">
        <f t="shared" si="5"/>
        <v>0</v>
      </c>
      <c r="L96" s="21" t="str">
        <f>IFERROR(__xludf.DUMMYFUNCTION("if(regexmatch(B96,""e(.*)$""),regexextract(B96,""e(.*)$""),"""")"),"")</f>
        <v/>
      </c>
      <c r="M96" s="45"/>
      <c r="N96" s="45">
        <f>countif(Constants!F:F,F96)</f>
        <v>1</v>
      </c>
      <c r="O96" s="21" t="str">
        <f>VLOOKUP($A96,Constants!$D:$D,1,false)</f>
        <v>electron mag. mom. to nuclear magneton ratio</v>
      </c>
    </row>
    <row r="97">
      <c r="A97" s="6" t="s">
        <v>999</v>
      </c>
      <c r="B97" s="6" t="s">
        <v>2291</v>
      </c>
      <c r="C97" s="6" t="s">
        <v>2292</v>
      </c>
      <c r="D97" s="6" t="s">
        <v>538</v>
      </c>
      <c r="E97" s="42">
        <f>countif(Constants!F:F,F97)</f>
        <v>1</v>
      </c>
      <c r="F97" s="21" t="str">
        <f>VLOOKUP($A97,Constants!$D:$F,3,false)</f>
        <v>ElectronMass</v>
      </c>
      <c r="G97" s="43" t="str">
        <f t="shared" si="1"/>
        <v>9.1093837139e-31</v>
      </c>
      <c r="H97" s="43">
        <f t="shared" si="2"/>
        <v>0</v>
      </c>
      <c r="I97" s="43" t="str">
        <f t="shared" si="3"/>
        <v>0.0000000028e-31</v>
      </c>
      <c r="J97" s="44">
        <f t="shared" si="4"/>
        <v>0</v>
      </c>
      <c r="K97" s="43" t="b">
        <f t="shared" si="5"/>
        <v>0</v>
      </c>
      <c r="L97" s="21" t="str">
        <f>IFERROR(__xludf.DUMMYFUNCTION("if(regexmatch(B97,""e(.*)$""),regexextract(B97,""e(.*)$""),"""")"),"-31")</f>
        <v>-31</v>
      </c>
      <c r="M97" s="45"/>
      <c r="N97" s="45">
        <f>countif(Constants!F:F,F97)</f>
        <v>1</v>
      </c>
      <c r="O97" s="21" t="str">
        <f>VLOOKUP($A97,Constants!$D:$D,1,false)</f>
        <v>electron mass</v>
      </c>
    </row>
    <row r="98">
      <c r="A98" s="6" t="s">
        <v>1004</v>
      </c>
      <c r="B98" s="6" t="s">
        <v>2379</v>
      </c>
      <c r="C98" s="6" t="s">
        <v>2380</v>
      </c>
      <c r="D98" s="6" t="s">
        <v>543</v>
      </c>
      <c r="E98" s="42">
        <f>countif(Constants!F:F,F98)</f>
        <v>1</v>
      </c>
      <c r="F98" s="21" t="str">
        <f>VLOOKUP($A98,Constants!$D:$F,3,false)</f>
        <v>ElectronMassEnergyEquivalent</v>
      </c>
      <c r="G98" s="43" t="str">
        <f t="shared" si="1"/>
        <v>8.1871057880e-14</v>
      </c>
      <c r="H98" s="43">
        <f t="shared" si="2"/>
        <v>0</v>
      </c>
      <c r="I98" s="43" t="str">
        <f t="shared" si="3"/>
        <v>0.0000000026e-14</v>
      </c>
      <c r="J98" s="44">
        <f t="shared" si="4"/>
        <v>0</v>
      </c>
      <c r="K98" s="43" t="b">
        <f t="shared" si="5"/>
        <v>0</v>
      </c>
      <c r="L98" s="21" t="str">
        <f>IFERROR(__xludf.DUMMYFUNCTION("if(regexmatch(B98,""e(.*)$""),regexextract(B98,""e(.*)$""),"""")"),"-14")</f>
        <v>-14</v>
      </c>
      <c r="M98" s="45"/>
      <c r="N98" s="45">
        <f>countif(Constants!F:F,F98)</f>
        <v>1</v>
      </c>
      <c r="O98" s="21" t="str">
        <f>VLOOKUP($A98,Constants!$D:$D,1,false)</f>
        <v>electron mass energy equivalent</v>
      </c>
    </row>
    <row r="99">
      <c r="A99" s="6" t="s">
        <v>1008</v>
      </c>
      <c r="B99" s="6" t="s">
        <v>2381</v>
      </c>
      <c r="C99" s="6" t="s">
        <v>2382</v>
      </c>
      <c r="D99" s="6" t="s">
        <v>548</v>
      </c>
      <c r="E99" s="42">
        <f>countif(Constants!F:F,F99)</f>
        <v>1</v>
      </c>
      <c r="F99" s="21" t="str">
        <f>VLOOKUP($A99,Constants!$D:$F,3,false)</f>
        <v>ElectronMassEnergyEquivalentInMeV</v>
      </c>
      <c r="G99" s="43" t="str">
        <f t="shared" si="1"/>
        <v>0.51099895069</v>
      </c>
      <c r="H99" s="43">
        <f t="shared" si="2"/>
        <v>0.5109989507</v>
      </c>
      <c r="I99" s="43" t="str">
        <f t="shared" si="3"/>
        <v>0.00000000016</v>
      </c>
      <c r="J99" s="44">
        <f t="shared" si="4"/>
        <v>0.00000000016</v>
      </c>
      <c r="K99" s="43" t="b">
        <f t="shared" si="5"/>
        <v>0</v>
      </c>
      <c r="L99" s="21" t="str">
        <f>IFERROR(__xludf.DUMMYFUNCTION("if(regexmatch(B99,""e(.*)$""),regexextract(B99,""e(.*)$""),"""")"),"")</f>
        <v/>
      </c>
      <c r="M99" s="45"/>
      <c r="N99" s="45">
        <f>countif(Constants!F:F,F99)</f>
        <v>1</v>
      </c>
      <c r="O99" s="21" t="str">
        <f>VLOOKUP($A99,Constants!$D:$D,1,false)</f>
        <v>electron mass energy equivalent in MeV</v>
      </c>
    </row>
    <row r="100">
      <c r="A100" s="6" t="s">
        <v>1011</v>
      </c>
      <c r="B100" s="6" t="s">
        <v>2383</v>
      </c>
      <c r="C100" s="6" t="s">
        <v>2384</v>
      </c>
      <c r="D100" s="6" t="s">
        <v>553</v>
      </c>
      <c r="E100" s="42">
        <f>countif(Constants!F:F,F100)</f>
        <v>1</v>
      </c>
      <c r="F100" s="21" t="str">
        <f>VLOOKUP($A100,Constants!$D:$F,3,false)</f>
        <v>ElectronMassInAtomicMassUnit</v>
      </c>
      <c r="G100" s="43" t="str">
        <f t="shared" si="1"/>
        <v>5.485799090441e-4</v>
      </c>
      <c r="H100" s="43">
        <f t="shared" si="2"/>
        <v>0.000548579909</v>
      </c>
      <c r="I100" s="43" t="str">
        <f t="shared" si="3"/>
        <v>0.000000000097e-4</v>
      </c>
      <c r="J100" s="44">
        <f t="shared" si="4"/>
        <v>0</v>
      </c>
      <c r="K100" s="43" t="b">
        <f t="shared" si="5"/>
        <v>0</v>
      </c>
      <c r="L100" s="21" t="str">
        <f>IFERROR(__xludf.DUMMYFUNCTION("if(regexmatch(B100,""e(.*)$""),regexextract(B100,""e(.*)$""),"""")"),"-4")</f>
        <v>-4</v>
      </c>
      <c r="M100" s="45"/>
      <c r="N100" s="45">
        <f>countif(Constants!F:F,F100)</f>
        <v>1</v>
      </c>
      <c r="O100" s="21" t="str">
        <f>VLOOKUP($A100,Constants!$D:$D,1,false)</f>
        <v>electron mass in u</v>
      </c>
    </row>
    <row r="101">
      <c r="A101" s="6" t="s">
        <v>1014</v>
      </c>
      <c r="B101" s="6" t="s">
        <v>2385</v>
      </c>
      <c r="C101" s="6" t="s">
        <v>2386</v>
      </c>
      <c r="D101" s="6" t="s">
        <v>557</v>
      </c>
      <c r="E101" s="42">
        <f>countif(Constants!F:F,F101)</f>
        <v>1</v>
      </c>
      <c r="F101" s="21" t="str">
        <f>VLOOKUP($A101,Constants!$D:$F,3,false)</f>
        <v>ElectronMolarMass</v>
      </c>
      <c r="G101" s="43" t="str">
        <f t="shared" si="1"/>
        <v>5.4857990962e-7</v>
      </c>
      <c r="H101" s="43">
        <f t="shared" si="2"/>
        <v>0.0000005485799096</v>
      </c>
      <c r="I101" s="43" t="str">
        <f t="shared" si="3"/>
        <v>0.0000000017e-7</v>
      </c>
      <c r="J101" s="44">
        <f t="shared" si="4"/>
        <v>0</v>
      </c>
      <c r="K101" s="43" t="b">
        <f t="shared" si="5"/>
        <v>0</v>
      </c>
      <c r="L101" s="21" t="str">
        <f>IFERROR(__xludf.DUMMYFUNCTION("if(regexmatch(B101,""e(.*)$""),regexextract(B101,""e(.*)$""),"""")"),"-7")</f>
        <v>-7</v>
      </c>
      <c r="M101" s="45"/>
      <c r="N101" s="45">
        <f>countif(Constants!F:F,F101)</f>
        <v>1</v>
      </c>
      <c r="O101" s="21" t="str">
        <f>VLOOKUP($A101,Constants!$D:$D,1,false)</f>
        <v>electron molar mass</v>
      </c>
    </row>
    <row r="102">
      <c r="A102" s="6" t="s">
        <v>1018</v>
      </c>
      <c r="B102" s="6" t="s">
        <v>2387</v>
      </c>
      <c r="C102" s="6" t="s">
        <v>2388</v>
      </c>
      <c r="E102" s="42">
        <f>countif(Constants!F:F,F102)</f>
        <v>1</v>
      </c>
      <c r="F102" s="21" t="str">
        <f>VLOOKUP($A102,Constants!$D:$F,3,false)</f>
        <v>ElectronMuonMagneticMomentRatio</v>
      </c>
      <c r="G102" s="43" t="str">
        <f t="shared" si="1"/>
        <v>206.7669881</v>
      </c>
      <c r="H102" s="43">
        <f t="shared" si="2"/>
        <v>206.7669881</v>
      </c>
      <c r="I102" s="43" t="str">
        <f t="shared" si="3"/>
        <v>0.0000046</v>
      </c>
      <c r="J102" s="44">
        <f t="shared" si="4"/>
        <v>0.0000046</v>
      </c>
      <c r="K102" s="43" t="b">
        <f t="shared" si="5"/>
        <v>0</v>
      </c>
      <c r="L102" s="21" t="str">
        <f>IFERROR(__xludf.DUMMYFUNCTION("if(regexmatch(B102,""e(.*)$""),regexextract(B102,""e(.*)$""),"""")"),"")</f>
        <v/>
      </c>
      <c r="M102" s="45"/>
      <c r="N102" s="45">
        <f>countif(Constants!F:F,F102)</f>
        <v>1</v>
      </c>
      <c r="O102" s="21" t="str">
        <f>VLOOKUP($A102,Constants!$D:$D,1,false)</f>
        <v>electron-muon mag. mom. ratio</v>
      </c>
    </row>
    <row r="103">
      <c r="A103" s="6" t="s">
        <v>1023</v>
      </c>
      <c r="B103" s="6" t="s">
        <v>2389</v>
      </c>
      <c r="C103" s="6" t="s">
        <v>2390</v>
      </c>
      <c r="E103" s="42">
        <f>countif(Constants!F:F,F103)</f>
        <v>1</v>
      </c>
      <c r="F103" s="21" t="str">
        <f>VLOOKUP($A103,Constants!$D:$F,3,false)</f>
        <v>ElectronMuonMassRatio</v>
      </c>
      <c r="G103" s="43" t="str">
        <f t="shared" si="1"/>
        <v>4.83633170e-3</v>
      </c>
      <c r="H103" s="43">
        <f t="shared" si="2"/>
        <v>0.0048363317</v>
      </c>
      <c r="I103" s="43" t="str">
        <f t="shared" si="3"/>
        <v>0.00000011e-3</v>
      </c>
      <c r="J103" s="44">
        <f t="shared" si="4"/>
        <v>0.00000000011</v>
      </c>
      <c r="K103" s="43" t="b">
        <f t="shared" si="5"/>
        <v>0</v>
      </c>
      <c r="L103" s="21" t="str">
        <f>IFERROR(__xludf.DUMMYFUNCTION("if(regexmatch(B103,""e(.*)$""),regexextract(B103,""e(.*)$""),"""")"),"-3")</f>
        <v>-3</v>
      </c>
      <c r="M103" s="45"/>
      <c r="N103" s="45">
        <f>countif(Constants!F:F,F103)</f>
        <v>1</v>
      </c>
      <c r="O103" s="21" t="str">
        <f>VLOOKUP($A103,Constants!$D:$D,1,false)</f>
        <v>electron-muon mass ratio</v>
      </c>
    </row>
    <row r="104">
      <c r="A104" s="6" t="s">
        <v>1028</v>
      </c>
      <c r="B104" s="6" t="s">
        <v>2391</v>
      </c>
      <c r="C104" s="6" t="s">
        <v>2392</v>
      </c>
      <c r="E104" s="42">
        <f>countif(Constants!F:F,F104)</f>
        <v>1</v>
      </c>
      <c r="F104" s="21" t="str">
        <f>VLOOKUP($A104,Constants!$D:$F,3,false)</f>
        <v>ElectronNeutronMagneticMomentRatio</v>
      </c>
      <c r="G104" s="43" t="str">
        <f t="shared" si="1"/>
        <v>960.92048</v>
      </c>
      <c r="H104" s="43">
        <f t="shared" si="2"/>
        <v>960.92048</v>
      </c>
      <c r="I104" s="43" t="str">
        <f t="shared" si="3"/>
        <v>0.00023</v>
      </c>
      <c r="J104" s="44">
        <f t="shared" si="4"/>
        <v>0.00023</v>
      </c>
      <c r="K104" s="43" t="b">
        <f t="shared" si="5"/>
        <v>0</v>
      </c>
      <c r="L104" s="21" t="str">
        <f>IFERROR(__xludf.DUMMYFUNCTION("if(regexmatch(B104,""e(.*)$""),regexextract(B104,""e(.*)$""),"""")"),"")</f>
        <v/>
      </c>
      <c r="M104" s="45"/>
      <c r="N104" s="45">
        <f>countif(Constants!F:F,F104)</f>
        <v>1</v>
      </c>
      <c r="O104" s="21" t="str">
        <f>VLOOKUP($A104,Constants!$D:$D,1,false)</f>
        <v>electron-neutron mag. mom. ratio</v>
      </c>
    </row>
    <row r="105">
      <c r="A105" s="6" t="s">
        <v>1033</v>
      </c>
      <c r="B105" s="6" t="s">
        <v>2393</v>
      </c>
      <c r="C105" s="6" t="s">
        <v>2394</v>
      </c>
      <c r="E105" s="42">
        <f>countif(Constants!F:F,F105)</f>
        <v>1</v>
      </c>
      <c r="F105" s="21" t="str">
        <f>VLOOKUP($A105,Constants!$D:$F,3,false)</f>
        <v>ElectronNeutronMassRatio</v>
      </c>
      <c r="G105" s="43" t="str">
        <f t="shared" si="1"/>
        <v>5.4386734416e-4</v>
      </c>
      <c r="H105" s="43">
        <f t="shared" si="2"/>
        <v>0.0005438673442</v>
      </c>
      <c r="I105" s="43" t="str">
        <f t="shared" si="3"/>
        <v>0.0000000022e-4</v>
      </c>
      <c r="J105" s="44">
        <f t="shared" si="4"/>
        <v>0</v>
      </c>
      <c r="K105" s="43" t="b">
        <f t="shared" si="5"/>
        <v>0</v>
      </c>
      <c r="L105" s="21" t="str">
        <f>IFERROR(__xludf.DUMMYFUNCTION("if(regexmatch(B105,""e(.*)$""),regexextract(B105,""e(.*)$""),"""")"),"-4")</f>
        <v>-4</v>
      </c>
      <c r="M105" s="45"/>
      <c r="N105" s="45">
        <f>countif(Constants!F:F,F105)</f>
        <v>1</v>
      </c>
      <c r="O105" s="21" t="str">
        <f>VLOOKUP($A105,Constants!$D:$D,1,false)</f>
        <v>electron-neutron mass ratio</v>
      </c>
    </row>
    <row r="106">
      <c r="A106" s="6" t="s">
        <v>1038</v>
      </c>
      <c r="B106" s="6" t="s">
        <v>2395</v>
      </c>
      <c r="C106" s="6" t="s">
        <v>2396</v>
      </c>
      <c r="E106" s="42">
        <f>countif(Constants!F:F,F106)</f>
        <v>1</v>
      </c>
      <c r="F106" s="21" t="str">
        <f>VLOOKUP($A106,Constants!$D:$F,3,false)</f>
        <v>ElectronProtonMagneticMomentRatio</v>
      </c>
      <c r="G106" s="43" t="str">
        <f t="shared" si="1"/>
        <v>-658.21068789</v>
      </c>
      <c r="H106" s="43">
        <f t="shared" si="2"/>
        <v>-658.2106879</v>
      </c>
      <c r="I106" s="43" t="str">
        <f t="shared" si="3"/>
        <v>0.00000019</v>
      </c>
      <c r="J106" s="44">
        <f t="shared" si="4"/>
        <v>0.00000019</v>
      </c>
      <c r="K106" s="43" t="b">
        <f t="shared" si="5"/>
        <v>0</v>
      </c>
      <c r="L106" s="21" t="str">
        <f>IFERROR(__xludf.DUMMYFUNCTION("if(regexmatch(B106,""e(.*)$""),regexextract(B106,""e(.*)$""),"""")"),"")</f>
        <v/>
      </c>
      <c r="M106" s="45"/>
      <c r="N106" s="45">
        <f>countif(Constants!F:F,F106)</f>
        <v>1</v>
      </c>
      <c r="O106" s="21" t="str">
        <f>VLOOKUP($A106,Constants!$D:$D,1,false)</f>
        <v>electron-proton mag. mom. ratio</v>
      </c>
    </row>
    <row r="107">
      <c r="A107" s="6" t="s">
        <v>1043</v>
      </c>
      <c r="B107" s="6" t="s">
        <v>2397</v>
      </c>
      <c r="C107" s="6" t="s">
        <v>2398</v>
      </c>
      <c r="E107" s="42">
        <f>countif(Constants!F:F,F107)</f>
        <v>1</v>
      </c>
      <c r="F107" s="21" t="str">
        <f>VLOOKUP($A107,Constants!$D:$F,3,false)</f>
        <v>ElectronProtonMassRatio</v>
      </c>
      <c r="G107" s="43" t="str">
        <f t="shared" si="1"/>
        <v>5.446170214889e-4</v>
      </c>
      <c r="H107" s="43">
        <f t="shared" si="2"/>
        <v>0.0005446170215</v>
      </c>
      <c r="I107" s="43" t="str">
        <f t="shared" si="3"/>
        <v>0.000000000094e-4</v>
      </c>
      <c r="J107" s="44">
        <f t="shared" si="4"/>
        <v>0</v>
      </c>
      <c r="K107" s="43" t="b">
        <f t="shared" si="5"/>
        <v>0</v>
      </c>
      <c r="L107" s="21" t="str">
        <f>IFERROR(__xludf.DUMMYFUNCTION("if(regexmatch(B107,""e(.*)$""),regexextract(B107,""e(.*)$""),"""")"),"-4")</f>
        <v>-4</v>
      </c>
      <c r="M107" s="45"/>
      <c r="N107" s="45">
        <f>countif(Constants!F:F,F107)</f>
        <v>1</v>
      </c>
      <c r="O107" s="21" t="str">
        <f>VLOOKUP($A107,Constants!$D:$D,1,false)</f>
        <v>electron-proton mass ratio</v>
      </c>
    </row>
    <row r="108">
      <c r="A108" s="6" t="s">
        <v>1048</v>
      </c>
      <c r="B108" s="6" t="s">
        <v>2383</v>
      </c>
      <c r="C108" s="6" t="s">
        <v>2384</v>
      </c>
      <c r="E108" s="42">
        <f>countif(Constants!F:F,F108)</f>
        <v>1</v>
      </c>
      <c r="F108" s="21" t="str">
        <f>VLOOKUP($A108,Constants!$D:$F,3,false)</f>
        <v>ElectronRelativeAtomicMass</v>
      </c>
      <c r="G108" s="43" t="str">
        <f t="shared" si="1"/>
        <v>5.485799090441e-4</v>
      </c>
      <c r="H108" s="43">
        <f t="shared" si="2"/>
        <v>0.000548579909</v>
      </c>
      <c r="I108" s="43" t="str">
        <f t="shared" si="3"/>
        <v>0.000000000097e-4</v>
      </c>
      <c r="J108" s="44">
        <f t="shared" si="4"/>
        <v>0</v>
      </c>
      <c r="K108" s="43" t="b">
        <f t="shared" si="5"/>
        <v>0</v>
      </c>
      <c r="L108" s="21" t="str">
        <f>IFERROR(__xludf.DUMMYFUNCTION("if(regexmatch(B108,""e(.*)$""),regexextract(B108,""e(.*)$""),"""")"),"-4")</f>
        <v>-4</v>
      </c>
      <c r="M108" s="45"/>
      <c r="N108" s="45">
        <f>countif(Constants!F:F,F108)</f>
        <v>1</v>
      </c>
      <c r="O108" s="21" t="str">
        <f>VLOOKUP($A108,Constants!$D:$D,1,false)</f>
        <v>electron relative atomic mass</v>
      </c>
    </row>
    <row r="109">
      <c r="A109" s="6" t="s">
        <v>1051</v>
      </c>
      <c r="B109" s="6" t="s">
        <v>2399</v>
      </c>
      <c r="C109" s="6" t="s">
        <v>2400</v>
      </c>
      <c r="E109" s="42">
        <f>countif(Constants!F:F,F109)</f>
        <v>1</v>
      </c>
      <c r="F109" s="21" t="str">
        <f>VLOOKUP($A109,Constants!$D:$F,3,false)</f>
        <v>ElectronTauMassRatio</v>
      </c>
      <c r="G109" s="43" t="str">
        <f t="shared" si="1"/>
        <v>2.87585e-4</v>
      </c>
      <c r="H109" s="43">
        <f t="shared" si="2"/>
        <v>0.000287585</v>
      </c>
      <c r="I109" s="43" t="str">
        <f t="shared" si="3"/>
        <v>0.00019e-4</v>
      </c>
      <c r="J109" s="44">
        <f t="shared" si="4"/>
        <v>0.000000019</v>
      </c>
      <c r="K109" s="43" t="b">
        <f t="shared" si="5"/>
        <v>0</v>
      </c>
      <c r="L109" s="21" t="str">
        <f>IFERROR(__xludf.DUMMYFUNCTION("if(regexmatch(B109,""e(.*)$""),regexextract(B109,""e(.*)$""),"""")"),"-4")</f>
        <v>-4</v>
      </c>
      <c r="M109" s="45"/>
      <c r="N109" s="45">
        <f>countif(Constants!F:F,F109)</f>
        <v>1</v>
      </c>
      <c r="O109" s="21" t="str">
        <f>VLOOKUP($A109,Constants!$D:$D,1,false)</f>
        <v>electron-tau mass ratio</v>
      </c>
    </row>
    <row r="110">
      <c r="A110" s="6" t="s">
        <v>1055</v>
      </c>
      <c r="B110" s="6" t="s">
        <v>2401</v>
      </c>
      <c r="C110" s="6" t="s">
        <v>2402</v>
      </c>
      <c r="E110" s="42">
        <f>countif(Constants!F:F,F110)</f>
        <v>1</v>
      </c>
      <c r="F110" s="21" t="str">
        <f>VLOOKUP($A110,Constants!$D:$F,3,false)</f>
        <v>ElectronToAlphaParticleMassRatio</v>
      </c>
      <c r="G110" s="43" t="str">
        <f t="shared" si="1"/>
        <v>1.370933554733e-4</v>
      </c>
      <c r="H110" s="43">
        <f t="shared" si="2"/>
        <v>0.0001370933555</v>
      </c>
      <c r="I110" s="43" t="str">
        <f t="shared" si="3"/>
        <v>0.000000000032e-4</v>
      </c>
      <c r="J110" s="44">
        <f t="shared" si="4"/>
        <v>0</v>
      </c>
      <c r="K110" s="43" t="b">
        <f t="shared" si="5"/>
        <v>0</v>
      </c>
      <c r="L110" s="21" t="str">
        <f>IFERROR(__xludf.DUMMYFUNCTION("if(regexmatch(B110,""e(.*)$""),regexextract(B110,""e(.*)$""),"""")"),"-4")</f>
        <v>-4</v>
      </c>
      <c r="M110" s="45"/>
      <c r="N110" s="45">
        <f>countif(Constants!F:F,F110)</f>
        <v>1</v>
      </c>
      <c r="O110" s="21" t="str">
        <f>VLOOKUP($A110,Constants!$D:$D,1,false)</f>
        <v>electron to alpha particle mass ratio</v>
      </c>
    </row>
    <row r="111">
      <c r="A111" s="6" t="s">
        <v>1059</v>
      </c>
      <c r="B111" s="6" t="s">
        <v>2403</v>
      </c>
      <c r="C111" s="6" t="s">
        <v>2404</v>
      </c>
      <c r="E111" s="42">
        <f>countif(Constants!F:F,F111)</f>
        <v>1</v>
      </c>
      <c r="F111" s="21" t="str">
        <f>VLOOKUP($A111,Constants!$D:$F,3,false)</f>
        <v>ElectronToShieldedHelionMagneticMomentRatio</v>
      </c>
      <c r="G111" s="43" t="str">
        <f t="shared" si="1"/>
        <v>864.05823986</v>
      </c>
      <c r="H111" s="43">
        <f t="shared" si="2"/>
        <v>864.0582399</v>
      </c>
      <c r="I111" s="43" t="str">
        <f t="shared" si="3"/>
        <v>0.00000070</v>
      </c>
      <c r="J111" s="44">
        <f t="shared" si="4"/>
        <v>0.0000007</v>
      </c>
      <c r="K111" s="43" t="b">
        <f t="shared" si="5"/>
        <v>0</v>
      </c>
      <c r="L111" s="21" t="str">
        <f>IFERROR(__xludf.DUMMYFUNCTION("if(regexmatch(B111,""e(.*)$""),regexextract(B111,""e(.*)$""),"""")"),"")</f>
        <v/>
      </c>
      <c r="M111" s="45"/>
      <c r="N111" s="45">
        <f>countif(Constants!F:F,F111)</f>
        <v>1</v>
      </c>
      <c r="O111" s="21" t="str">
        <f>VLOOKUP($A111,Constants!$D:$D,1,false)</f>
        <v>electron to shielded helion mag. mom. ratio</v>
      </c>
    </row>
    <row r="112">
      <c r="A112" s="6" t="s">
        <v>1064</v>
      </c>
      <c r="B112" s="6" t="s">
        <v>2405</v>
      </c>
      <c r="C112" s="6" t="s">
        <v>2406</v>
      </c>
      <c r="E112" s="42">
        <f>countif(Constants!F:F,F112)</f>
        <v>1</v>
      </c>
      <c r="F112" s="21" t="str">
        <f>VLOOKUP($A112,Constants!$D:$F,3,false)</f>
        <v>ElectronToShieldedProtonMagneticMomentRatio</v>
      </c>
      <c r="G112" s="43" t="str">
        <f t="shared" si="1"/>
        <v>-658.2275856</v>
      </c>
      <c r="H112" s="43">
        <f t="shared" si="2"/>
        <v>-658.2275856</v>
      </c>
      <c r="I112" s="43" t="str">
        <f t="shared" si="3"/>
        <v>0.0000027</v>
      </c>
      <c r="J112" s="44">
        <f t="shared" si="4"/>
        <v>0.0000027</v>
      </c>
      <c r="K112" s="43" t="b">
        <f t="shared" si="5"/>
        <v>0</v>
      </c>
      <c r="L112" s="21" t="str">
        <f>IFERROR(__xludf.DUMMYFUNCTION("if(regexmatch(B112,""e(.*)$""),regexextract(B112,""e(.*)$""),"""")"),"")</f>
        <v/>
      </c>
      <c r="M112" s="45"/>
      <c r="N112" s="45">
        <f>countif(Constants!F:F,F112)</f>
        <v>1</v>
      </c>
      <c r="O112" s="21" t="str">
        <f>VLOOKUP($A112,Constants!$D:$D,1,false)</f>
        <v>electron to shielded proton mag. mom. ratio</v>
      </c>
    </row>
    <row r="113">
      <c r="A113" s="6" t="s">
        <v>1069</v>
      </c>
      <c r="B113" s="6" t="s">
        <v>2407</v>
      </c>
      <c r="C113" s="6" t="s">
        <v>2408</v>
      </c>
      <c r="E113" s="42">
        <f>countif(Constants!F:F,F113)</f>
        <v>1</v>
      </c>
      <c r="F113" s="21" t="str">
        <f>VLOOKUP($A113,Constants!$D:$F,3,false)</f>
        <v>Electron-TritonMassRatio</v>
      </c>
      <c r="G113" s="43" t="str">
        <f t="shared" si="1"/>
        <v>1.819200062327e-4</v>
      </c>
      <c r="H113" s="43">
        <f t="shared" si="2"/>
        <v>0.0001819200062</v>
      </c>
      <c r="I113" s="43" t="str">
        <f t="shared" si="3"/>
        <v>0.000000000068e-4</v>
      </c>
      <c r="J113" s="44">
        <f t="shared" si="4"/>
        <v>0</v>
      </c>
      <c r="K113" s="43" t="b">
        <f t="shared" si="5"/>
        <v>0</v>
      </c>
      <c r="L113" s="21" t="str">
        <f>IFERROR(__xludf.DUMMYFUNCTION("if(regexmatch(B113,""e(.*)$""),regexextract(B113,""e(.*)$""),"""")"),"-4")</f>
        <v>-4</v>
      </c>
      <c r="M113" s="45"/>
      <c r="N113" s="45">
        <f>countif(Constants!F:F,F113)</f>
        <v>1</v>
      </c>
      <c r="O113" s="21" t="str">
        <f>VLOOKUP($A113,Constants!$D:$D,1,false)</f>
        <v>electron-triton mass ratio</v>
      </c>
    </row>
    <row r="114">
      <c r="A114" s="6" t="s">
        <v>1073</v>
      </c>
      <c r="B114" s="6" t="s">
        <v>2262</v>
      </c>
      <c r="C114" s="6" t="s">
        <v>2261</v>
      </c>
      <c r="D114" s="6" t="s">
        <v>543</v>
      </c>
      <c r="E114" s="42">
        <f>countif(Constants!F:F,F114)</f>
        <v>1</v>
      </c>
      <c r="F114" s="21" t="str">
        <f>VLOOKUP($A114,Constants!$D:$F,3,false)</f>
        <v>ElectronVolt</v>
      </c>
      <c r="G114" s="43" t="str">
        <f t="shared" si="1"/>
        <v>1.602176634e-19</v>
      </c>
      <c r="H114" s="43">
        <f t="shared" si="2"/>
        <v>0</v>
      </c>
      <c r="I114" s="43" t="str">
        <f t="shared" si="3"/>
        <v>(exact)</v>
      </c>
      <c r="J114" s="44" t="str">
        <f t="shared" si="4"/>
        <v/>
      </c>
      <c r="K114" s="43" t="b">
        <f t="shared" si="5"/>
        <v>0</v>
      </c>
      <c r="L114" s="21" t="str">
        <f>IFERROR(__xludf.DUMMYFUNCTION("if(regexmatch(B114,""e(.*)$""),regexextract(B114,""e(.*)$""),"""")"),"-19")</f>
        <v>-19</v>
      </c>
      <c r="M114" s="45"/>
      <c r="N114" s="45">
        <f>countif(Constants!F:F,F114)</f>
        <v>1</v>
      </c>
      <c r="O114" s="21" t="str">
        <f>VLOOKUP($A114,Constants!$D:$D,1,false)</f>
        <v>electron volt</v>
      </c>
    </row>
    <row r="115">
      <c r="A115" s="6" t="s">
        <v>1078</v>
      </c>
      <c r="B115" s="6" t="s">
        <v>2409</v>
      </c>
      <c r="C115" s="6" t="s">
        <v>2410</v>
      </c>
      <c r="D115" s="6" t="s">
        <v>553</v>
      </c>
      <c r="E115" s="42">
        <f>countif(Constants!F:F,F115)</f>
        <v>1</v>
      </c>
      <c r="F115" s="21" t="str">
        <f>VLOOKUP($A115,Constants!$D:$F,3,false)</f>
        <v>ElectronVoltAtomicMassUnitRelationship</v>
      </c>
      <c r="G115" s="43" t="str">
        <f t="shared" si="1"/>
        <v>1.07354410083e-9</v>
      </c>
      <c r="H115" s="43">
        <f t="shared" si="2"/>
        <v>0.000000001073544101</v>
      </c>
      <c r="I115" s="43" t="str">
        <f t="shared" si="3"/>
        <v>0.00000000033e-9</v>
      </c>
      <c r="J115" s="44">
        <f t="shared" si="4"/>
        <v>0</v>
      </c>
      <c r="K115" s="43" t="b">
        <f t="shared" si="5"/>
        <v>0</v>
      </c>
      <c r="L115" s="21" t="str">
        <f>IFERROR(__xludf.DUMMYFUNCTION("if(regexmatch(B115,""e(.*)$""),regexextract(B115,""e(.*)$""),"""")"),"-9")</f>
        <v>-9</v>
      </c>
      <c r="M115" s="45"/>
      <c r="N115" s="45">
        <f>countif(Constants!F:F,F115)</f>
        <v>1</v>
      </c>
      <c r="O115" s="21" t="str">
        <f>VLOOKUP($A115,Constants!$D:$D,1,false)</f>
        <v>electron volt-atomic mass unit relationship</v>
      </c>
    </row>
    <row r="116">
      <c r="A116" s="6" t="s">
        <v>1084</v>
      </c>
      <c r="B116" s="6" t="s">
        <v>2411</v>
      </c>
      <c r="C116" s="6" t="s">
        <v>2412</v>
      </c>
      <c r="D116" s="6" t="s">
        <v>593</v>
      </c>
      <c r="E116" s="42">
        <f>countif(Constants!F:F,F116)</f>
        <v>1</v>
      </c>
      <c r="F116" s="21" t="str">
        <f>VLOOKUP($A116,Constants!$D:$F,3,false)</f>
        <v>ElectronVoltHartreeRelationship</v>
      </c>
      <c r="G116" s="43" t="str">
        <f t="shared" si="1"/>
        <v>3.6749322175665e-2</v>
      </c>
      <c r="H116" s="43">
        <f t="shared" si="2"/>
        <v>0.03674932218</v>
      </c>
      <c r="I116" s="43" t="str">
        <f t="shared" si="3"/>
        <v>0.0000000000040e-2</v>
      </c>
      <c r="J116" s="44">
        <f t="shared" si="4"/>
        <v>0</v>
      </c>
      <c r="K116" s="43" t="b">
        <f t="shared" si="5"/>
        <v>0</v>
      </c>
      <c r="L116" s="21" t="str">
        <f>IFERROR(__xludf.DUMMYFUNCTION("if(regexmatch(B116,""e(.*)$""),regexextract(B116,""e(.*)$""),"""")"),"-2")</f>
        <v>-2</v>
      </c>
      <c r="M116" s="45"/>
      <c r="N116" s="45">
        <f>countif(Constants!F:F,F116)</f>
        <v>1</v>
      </c>
      <c r="O116" s="21" t="str">
        <f>VLOOKUP($A116,Constants!$D:$D,1,false)</f>
        <v>electron volt-hartree relationship</v>
      </c>
    </row>
    <row r="117">
      <c r="A117" s="6" t="s">
        <v>1090</v>
      </c>
      <c r="B117" s="6" t="s">
        <v>2413</v>
      </c>
      <c r="C117" s="6" t="s">
        <v>2261</v>
      </c>
      <c r="D117" s="6" t="s">
        <v>600</v>
      </c>
      <c r="E117" s="42">
        <f>countif(Constants!F:F,F117)</f>
        <v>1</v>
      </c>
      <c r="F117" s="21" t="str">
        <f>VLOOKUP($A117,Constants!$D:$F,3,false)</f>
        <v>ElectronVoltHertzRelationship</v>
      </c>
      <c r="G117" s="43" t="str">
        <f t="shared" si="1"/>
        <v>2.417989242e14</v>
      </c>
      <c r="H117" s="43">
        <f t="shared" si="2"/>
        <v>241798924200000</v>
      </c>
      <c r="I117" s="43" t="str">
        <f t="shared" si="3"/>
        <v>(exact)</v>
      </c>
      <c r="J117" s="44" t="str">
        <f t="shared" si="4"/>
        <v/>
      </c>
      <c r="K117" s="43" t="b">
        <f t="shared" si="5"/>
        <v>0</v>
      </c>
      <c r="L117" s="21" t="str">
        <f>IFERROR(__xludf.DUMMYFUNCTION("if(regexmatch(B117,""e(.*)$""),regexextract(B117,""e(.*)$""),"""")"),"14")</f>
        <v>14</v>
      </c>
      <c r="M117" s="45"/>
      <c r="N117" s="45">
        <f>countif(Constants!F:F,F117)</f>
        <v>1</v>
      </c>
      <c r="O117" s="21" t="str">
        <f>VLOOKUP($A117,Constants!$D:$D,1,false)</f>
        <v>electron volt-hertz relationship</v>
      </c>
    </row>
    <row r="118">
      <c r="A118" s="6" t="s">
        <v>1096</v>
      </c>
      <c r="B118" s="6" t="s">
        <v>2414</v>
      </c>
      <c r="C118" s="6" t="s">
        <v>2261</v>
      </c>
      <c r="D118" s="6" t="s">
        <v>606</v>
      </c>
      <c r="E118" s="42">
        <f>countif(Constants!F:F,F118)</f>
        <v>1</v>
      </c>
      <c r="F118" s="21" t="str">
        <f>VLOOKUP($A118,Constants!$D:$F,3,false)</f>
        <v>ElectronVoltInverseMeterRelationship</v>
      </c>
      <c r="G118" s="43" t="str">
        <f t="shared" si="1"/>
        <v>8.065543937e5</v>
      </c>
      <c r="H118" s="43">
        <f t="shared" si="2"/>
        <v>806554.3937</v>
      </c>
      <c r="I118" s="43" t="str">
        <f t="shared" si="3"/>
        <v>(exact)</v>
      </c>
      <c r="J118" s="44" t="str">
        <f t="shared" si="4"/>
        <v/>
      </c>
      <c r="K118" s="43" t="b">
        <f t="shared" si="5"/>
        <v>0</v>
      </c>
      <c r="L118" s="21" t="str">
        <f>IFERROR(__xludf.DUMMYFUNCTION("if(regexmatch(B118,""e(.*)$""),regexextract(B118,""e(.*)$""),"""")"),"5")</f>
        <v>5</v>
      </c>
      <c r="M118" s="45"/>
      <c r="N118" s="45">
        <f>countif(Constants!F:F,F118)</f>
        <v>1</v>
      </c>
      <c r="O118" s="21" t="str">
        <f>VLOOKUP($A118,Constants!$D:$D,1,false)</f>
        <v>electron volt-inverse meter relationship</v>
      </c>
    </row>
    <row r="119">
      <c r="A119" s="6" t="s">
        <v>1102</v>
      </c>
      <c r="B119" s="6" t="s">
        <v>2262</v>
      </c>
      <c r="C119" s="6" t="s">
        <v>2261</v>
      </c>
      <c r="D119" s="6" t="s">
        <v>543</v>
      </c>
      <c r="E119" s="42">
        <f>countif(Constants!F:F,F119)</f>
        <v>1</v>
      </c>
      <c r="F119" s="21" t="str">
        <f>VLOOKUP($A119,Constants!$D:$F,3,false)</f>
        <v>ElectronVoltJouleRelationship</v>
      </c>
      <c r="G119" s="43" t="str">
        <f t="shared" si="1"/>
        <v>1.602176634e-19</v>
      </c>
      <c r="H119" s="43">
        <f t="shared" si="2"/>
        <v>0</v>
      </c>
      <c r="I119" s="43" t="str">
        <f t="shared" si="3"/>
        <v>(exact)</v>
      </c>
      <c r="J119" s="44" t="str">
        <f t="shared" si="4"/>
        <v/>
      </c>
      <c r="K119" s="43" t="b">
        <f t="shared" si="5"/>
        <v>0</v>
      </c>
      <c r="L119" s="21" t="str">
        <f>IFERROR(__xludf.DUMMYFUNCTION("if(regexmatch(B119,""e(.*)$""),regexextract(B119,""e(.*)$""),"""")"),"-19")</f>
        <v>-19</v>
      </c>
      <c r="M119" s="45"/>
      <c r="N119" s="45">
        <f>countif(Constants!F:F,F119)</f>
        <v>1</v>
      </c>
      <c r="O119" s="21" t="str">
        <f>VLOOKUP($A119,Constants!$D:$D,1,false)</f>
        <v>electron volt-joule relationship</v>
      </c>
    </row>
    <row r="120">
      <c r="A120" s="6" t="s">
        <v>1108</v>
      </c>
      <c r="B120" s="6" t="s">
        <v>2415</v>
      </c>
      <c r="C120" s="6" t="s">
        <v>2261</v>
      </c>
      <c r="D120" s="6" t="s">
        <v>618</v>
      </c>
      <c r="E120" s="42">
        <f>countif(Constants!F:F,F120)</f>
        <v>1</v>
      </c>
      <c r="F120" s="21" t="str">
        <f>VLOOKUP($A120,Constants!$D:$F,3,false)</f>
        <v>ElectronVoltKelvinRelationship</v>
      </c>
      <c r="G120" s="43" t="str">
        <f t="shared" si="1"/>
        <v>1.160451812e4</v>
      </c>
      <c r="H120" s="43">
        <f t="shared" si="2"/>
        <v>11604.51812</v>
      </c>
      <c r="I120" s="43" t="str">
        <f t="shared" si="3"/>
        <v>(exact)</v>
      </c>
      <c r="J120" s="44" t="str">
        <f t="shared" si="4"/>
        <v/>
      </c>
      <c r="K120" s="43" t="b">
        <f t="shared" si="5"/>
        <v>0</v>
      </c>
      <c r="L120" s="21" t="str">
        <f>IFERROR(__xludf.DUMMYFUNCTION("if(regexmatch(B120,""e(.*)$""),regexextract(B120,""e(.*)$""),"""")"),"4")</f>
        <v>4</v>
      </c>
      <c r="M120" s="45"/>
      <c r="N120" s="45">
        <f>countif(Constants!F:F,F120)</f>
        <v>1</v>
      </c>
      <c r="O120" s="21" t="str">
        <f>VLOOKUP($A120,Constants!$D:$D,1,false)</f>
        <v>electron volt-kelvin relationship</v>
      </c>
    </row>
    <row r="121">
      <c r="A121" s="6" t="s">
        <v>1114</v>
      </c>
      <c r="B121" s="6" t="s">
        <v>2416</v>
      </c>
      <c r="C121" s="6" t="s">
        <v>2261</v>
      </c>
      <c r="D121" s="6" t="s">
        <v>538</v>
      </c>
      <c r="E121" s="42">
        <f>countif(Constants!F:F,F121)</f>
        <v>1</v>
      </c>
      <c r="F121" s="21" t="str">
        <f>VLOOKUP($A121,Constants!$D:$F,3,false)</f>
        <v>ElectronVoltKilogramRelationship</v>
      </c>
      <c r="G121" s="43" t="str">
        <f t="shared" si="1"/>
        <v>1.782661921e-36</v>
      </c>
      <c r="H121" s="43">
        <f t="shared" si="2"/>
        <v>0</v>
      </c>
      <c r="I121" s="43" t="str">
        <f t="shared" si="3"/>
        <v>(exact)</v>
      </c>
      <c r="J121" s="44" t="str">
        <f t="shared" si="4"/>
        <v/>
      </c>
      <c r="K121" s="43" t="b">
        <f t="shared" si="5"/>
        <v>0</v>
      </c>
      <c r="L121" s="21" t="str">
        <f>IFERROR(__xludf.DUMMYFUNCTION("if(regexmatch(B121,""e(.*)$""),regexextract(B121,""e(.*)$""),"""")"),"-36")</f>
        <v>-36</v>
      </c>
      <c r="M121" s="45"/>
      <c r="N121" s="45">
        <f>countif(Constants!F:F,F121)</f>
        <v>1</v>
      </c>
      <c r="O121" s="21" t="str">
        <f>VLOOKUP($A121,Constants!$D:$D,1,false)</f>
        <v>electron volt-kilogram relationship</v>
      </c>
    </row>
    <row r="122">
      <c r="A122" s="6" t="s">
        <v>1118</v>
      </c>
      <c r="B122" s="6" t="s">
        <v>2262</v>
      </c>
      <c r="C122" s="6" t="s">
        <v>2261</v>
      </c>
      <c r="D122" s="6" t="s">
        <v>649</v>
      </c>
      <c r="E122" s="42">
        <f>countif(Constants!F:F,F122)</f>
        <v>1</v>
      </c>
      <c r="F122" s="21" t="str">
        <f>VLOOKUP($A122,Constants!$D:$F,3,false)</f>
        <v>ElementaryCharge</v>
      </c>
      <c r="G122" s="43" t="str">
        <f t="shared" si="1"/>
        <v>1.602176634e-19</v>
      </c>
      <c r="H122" s="43">
        <f t="shared" si="2"/>
        <v>0</v>
      </c>
      <c r="I122" s="43" t="str">
        <f t="shared" si="3"/>
        <v>(exact)</v>
      </c>
      <c r="J122" s="44" t="str">
        <f t="shared" si="4"/>
        <v/>
      </c>
      <c r="K122" s="43" t="b">
        <f t="shared" si="5"/>
        <v>0</v>
      </c>
      <c r="L122" s="21" t="str">
        <f>IFERROR(__xludf.DUMMYFUNCTION("if(regexmatch(B122,""e(.*)$""),regexextract(B122,""e(.*)$""),"""")"),"-19")</f>
        <v>-19</v>
      </c>
      <c r="M122" s="45"/>
      <c r="N122" s="45">
        <f>countif(Constants!F:F,F122)</f>
        <v>1</v>
      </c>
      <c r="O122" s="21" t="str">
        <f>VLOOKUP($A122,Constants!$D:$D,1,false)</f>
        <v>elementary charge</v>
      </c>
    </row>
    <row r="123">
      <c r="A123" s="6" t="s">
        <v>1123</v>
      </c>
      <c r="B123" s="6" t="s">
        <v>2417</v>
      </c>
      <c r="C123" s="6" t="s">
        <v>2261</v>
      </c>
      <c r="D123" s="6" t="s">
        <v>1124</v>
      </c>
      <c r="E123" s="42">
        <f>countif(Constants!F:F,F123)</f>
        <v>1</v>
      </c>
      <c r="F123" s="21" t="str">
        <f>VLOOKUP($A123,Constants!$D:$F,3,false)</f>
        <v>ElementaryChargeOverH</v>
      </c>
      <c r="G123" s="43" t="str">
        <f t="shared" si="1"/>
        <v>1.519267447e15</v>
      </c>
      <c r="H123" s="43">
        <f t="shared" si="2"/>
        <v>1.51927E+15</v>
      </c>
      <c r="I123" s="43" t="str">
        <f t="shared" si="3"/>
        <v>(exact)</v>
      </c>
      <c r="J123" s="44" t="str">
        <f t="shared" si="4"/>
        <v/>
      </c>
      <c r="K123" s="43" t="b">
        <f t="shared" si="5"/>
        <v>0</v>
      </c>
      <c r="L123" s="21" t="str">
        <f>IFERROR(__xludf.DUMMYFUNCTION("if(regexmatch(B123,""e(.*)$""),regexextract(B123,""e(.*)$""),"""")"),"15")</f>
        <v>15</v>
      </c>
      <c r="M123" s="45"/>
      <c r="N123" s="45">
        <f>countif(Constants!F:F,F123)</f>
        <v>1</v>
      </c>
      <c r="O123" s="21" t="str">
        <f>VLOOKUP($A123,Constants!$D:$D,1,false)</f>
        <v>elementary charge over h-bar</v>
      </c>
    </row>
    <row r="124">
      <c r="A124" s="6" t="s">
        <v>1129</v>
      </c>
      <c r="B124" s="6" t="s">
        <v>2418</v>
      </c>
      <c r="C124" s="6" t="s">
        <v>2261</v>
      </c>
      <c r="D124" s="6" t="s">
        <v>1130</v>
      </c>
      <c r="E124" s="42">
        <f>countif(Constants!F:F,F124)</f>
        <v>1</v>
      </c>
      <c r="F124" s="21" t="str">
        <f>VLOOKUP($A124,Constants!$D:$F,3,false)</f>
        <v>FaradayConstant</v>
      </c>
      <c r="G124" s="43" t="str">
        <f t="shared" si="1"/>
        <v>96485.33212</v>
      </c>
      <c r="H124" s="43">
        <f t="shared" si="2"/>
        <v>96485.33212</v>
      </c>
      <c r="I124" s="43" t="str">
        <f t="shared" si="3"/>
        <v>(exact)</v>
      </c>
      <c r="J124" s="44" t="str">
        <f t="shared" si="4"/>
        <v/>
      </c>
      <c r="K124" s="43" t="b">
        <f t="shared" si="5"/>
        <v>0</v>
      </c>
      <c r="L124" s="21" t="str">
        <f>IFERROR(__xludf.DUMMYFUNCTION("if(regexmatch(B124,""e(.*)$""),regexextract(B124,""e(.*)$""),"""")"),"")</f>
        <v/>
      </c>
      <c r="M124" s="45"/>
      <c r="N124" s="45">
        <f>countif(Constants!F:F,F124)</f>
        <v>1</v>
      </c>
      <c r="O124" s="21" t="str">
        <f>VLOOKUP($A124,Constants!$D:$D,1,false)</f>
        <v>Faraday constant</v>
      </c>
    </row>
    <row r="125">
      <c r="A125" s="6" t="s">
        <v>1140</v>
      </c>
      <c r="B125" s="6" t="s">
        <v>2419</v>
      </c>
      <c r="C125" s="6" t="s">
        <v>2420</v>
      </c>
      <c r="D125" s="6" t="s">
        <v>1141</v>
      </c>
      <c r="E125" s="42">
        <f>countif(Constants!F:F,F125)</f>
        <v>1</v>
      </c>
      <c r="F125" s="21" t="str">
        <f>VLOOKUP($A125,Constants!$D:$F,3,false)</f>
        <v>FermiCouplingConstant</v>
      </c>
      <c r="G125" s="43" t="str">
        <f t="shared" si="1"/>
        <v>1.1663787e-5</v>
      </c>
      <c r="H125" s="43">
        <f t="shared" si="2"/>
        <v>0.000011663787</v>
      </c>
      <c r="I125" s="43" t="str">
        <f t="shared" si="3"/>
        <v>0.0000006e-5</v>
      </c>
      <c r="J125" s="44">
        <f t="shared" si="4"/>
        <v>0</v>
      </c>
      <c r="K125" s="43" t="b">
        <f t="shared" si="5"/>
        <v>0</v>
      </c>
      <c r="L125" s="21" t="str">
        <f>IFERROR(__xludf.DUMMYFUNCTION("if(regexmatch(B125,""e(.*)$""),regexextract(B125,""e(.*)$""),"""")"),"-5")</f>
        <v>-5</v>
      </c>
      <c r="M125" s="45"/>
      <c r="N125" s="45">
        <f>countif(Constants!F:F,F125)</f>
        <v>1</v>
      </c>
      <c r="O125" s="21" t="str">
        <f>VLOOKUP($A125,Constants!$D:$D,1,false)</f>
        <v>Fermi coupling constant</v>
      </c>
    </row>
    <row r="126">
      <c r="A126" s="6" t="s">
        <v>1146</v>
      </c>
      <c r="B126" s="6" t="s">
        <v>2421</v>
      </c>
      <c r="C126" s="6" t="s">
        <v>2422</v>
      </c>
      <c r="E126" s="42">
        <f>countif(Constants!F:F,F126)</f>
        <v>1</v>
      </c>
      <c r="F126" s="21" t="str">
        <f>VLOOKUP($A126,Constants!$D:$F,3,false)</f>
        <v>FineStructureConstant</v>
      </c>
      <c r="G126" s="43" t="str">
        <f t="shared" si="1"/>
        <v>7.2973525643e-3</v>
      </c>
      <c r="H126" s="43">
        <f t="shared" si="2"/>
        <v>0.007297352564</v>
      </c>
      <c r="I126" s="43" t="str">
        <f t="shared" si="3"/>
        <v>0.0000000011e-3</v>
      </c>
      <c r="J126" s="44">
        <f t="shared" si="4"/>
        <v>0</v>
      </c>
      <c r="K126" s="43" t="b">
        <f t="shared" si="5"/>
        <v>0</v>
      </c>
      <c r="L126" s="21" t="str">
        <f>IFERROR(__xludf.DUMMYFUNCTION("if(regexmatch(B126,""e(.*)$""),regexextract(B126,""e(.*)$""),"""")"),"-3")</f>
        <v>-3</v>
      </c>
      <c r="M126" s="45"/>
      <c r="N126" s="45">
        <f>countif(Constants!F:F,F126)</f>
        <v>1</v>
      </c>
      <c r="O126" s="21" t="str">
        <f>VLOOKUP($A126,Constants!$D:$D,1,false)</f>
        <v>fine-structure constant</v>
      </c>
    </row>
    <row r="127">
      <c r="A127" s="6" t="s">
        <v>1150</v>
      </c>
      <c r="B127" s="6" t="s">
        <v>2423</v>
      </c>
      <c r="C127" s="6" t="s">
        <v>2261</v>
      </c>
      <c r="D127" s="6" t="s">
        <v>1151</v>
      </c>
      <c r="E127" s="42">
        <f>countif(Constants!F:F,F127)</f>
        <v>1</v>
      </c>
      <c r="F127" s="21" t="str">
        <f>VLOOKUP($A127,Constants!$D:$F,3,false)</f>
        <v>FirstRadiationConstant</v>
      </c>
      <c r="G127" s="43" t="str">
        <f t="shared" si="1"/>
        <v>3.741771852e-16</v>
      </c>
      <c r="H127" s="43">
        <f t="shared" si="2"/>
        <v>0</v>
      </c>
      <c r="I127" s="43" t="str">
        <f t="shared" si="3"/>
        <v>(exact)</v>
      </c>
      <c r="J127" s="44" t="str">
        <f t="shared" si="4"/>
        <v/>
      </c>
      <c r="K127" s="43" t="b">
        <f t="shared" si="5"/>
        <v>0</v>
      </c>
      <c r="L127" s="21" t="str">
        <f>IFERROR(__xludf.DUMMYFUNCTION("if(regexmatch(B127,""e(.*)$""),regexextract(B127,""e(.*)$""),"""")"),"-16")</f>
        <v>-16</v>
      </c>
      <c r="M127" s="45"/>
      <c r="N127" s="45">
        <f>countif(Constants!F:F,F127)</f>
        <v>1</v>
      </c>
      <c r="O127" s="21" t="str">
        <f>VLOOKUP($A127,Constants!$D:$D,1,false)</f>
        <v>first radiation constant</v>
      </c>
    </row>
    <row r="128">
      <c r="A128" s="6" t="s">
        <v>1156</v>
      </c>
      <c r="B128" s="6" t="s">
        <v>2424</v>
      </c>
      <c r="C128" s="6" t="s">
        <v>2261</v>
      </c>
      <c r="D128" s="6" t="s">
        <v>1157</v>
      </c>
      <c r="E128" s="42">
        <f>countif(Constants!F:F,F128)</f>
        <v>1</v>
      </c>
      <c r="F128" s="21" t="str">
        <f>VLOOKUP($A128,Constants!$D:$F,3,false)</f>
        <v>FirstRadiationConstantForSpectralRadiance</v>
      </c>
      <c r="G128" s="43" t="str">
        <f t="shared" si="1"/>
        <v>1.191042972e-16</v>
      </c>
      <c r="H128" s="43">
        <f t="shared" si="2"/>
        <v>0</v>
      </c>
      <c r="I128" s="43" t="str">
        <f t="shared" si="3"/>
        <v>(exact)</v>
      </c>
      <c r="J128" s="44" t="str">
        <f t="shared" si="4"/>
        <v/>
      </c>
      <c r="K128" s="43" t="b">
        <f t="shared" si="5"/>
        <v>0</v>
      </c>
      <c r="L128" s="21" t="str">
        <f>IFERROR(__xludf.DUMMYFUNCTION("if(regexmatch(B128,""e(.*)$""),regexextract(B128,""e(.*)$""),"""")"),"-16")</f>
        <v>-16</v>
      </c>
      <c r="M128" s="45"/>
      <c r="N128" s="45">
        <f>countif(Constants!F:F,F128)</f>
        <v>1</v>
      </c>
      <c r="O128" s="21" t="str">
        <f>VLOOKUP($A128,Constants!$D:$D,1,false)</f>
        <v>first radiation constant for spectral radiance</v>
      </c>
    </row>
    <row r="129">
      <c r="A129" s="6" t="s">
        <v>1162</v>
      </c>
      <c r="B129" s="6" t="s">
        <v>2425</v>
      </c>
      <c r="C129" s="6" t="s">
        <v>2426</v>
      </c>
      <c r="D129" s="6" t="s">
        <v>553</v>
      </c>
      <c r="E129" s="42">
        <f>countif(Constants!F:F,F129)</f>
        <v>1</v>
      </c>
      <c r="F129" s="21" t="str">
        <f>VLOOKUP($A129,Constants!$D:$F,3,false)</f>
        <v>HartreeAtomicMassUnitRelationship</v>
      </c>
      <c r="G129" s="43" t="str">
        <f t="shared" si="1"/>
        <v>2.92126231797e-8</v>
      </c>
      <c r="H129" s="43">
        <f t="shared" si="2"/>
        <v>0.00000002921262318</v>
      </c>
      <c r="I129" s="43" t="str">
        <f t="shared" si="3"/>
        <v>0.00000000091e-8</v>
      </c>
      <c r="J129" s="44">
        <f t="shared" si="4"/>
        <v>0</v>
      </c>
      <c r="K129" s="43" t="b">
        <f t="shared" si="5"/>
        <v>0</v>
      </c>
      <c r="L129" s="21" t="str">
        <f>IFERROR(__xludf.DUMMYFUNCTION("if(regexmatch(B129,""e(.*)$""),regexextract(B129,""e(.*)$""),"""")"),"-8")</f>
        <v>-8</v>
      </c>
      <c r="M129" s="45"/>
      <c r="N129" s="45">
        <f>countif(Constants!F:F,F129)</f>
        <v>1</v>
      </c>
      <c r="O129" s="21" t="str">
        <f>VLOOKUP($A129,Constants!$D:$D,1,false)</f>
        <v>hartree-atomic mass unit relationship</v>
      </c>
    </row>
    <row r="130">
      <c r="A130" s="6" t="s">
        <v>1168</v>
      </c>
      <c r="B130" s="6" t="s">
        <v>2275</v>
      </c>
      <c r="C130" s="6" t="s">
        <v>2276</v>
      </c>
      <c r="D130" s="6" t="s">
        <v>175</v>
      </c>
      <c r="E130" s="42">
        <f>countif(Constants!F:F,F130)</f>
        <v>1</v>
      </c>
      <c r="F130" s="21" t="str">
        <f>VLOOKUP($A130,Constants!$D:$F,3,false)</f>
        <v>HartreeElectronVoltRelationship</v>
      </c>
      <c r="G130" s="43" t="str">
        <f t="shared" si="1"/>
        <v>27.211386245981</v>
      </c>
      <c r="H130" s="43">
        <f t="shared" si="2"/>
        <v>27.21138625</v>
      </c>
      <c r="I130" s="43" t="str">
        <f t="shared" si="3"/>
        <v>0.000000000030</v>
      </c>
      <c r="J130" s="44">
        <f t="shared" si="4"/>
        <v>0</v>
      </c>
      <c r="K130" s="43" t="b">
        <f t="shared" si="5"/>
        <v>0</v>
      </c>
      <c r="L130" s="21" t="str">
        <f>IFERROR(__xludf.DUMMYFUNCTION("if(regexmatch(B130,""e(.*)$""),regexextract(B130,""e(.*)$""),"""")"),"")</f>
        <v/>
      </c>
      <c r="M130" s="45"/>
      <c r="N130" s="45">
        <f>countif(Constants!F:F,F130)</f>
        <v>1</v>
      </c>
      <c r="O130" s="21" t="str">
        <f>VLOOKUP($A130,Constants!$D:$D,1,false)</f>
        <v>hartree-electron volt relationship</v>
      </c>
    </row>
    <row r="131">
      <c r="A131" s="6" t="s">
        <v>1173</v>
      </c>
      <c r="B131" s="6" t="s">
        <v>2279</v>
      </c>
      <c r="C131" s="6" t="s">
        <v>2280</v>
      </c>
      <c r="D131" s="6" t="s">
        <v>543</v>
      </c>
      <c r="E131" s="42">
        <f>countif(Constants!F:F,F131)</f>
        <v>1</v>
      </c>
      <c r="F131" s="21" t="str">
        <f>VLOOKUP($A131,Constants!$D:$F,3,false)</f>
        <v>HartreeEnergy</v>
      </c>
      <c r="G131" s="43" t="str">
        <f t="shared" si="1"/>
        <v>4.3597447222060e-18</v>
      </c>
      <c r="H131" s="43">
        <f t="shared" si="2"/>
        <v>0</v>
      </c>
      <c r="I131" s="43" t="str">
        <f t="shared" si="3"/>
        <v>0.0000000000048e-18</v>
      </c>
      <c r="J131" s="44">
        <f t="shared" si="4"/>
        <v>0</v>
      </c>
      <c r="K131" s="43" t="b">
        <f t="shared" si="5"/>
        <v>0</v>
      </c>
      <c r="L131" s="21" t="str">
        <f>IFERROR(__xludf.DUMMYFUNCTION("if(regexmatch(B131,""e(.*)$""),regexextract(B131,""e(.*)$""),"""")"),"-18")</f>
        <v>-18</v>
      </c>
      <c r="M131" s="45"/>
      <c r="N131" s="45">
        <f>countif(Constants!F:F,F131)</f>
        <v>1</v>
      </c>
      <c r="O131" s="21" t="str">
        <f>VLOOKUP($A131,Constants!$D:$D,1,false)</f>
        <v>Hartree energy</v>
      </c>
    </row>
    <row r="132">
      <c r="A132" s="6" t="s">
        <v>1177</v>
      </c>
      <c r="B132" s="6" t="s">
        <v>2275</v>
      </c>
      <c r="C132" s="6" t="s">
        <v>2276</v>
      </c>
      <c r="D132" s="6" t="s">
        <v>175</v>
      </c>
      <c r="E132" s="42">
        <f>countif(Constants!F:F,F132)</f>
        <v>1</v>
      </c>
      <c r="F132" s="21" t="str">
        <f>VLOOKUP($A132,Constants!$D:$F,3,false)</f>
        <v>HartreeEnergyInEV</v>
      </c>
      <c r="G132" s="43" t="str">
        <f t="shared" si="1"/>
        <v>27.211386245981</v>
      </c>
      <c r="H132" s="43">
        <f t="shared" si="2"/>
        <v>27.21138625</v>
      </c>
      <c r="I132" s="43" t="str">
        <f t="shared" si="3"/>
        <v>0.000000000030</v>
      </c>
      <c r="J132" s="44">
        <f t="shared" si="4"/>
        <v>0</v>
      </c>
      <c r="K132" s="43" t="b">
        <f t="shared" si="5"/>
        <v>0</v>
      </c>
      <c r="L132" s="21" t="str">
        <f>IFERROR(__xludf.DUMMYFUNCTION("if(regexmatch(B132,""e(.*)$""),regexextract(B132,""e(.*)$""),"""")"),"")</f>
        <v/>
      </c>
      <c r="M132" s="45"/>
      <c r="N132" s="45">
        <f>countif(Constants!F:F,F132)</f>
        <v>1</v>
      </c>
      <c r="O132" s="21" t="str">
        <f>VLOOKUP($A132,Constants!$D:$D,1,false)</f>
        <v>Hartree energy in eV</v>
      </c>
    </row>
    <row r="133">
      <c r="A133" s="6" t="s">
        <v>1180</v>
      </c>
      <c r="B133" s="6" t="s">
        <v>2427</v>
      </c>
      <c r="C133" s="6" t="s">
        <v>2428</v>
      </c>
      <c r="D133" s="6" t="s">
        <v>600</v>
      </c>
      <c r="E133" s="42">
        <f>countif(Constants!F:F,F133)</f>
        <v>1</v>
      </c>
      <c r="F133" s="21" t="str">
        <f>VLOOKUP($A133,Constants!$D:$F,3,false)</f>
        <v>HartreeHertzRelationship</v>
      </c>
      <c r="G133" s="43" t="str">
        <f t="shared" si="1"/>
        <v>6.5796839204999e15</v>
      </c>
      <c r="H133" s="43">
        <f t="shared" si="2"/>
        <v>6.57968E+15</v>
      </c>
      <c r="I133" s="43" t="str">
        <f t="shared" si="3"/>
        <v>0.0000000000072e15</v>
      </c>
      <c r="J133" s="44">
        <f t="shared" si="4"/>
        <v>7200</v>
      </c>
      <c r="K133" s="43" t="b">
        <f t="shared" si="5"/>
        <v>0</v>
      </c>
      <c r="L133" s="21" t="str">
        <f>IFERROR(__xludf.DUMMYFUNCTION("if(regexmatch(B133,""e(.*)$""),regexextract(B133,""e(.*)$""),"""")"),"15")</f>
        <v>15</v>
      </c>
      <c r="M133" s="45"/>
      <c r="N133" s="45">
        <f>countif(Constants!F:F,F133)</f>
        <v>1</v>
      </c>
      <c r="O133" s="21" t="str">
        <f>VLOOKUP($A133,Constants!$D:$D,1,false)</f>
        <v>hartree-hertz relationship</v>
      </c>
    </row>
    <row r="134">
      <c r="A134" s="6" t="s">
        <v>1185</v>
      </c>
      <c r="B134" s="6" t="s">
        <v>2429</v>
      </c>
      <c r="C134" s="6" t="s">
        <v>2430</v>
      </c>
      <c r="D134" s="6" t="s">
        <v>606</v>
      </c>
      <c r="E134" s="42">
        <f>countif(Constants!F:F,F134)</f>
        <v>1</v>
      </c>
      <c r="F134" s="21" t="str">
        <f>VLOOKUP($A134,Constants!$D:$F,3,false)</f>
        <v>HartreeInverseMeterRelationship</v>
      </c>
      <c r="G134" s="43" t="str">
        <f t="shared" si="1"/>
        <v>2.1947463136314e7</v>
      </c>
      <c r="H134" s="43">
        <f t="shared" si="2"/>
        <v>21947463.14</v>
      </c>
      <c r="I134" s="43" t="str">
        <f t="shared" si="3"/>
        <v>0.0000000000024e7</v>
      </c>
      <c r="J134" s="44">
        <f t="shared" si="4"/>
        <v>0.000024</v>
      </c>
      <c r="K134" s="43" t="b">
        <f t="shared" si="5"/>
        <v>0</v>
      </c>
      <c r="L134" s="21" t="str">
        <f>IFERROR(__xludf.DUMMYFUNCTION("if(regexmatch(B134,""e(.*)$""),regexextract(B134,""e(.*)$""),"""")"),"7")</f>
        <v>7</v>
      </c>
      <c r="M134" s="45"/>
      <c r="N134" s="45">
        <f>countif(Constants!F:F,F134)</f>
        <v>1</v>
      </c>
      <c r="O134" s="21" t="str">
        <f>VLOOKUP($A134,Constants!$D:$D,1,false)</f>
        <v>hartree-inverse meter relationship</v>
      </c>
    </row>
    <row r="135">
      <c r="A135" s="6" t="s">
        <v>1190</v>
      </c>
      <c r="B135" s="6" t="s">
        <v>2279</v>
      </c>
      <c r="C135" s="6" t="s">
        <v>2280</v>
      </c>
      <c r="D135" s="6" t="s">
        <v>543</v>
      </c>
      <c r="E135" s="42">
        <f>countif(Constants!F:F,F135)</f>
        <v>1</v>
      </c>
      <c r="F135" s="21" t="str">
        <f>VLOOKUP($A135,Constants!$D:$F,3,false)</f>
        <v>HartreeJouleRelationship</v>
      </c>
      <c r="G135" s="43" t="str">
        <f t="shared" si="1"/>
        <v>4.3597447222060e-18</v>
      </c>
      <c r="H135" s="43">
        <f t="shared" si="2"/>
        <v>0</v>
      </c>
      <c r="I135" s="43" t="str">
        <f t="shared" si="3"/>
        <v>0.0000000000048e-18</v>
      </c>
      <c r="J135" s="44">
        <f t="shared" si="4"/>
        <v>0</v>
      </c>
      <c r="K135" s="43" t="b">
        <f t="shared" si="5"/>
        <v>0</v>
      </c>
      <c r="L135" s="21" t="str">
        <f>IFERROR(__xludf.DUMMYFUNCTION("if(regexmatch(B135,""e(.*)$""),regexextract(B135,""e(.*)$""),"""")"),"-18")</f>
        <v>-18</v>
      </c>
      <c r="M135" s="45"/>
      <c r="N135" s="45">
        <f>countif(Constants!F:F,F135)</f>
        <v>1</v>
      </c>
      <c r="O135" s="21" t="str">
        <f>VLOOKUP($A135,Constants!$D:$D,1,false)</f>
        <v>hartree-joule relationship</v>
      </c>
    </row>
    <row r="136">
      <c r="A136" s="6" t="s">
        <v>1195</v>
      </c>
      <c r="B136" s="6" t="s">
        <v>2431</v>
      </c>
      <c r="C136" s="6" t="s">
        <v>2432</v>
      </c>
      <c r="D136" s="6" t="s">
        <v>618</v>
      </c>
      <c r="E136" s="42">
        <f>countif(Constants!F:F,F136)</f>
        <v>1</v>
      </c>
      <c r="F136" s="21" t="str">
        <f>VLOOKUP($A136,Constants!$D:$F,3,false)</f>
        <v>HartreeKelvinRelationship</v>
      </c>
      <c r="G136" s="43" t="str">
        <f t="shared" si="1"/>
        <v>3.1577502480398e5</v>
      </c>
      <c r="H136" s="43">
        <f t="shared" si="2"/>
        <v>315775.0248</v>
      </c>
      <c r="I136" s="43" t="str">
        <f t="shared" si="3"/>
        <v>0.0000000000034e5</v>
      </c>
      <c r="J136" s="44">
        <f t="shared" si="4"/>
        <v>0.00000034</v>
      </c>
      <c r="K136" s="43" t="b">
        <f t="shared" si="5"/>
        <v>0</v>
      </c>
      <c r="L136" s="21" t="str">
        <f>IFERROR(__xludf.DUMMYFUNCTION("if(regexmatch(B136,""e(.*)$""),regexextract(B136,""e(.*)$""),"""")"),"5")</f>
        <v>5</v>
      </c>
      <c r="M136" s="45"/>
      <c r="N136" s="45">
        <f>countif(Constants!F:F,F136)</f>
        <v>1</v>
      </c>
      <c r="O136" s="21" t="str">
        <f>VLOOKUP($A136,Constants!$D:$D,1,false)</f>
        <v>hartree-kelvin relationship</v>
      </c>
    </row>
    <row r="137">
      <c r="A137" s="6" t="s">
        <v>1200</v>
      </c>
      <c r="B137" s="6" t="s">
        <v>2433</v>
      </c>
      <c r="C137" s="6" t="s">
        <v>2434</v>
      </c>
      <c r="D137" s="6" t="s">
        <v>538</v>
      </c>
      <c r="E137" s="42">
        <f>countif(Constants!F:F,F137)</f>
        <v>1</v>
      </c>
      <c r="F137" s="21" t="str">
        <f>VLOOKUP($A137,Constants!$D:$F,3,false)</f>
        <v>HartreeKilogramRelationship</v>
      </c>
      <c r="G137" s="43" t="str">
        <f t="shared" si="1"/>
        <v>4.8508702095419e-35</v>
      </c>
      <c r="H137" s="43">
        <f t="shared" si="2"/>
        <v>0</v>
      </c>
      <c r="I137" s="43" t="str">
        <f t="shared" si="3"/>
        <v>0.0000000000053e-35</v>
      </c>
      <c r="J137" s="44">
        <f t="shared" si="4"/>
        <v>0</v>
      </c>
      <c r="K137" s="43" t="b">
        <f t="shared" si="5"/>
        <v>0</v>
      </c>
      <c r="L137" s="21" t="str">
        <f>IFERROR(__xludf.DUMMYFUNCTION("if(regexmatch(B137,""e(.*)$""),regexextract(B137,""e(.*)$""),"""")"),"-35")</f>
        <v>-35</v>
      </c>
      <c r="M137" s="45"/>
      <c r="N137" s="45">
        <f>countif(Constants!F:F,F137)</f>
        <v>1</v>
      </c>
      <c r="O137" s="21" t="str">
        <f>VLOOKUP($A137,Constants!$D:$D,1,false)</f>
        <v>hartree-kilogram relationship</v>
      </c>
    </row>
    <row r="138">
      <c r="A138" s="6" t="s">
        <v>1205</v>
      </c>
      <c r="B138" s="6" t="s">
        <v>2435</v>
      </c>
      <c r="C138" s="6" t="s">
        <v>2436</v>
      </c>
      <c r="E138" s="42">
        <f>countif(Constants!F:F,F138)</f>
        <v>1</v>
      </c>
      <c r="F138" s="21" t="str">
        <f>VLOOKUP($A138,Constants!$D:$F,3,false)</f>
        <v>HelionElectronMassRatio</v>
      </c>
      <c r="G138" s="43" t="str">
        <f t="shared" si="1"/>
        <v>5495.88527984</v>
      </c>
      <c r="H138" s="43">
        <f t="shared" si="2"/>
        <v>5495.88528</v>
      </c>
      <c r="I138" s="43" t="str">
        <f t="shared" si="3"/>
        <v>0.00000016</v>
      </c>
      <c r="J138" s="44">
        <f t="shared" si="4"/>
        <v>0.00000016</v>
      </c>
      <c r="K138" s="43" t="b">
        <f t="shared" si="5"/>
        <v>0</v>
      </c>
      <c r="L138" s="21" t="str">
        <f>IFERROR(__xludf.DUMMYFUNCTION("if(regexmatch(B138,""e(.*)$""),regexextract(B138,""e(.*)$""),"""")"),"")</f>
        <v/>
      </c>
      <c r="M138" s="45"/>
      <c r="N138" s="45">
        <f>countif(Constants!F:F,F138)</f>
        <v>1</v>
      </c>
      <c r="O138" s="21" t="str">
        <f>VLOOKUP($A138,Constants!$D:$D,1,false)</f>
        <v>helion-electron mass ratio</v>
      </c>
    </row>
    <row r="139">
      <c r="A139" s="6" t="s">
        <v>1208</v>
      </c>
      <c r="B139" s="6" t="s">
        <v>2437</v>
      </c>
      <c r="C139" s="6" t="s">
        <v>2438</v>
      </c>
      <c r="E139" s="42">
        <f>countif(Constants!F:F,F139)</f>
        <v>1</v>
      </c>
      <c r="F139" s="21" t="str">
        <f>VLOOKUP($A139,Constants!$D:$F,3,false)</f>
        <v>HelionGFactor</v>
      </c>
      <c r="G139" s="43" t="str">
        <f t="shared" si="1"/>
        <v>-4.2552506995</v>
      </c>
      <c r="H139" s="43">
        <f t="shared" si="2"/>
        <v>-4.2552507</v>
      </c>
      <c r="I139" s="43" t="str">
        <f t="shared" si="3"/>
        <v>0.0000000034</v>
      </c>
      <c r="J139" s="44">
        <f t="shared" si="4"/>
        <v>0.0000000034</v>
      </c>
      <c r="K139" s="43" t="b">
        <f t="shared" si="5"/>
        <v>0</v>
      </c>
      <c r="L139" s="21" t="str">
        <f>IFERROR(__xludf.DUMMYFUNCTION("if(regexmatch(B139,""e(.*)$""),regexextract(B139,""e(.*)$""),"""")"),"")</f>
        <v/>
      </c>
      <c r="M139" s="45"/>
      <c r="N139" s="45">
        <f>countif(Constants!F:F,F139)</f>
        <v>1</v>
      </c>
      <c r="O139" s="21" t="str">
        <f>VLOOKUP($A139,Constants!$D:$D,1,false)</f>
        <v>helion g factor</v>
      </c>
    </row>
    <row r="140">
      <c r="A140" s="6" t="s">
        <v>1211</v>
      </c>
      <c r="B140" s="6" t="s">
        <v>2439</v>
      </c>
      <c r="C140" s="6" t="s">
        <v>2440</v>
      </c>
      <c r="D140" s="6" t="s">
        <v>714</v>
      </c>
      <c r="E140" s="42">
        <f>countif(Constants!F:F,F140)</f>
        <v>1</v>
      </c>
      <c r="F140" s="21" t="str">
        <f>VLOOKUP($A140,Constants!$D:$F,3,false)</f>
        <v>HelionMag.Mom.</v>
      </c>
      <c r="G140" s="43" t="str">
        <f t="shared" si="1"/>
        <v>-1.07461755198e-26</v>
      </c>
      <c r="H140" s="43">
        <f t="shared" si="2"/>
        <v>0</v>
      </c>
      <c r="I140" s="43" t="str">
        <f t="shared" si="3"/>
        <v>0.00000000093e-26</v>
      </c>
      <c r="J140" s="44">
        <f t="shared" si="4"/>
        <v>0</v>
      </c>
      <c r="K140" s="43" t="b">
        <f t="shared" si="5"/>
        <v>0</v>
      </c>
      <c r="L140" s="21" t="str">
        <f>IFERROR(__xludf.DUMMYFUNCTION("if(regexmatch(B140,""e(.*)$""),regexextract(B140,""e(.*)$""),"""")"),"-26")</f>
        <v>-26</v>
      </c>
      <c r="M140" s="45"/>
      <c r="N140" s="45">
        <f>countif(Constants!F:F,F140)</f>
        <v>1</v>
      </c>
      <c r="O140" s="21" t="str">
        <f>VLOOKUP($A140,Constants!$D:$D,1,false)</f>
        <v>helion mag. mom.</v>
      </c>
    </row>
    <row r="141">
      <c r="A141" s="6" t="s">
        <v>1215</v>
      </c>
      <c r="B141" s="6" t="s">
        <v>2441</v>
      </c>
      <c r="C141" s="6" t="s">
        <v>2442</v>
      </c>
      <c r="E141" s="42">
        <f>countif(Constants!F:F,F141)</f>
        <v>1</v>
      </c>
      <c r="F141" s="21" t="str">
        <f>VLOOKUP($A141,Constants!$D:$F,3,false)</f>
        <v>HelionMag.Mom.ToBohrMagnetonRatio</v>
      </c>
      <c r="G141" s="43" t="str">
        <f t="shared" si="1"/>
        <v>-1.15874098083e-3</v>
      </c>
      <c r="H141" s="43">
        <f t="shared" si="2"/>
        <v>-0.001158740981</v>
      </c>
      <c r="I141" s="43" t="str">
        <f t="shared" si="3"/>
        <v>0.00000000094e-3</v>
      </c>
      <c r="J141" s="44">
        <f t="shared" si="4"/>
        <v>0</v>
      </c>
      <c r="K141" s="43" t="b">
        <f t="shared" si="5"/>
        <v>0</v>
      </c>
      <c r="L141" s="21" t="str">
        <f>IFERROR(__xludf.DUMMYFUNCTION("if(regexmatch(B141,""e(.*)$""),regexextract(B141,""e(.*)$""),"""")"),"-3")</f>
        <v>-3</v>
      </c>
      <c r="M141" s="45"/>
      <c r="N141" s="45">
        <f>countif(Constants!F:F,F141)</f>
        <v>1</v>
      </c>
      <c r="O141" s="21" t="str">
        <f>VLOOKUP($A141,Constants!$D:$D,1,false)</f>
        <v>helion mag. mom. to Bohr magneton ratio</v>
      </c>
    </row>
    <row r="142">
      <c r="A142" s="6" t="s">
        <v>1219</v>
      </c>
      <c r="B142" s="6" t="s">
        <v>2443</v>
      </c>
      <c r="C142" s="6" t="s">
        <v>2444</v>
      </c>
      <c r="E142" s="42">
        <f>countif(Constants!F:F,F142)</f>
        <v>1</v>
      </c>
      <c r="F142" s="21" t="str">
        <f>VLOOKUP($A142,Constants!$D:$F,3,false)</f>
        <v>HelionMag.Mom.ToNuclearMagnetonRatio</v>
      </c>
      <c r="G142" s="43" t="str">
        <f t="shared" si="1"/>
        <v>-2.1276253498</v>
      </c>
      <c r="H142" s="43">
        <f t="shared" si="2"/>
        <v>-2.12762535</v>
      </c>
      <c r="I142" s="43" t="str">
        <f t="shared" si="3"/>
        <v>0.0000000017</v>
      </c>
      <c r="J142" s="44">
        <f t="shared" si="4"/>
        <v>0.0000000017</v>
      </c>
      <c r="K142" s="43" t="b">
        <f t="shared" si="5"/>
        <v>0</v>
      </c>
      <c r="L142" s="21" t="str">
        <f>IFERROR(__xludf.DUMMYFUNCTION("if(regexmatch(B142,""e(.*)$""),regexextract(B142,""e(.*)$""),"""")"),"")</f>
        <v/>
      </c>
      <c r="M142" s="45"/>
      <c r="N142" s="45">
        <f>countif(Constants!F:F,F142)</f>
        <v>1</v>
      </c>
      <c r="O142" s="21" t="str">
        <f>VLOOKUP($A142,Constants!$D:$D,1,false)</f>
        <v>helion mag. mom. to nuclear magneton ratio</v>
      </c>
    </row>
    <row r="143">
      <c r="A143" s="6" t="s">
        <v>1223</v>
      </c>
      <c r="B143" s="6" t="s">
        <v>2445</v>
      </c>
      <c r="C143" s="6" t="s">
        <v>2446</v>
      </c>
      <c r="D143" s="6" t="s">
        <v>538</v>
      </c>
      <c r="E143" s="42">
        <f>countif(Constants!F:F,F143)</f>
        <v>1</v>
      </c>
      <c r="F143" s="21" t="str">
        <f>VLOOKUP($A143,Constants!$D:$F,3,false)</f>
        <v>HelionMass</v>
      </c>
      <c r="G143" s="43" t="str">
        <f t="shared" si="1"/>
        <v>5.0064127862e-27</v>
      </c>
      <c r="H143" s="43">
        <f t="shared" si="2"/>
        <v>0</v>
      </c>
      <c r="I143" s="43" t="str">
        <f t="shared" si="3"/>
        <v>0.0000000016e-27</v>
      </c>
      <c r="J143" s="44">
        <f t="shared" si="4"/>
        <v>0</v>
      </c>
      <c r="K143" s="43" t="b">
        <f t="shared" si="5"/>
        <v>0</v>
      </c>
      <c r="L143" s="21" t="str">
        <f>IFERROR(__xludf.DUMMYFUNCTION("if(regexmatch(B143,""e(.*)$""),regexextract(B143,""e(.*)$""),"""")"),"-27")</f>
        <v>-27</v>
      </c>
      <c r="M143" s="45"/>
      <c r="N143" s="45">
        <f>countif(Constants!F:F,F143)</f>
        <v>1</v>
      </c>
      <c r="O143" s="21" t="str">
        <f>VLOOKUP($A143,Constants!$D:$D,1,false)</f>
        <v>helion mass</v>
      </c>
    </row>
    <row r="144">
      <c r="A144" s="6" t="s">
        <v>1227</v>
      </c>
      <c r="B144" s="6" t="s">
        <v>2447</v>
      </c>
      <c r="C144" s="6" t="s">
        <v>2448</v>
      </c>
      <c r="D144" s="6" t="s">
        <v>543</v>
      </c>
      <c r="E144" s="42">
        <f>countif(Constants!F:F,F144)</f>
        <v>1</v>
      </c>
      <c r="F144" s="21" t="str">
        <f>VLOOKUP($A144,Constants!$D:$F,3,false)</f>
        <v>HelionMassEnergyEquivalent</v>
      </c>
      <c r="G144" s="43" t="str">
        <f t="shared" si="1"/>
        <v>4.4995394185e-10</v>
      </c>
      <c r="H144" s="43">
        <f t="shared" si="2"/>
        <v>0.0000000004499539419</v>
      </c>
      <c r="I144" s="43" t="str">
        <f t="shared" si="3"/>
        <v>0.0000000014e-10</v>
      </c>
      <c r="J144" s="44">
        <f t="shared" si="4"/>
        <v>0</v>
      </c>
      <c r="K144" s="43" t="b">
        <f t="shared" si="5"/>
        <v>0</v>
      </c>
      <c r="L144" s="21" t="str">
        <f>IFERROR(__xludf.DUMMYFUNCTION("if(regexmatch(B144,""e(.*)$""),regexextract(B144,""e(.*)$""),"""")"),"-10")</f>
        <v>-10</v>
      </c>
      <c r="M144" s="45"/>
      <c r="N144" s="45">
        <f>countif(Constants!F:F,F144)</f>
        <v>1</v>
      </c>
      <c r="O144" s="21" t="str">
        <f>VLOOKUP($A144,Constants!$D:$D,1,false)</f>
        <v>helion mass energy equivalent</v>
      </c>
    </row>
    <row r="145">
      <c r="A145" s="6" t="s">
        <v>1231</v>
      </c>
      <c r="B145" s="6" t="s">
        <v>2449</v>
      </c>
      <c r="C145" s="6" t="s">
        <v>2450</v>
      </c>
      <c r="D145" s="6" t="s">
        <v>548</v>
      </c>
      <c r="E145" s="42">
        <f>countif(Constants!F:F,F145)</f>
        <v>1</v>
      </c>
      <c r="F145" s="21" t="str">
        <f>VLOOKUP($A145,Constants!$D:$F,3,false)</f>
        <v>HelionMassEnergyEquivalentInMeV</v>
      </c>
      <c r="G145" s="43" t="str">
        <f t="shared" si="1"/>
        <v>2808.39161112</v>
      </c>
      <c r="H145" s="43">
        <f t="shared" si="2"/>
        <v>2808.391611</v>
      </c>
      <c r="I145" s="43" t="str">
        <f t="shared" si="3"/>
        <v>0.00000088</v>
      </c>
      <c r="J145" s="44">
        <f t="shared" si="4"/>
        <v>0.00000088</v>
      </c>
      <c r="K145" s="43" t="b">
        <f t="shared" si="5"/>
        <v>0</v>
      </c>
      <c r="L145" s="21" t="str">
        <f>IFERROR(__xludf.DUMMYFUNCTION("if(regexmatch(B145,""e(.*)$""),regexextract(B145,""e(.*)$""),"""")"),"")</f>
        <v/>
      </c>
      <c r="M145" s="45"/>
      <c r="N145" s="45">
        <f>countif(Constants!F:F,F145)</f>
        <v>1</v>
      </c>
      <c r="O145" s="21" t="str">
        <f>VLOOKUP($A145,Constants!$D:$D,1,false)</f>
        <v>helion mass energy equivalent in MeV</v>
      </c>
    </row>
    <row r="146">
      <c r="A146" s="6" t="s">
        <v>1234</v>
      </c>
      <c r="B146" s="6" t="s">
        <v>2451</v>
      </c>
      <c r="C146" s="6" t="s">
        <v>2452</v>
      </c>
      <c r="D146" s="6" t="s">
        <v>553</v>
      </c>
      <c r="E146" s="42">
        <f>countif(Constants!F:F,F146)</f>
        <v>1</v>
      </c>
      <c r="F146" s="21" t="str">
        <f>VLOOKUP($A146,Constants!$D:$F,3,false)</f>
        <v>HelionMassInAtomicMassUnit</v>
      </c>
      <c r="G146" s="43" t="str">
        <f t="shared" si="1"/>
        <v>3.014932246932</v>
      </c>
      <c r="H146" s="43">
        <f t="shared" si="2"/>
        <v>3.014932247</v>
      </c>
      <c r="I146" s="43" t="str">
        <f t="shared" si="3"/>
        <v>0.000000000074</v>
      </c>
      <c r="J146" s="44">
        <f t="shared" si="4"/>
        <v>0</v>
      </c>
      <c r="K146" s="43" t="b">
        <f t="shared" si="5"/>
        <v>0</v>
      </c>
      <c r="L146" s="21" t="str">
        <f>IFERROR(__xludf.DUMMYFUNCTION("if(regexmatch(B146,""e(.*)$""),regexextract(B146,""e(.*)$""),"""")"),"")</f>
        <v/>
      </c>
      <c r="M146" s="45"/>
      <c r="N146" s="45">
        <f>countif(Constants!F:F,F146)</f>
        <v>1</v>
      </c>
      <c r="O146" s="21" t="str">
        <f>VLOOKUP($A146,Constants!$D:$D,1,false)</f>
        <v>helion mass in u</v>
      </c>
    </row>
    <row r="147">
      <c r="A147" s="6" t="s">
        <v>1237</v>
      </c>
      <c r="B147" s="6" t="s">
        <v>2453</v>
      </c>
      <c r="C147" s="6" t="s">
        <v>2442</v>
      </c>
      <c r="D147" s="6" t="s">
        <v>557</v>
      </c>
      <c r="E147" s="42">
        <f>countif(Constants!F:F,F147)</f>
        <v>1</v>
      </c>
      <c r="F147" s="21" t="str">
        <f>VLOOKUP($A147,Constants!$D:$F,3,false)</f>
        <v>HelionMolarMass</v>
      </c>
      <c r="G147" s="43" t="str">
        <f t="shared" si="1"/>
        <v>3.01493225010e-3</v>
      </c>
      <c r="H147" s="43">
        <f t="shared" si="2"/>
        <v>0.00301493225</v>
      </c>
      <c r="I147" s="43" t="str">
        <f t="shared" si="3"/>
        <v>0.00000000094e-3</v>
      </c>
      <c r="J147" s="44">
        <f t="shared" si="4"/>
        <v>0</v>
      </c>
      <c r="K147" s="43" t="b">
        <f t="shared" si="5"/>
        <v>0</v>
      </c>
      <c r="L147" s="21" t="str">
        <f>IFERROR(__xludf.DUMMYFUNCTION("if(regexmatch(B147,""e(.*)$""),regexextract(B147,""e(.*)$""),"""")"),"-3")</f>
        <v>-3</v>
      </c>
      <c r="M147" s="45"/>
      <c r="N147" s="45">
        <f>countif(Constants!F:F,F147)</f>
        <v>1</v>
      </c>
      <c r="O147" s="21" t="str">
        <f>VLOOKUP($A147,Constants!$D:$D,1,false)</f>
        <v>helion molar mass</v>
      </c>
    </row>
    <row r="148">
      <c r="A148" s="6" t="s">
        <v>1241</v>
      </c>
      <c r="B148" s="6" t="s">
        <v>2454</v>
      </c>
      <c r="C148" s="6" t="s">
        <v>2235</v>
      </c>
      <c r="E148" s="42">
        <f>countif(Constants!F:F,F148)</f>
        <v>1</v>
      </c>
      <c r="F148" s="21" t="str">
        <f>VLOOKUP($A148,Constants!$D:$F,3,false)</f>
        <v>HelionProtonMassRatio</v>
      </c>
      <c r="G148" s="43" t="str">
        <f t="shared" si="1"/>
        <v>2.993152671552</v>
      </c>
      <c r="H148" s="43">
        <f t="shared" si="2"/>
        <v>2.993152672</v>
      </c>
      <c r="I148" s="43" t="str">
        <f t="shared" si="3"/>
        <v>0.000000000070</v>
      </c>
      <c r="J148" s="44">
        <f t="shared" si="4"/>
        <v>0</v>
      </c>
      <c r="K148" s="43" t="b">
        <f t="shared" si="5"/>
        <v>0</v>
      </c>
      <c r="L148" s="21" t="str">
        <f>IFERROR(__xludf.DUMMYFUNCTION("if(regexmatch(B148,""e(.*)$""),regexextract(B148,""e(.*)$""),"""")"),"")</f>
        <v/>
      </c>
      <c r="M148" s="45"/>
      <c r="N148" s="45">
        <f>countif(Constants!F:F,F148)</f>
        <v>1</v>
      </c>
      <c r="O148" s="21" t="str">
        <f>VLOOKUP($A148,Constants!$D:$D,1,false)</f>
        <v>helion-proton mass ratio</v>
      </c>
    </row>
    <row r="149">
      <c r="A149" s="6" t="s">
        <v>1245</v>
      </c>
      <c r="B149" s="6" t="s">
        <v>2451</v>
      </c>
      <c r="C149" s="6" t="s">
        <v>2452</v>
      </c>
      <c r="E149" s="42">
        <f>countif(Constants!F:F,F149)</f>
        <v>1</v>
      </c>
      <c r="F149" s="21" t="str">
        <f>VLOOKUP($A149,Constants!$D:$F,3,false)</f>
        <v>HelionRelativeAtomicMass</v>
      </c>
      <c r="G149" s="43" t="str">
        <f t="shared" si="1"/>
        <v>3.014932246932</v>
      </c>
      <c r="H149" s="43">
        <f t="shared" si="2"/>
        <v>3.014932247</v>
      </c>
      <c r="I149" s="43" t="str">
        <f t="shared" si="3"/>
        <v>0.000000000074</v>
      </c>
      <c r="J149" s="44">
        <f t="shared" si="4"/>
        <v>0</v>
      </c>
      <c r="K149" s="43" t="b">
        <f t="shared" si="5"/>
        <v>0</v>
      </c>
      <c r="L149" s="21" t="str">
        <f>IFERROR(__xludf.DUMMYFUNCTION("if(regexmatch(B149,""e(.*)$""),regexextract(B149,""e(.*)$""),"""")"),"")</f>
        <v/>
      </c>
      <c r="M149" s="45"/>
      <c r="N149" s="45">
        <f>countif(Constants!F:F,F149)</f>
        <v>1</v>
      </c>
      <c r="O149" s="21" t="str">
        <f>VLOOKUP($A149,Constants!$D:$D,1,false)</f>
        <v>helion relative atomic mass</v>
      </c>
    </row>
    <row r="150">
      <c r="A150" s="6" t="s">
        <v>1248</v>
      </c>
      <c r="B150" s="6" t="s">
        <v>2455</v>
      </c>
      <c r="C150" s="6" t="s">
        <v>2456</v>
      </c>
      <c r="E150" s="42">
        <f>countif(Constants!F:F,F150)</f>
        <v>1</v>
      </c>
      <c r="F150" s="21" t="str">
        <f>VLOOKUP($A150,Constants!$D:$F,3,false)</f>
        <v>HelionShieldingShift</v>
      </c>
      <c r="G150" s="43" t="str">
        <f t="shared" si="1"/>
        <v>5.9967029e-5</v>
      </c>
      <c r="H150" s="43">
        <f t="shared" si="2"/>
        <v>0.000059967029</v>
      </c>
      <c r="I150" s="43" t="str">
        <f t="shared" si="3"/>
        <v>0.0000023e-5</v>
      </c>
      <c r="J150" s="44">
        <f t="shared" si="4"/>
        <v>0</v>
      </c>
      <c r="K150" s="43" t="b">
        <f t="shared" si="5"/>
        <v>0</v>
      </c>
      <c r="L150" s="21" t="str">
        <f>IFERROR(__xludf.DUMMYFUNCTION("if(regexmatch(B150,""e(.*)$""),regexextract(B150,""e(.*)$""),"""")"),"-5")</f>
        <v>-5</v>
      </c>
      <c r="M150" s="45"/>
      <c r="N150" s="45">
        <f>countif(Constants!F:F,F150)</f>
        <v>1</v>
      </c>
      <c r="O150" s="21" t="str">
        <f>VLOOKUP($A150,Constants!$D:$D,1,false)</f>
        <v>helion shielding shift</v>
      </c>
    </row>
    <row r="151">
      <c r="A151" s="6" t="s">
        <v>1251</v>
      </c>
      <c r="B151" s="6" t="s">
        <v>2457</v>
      </c>
      <c r="C151" s="6" t="s">
        <v>2458</v>
      </c>
      <c r="D151" s="6" t="s">
        <v>553</v>
      </c>
      <c r="E151" s="42">
        <f>countif(Constants!F:F,F151)</f>
        <v>1</v>
      </c>
      <c r="F151" s="21" t="str">
        <f>VLOOKUP($A151,Constants!$D:$F,3,false)</f>
        <v>HertzAtomicMassUnitRelationship</v>
      </c>
      <c r="G151" s="43" t="str">
        <f t="shared" si="1"/>
        <v>4.4398216590e-24</v>
      </c>
      <c r="H151" s="43">
        <f t="shared" si="2"/>
        <v>0</v>
      </c>
      <c r="I151" s="43" t="str">
        <f t="shared" si="3"/>
        <v>0.0000000014e-24</v>
      </c>
      <c r="J151" s="44">
        <f t="shared" si="4"/>
        <v>0</v>
      </c>
      <c r="K151" s="43" t="b">
        <f t="shared" si="5"/>
        <v>0</v>
      </c>
      <c r="L151" s="21" t="str">
        <f>IFERROR(__xludf.DUMMYFUNCTION("if(regexmatch(B151,""e(.*)$""),regexextract(B151,""e(.*)$""),"""")"),"-24")</f>
        <v>-24</v>
      </c>
      <c r="M151" s="45"/>
      <c r="N151" s="45">
        <f>countif(Constants!F:F,F151)</f>
        <v>1</v>
      </c>
      <c r="O151" s="21" t="str">
        <f>VLOOKUP($A151,Constants!$D:$D,1,false)</f>
        <v>hertz-atomic mass unit relationship</v>
      </c>
    </row>
    <row r="152">
      <c r="A152" s="6" t="s">
        <v>1257</v>
      </c>
      <c r="B152" s="6" t="s">
        <v>2459</v>
      </c>
      <c r="C152" s="6" t="s">
        <v>2261</v>
      </c>
      <c r="D152" s="6" t="s">
        <v>175</v>
      </c>
      <c r="E152" s="42">
        <f>countif(Constants!F:F,F152)</f>
        <v>1</v>
      </c>
      <c r="F152" s="21" t="str">
        <f>VLOOKUP($A152,Constants!$D:$F,3,false)</f>
        <v>HertzElectronVoltRelationship</v>
      </c>
      <c r="G152" s="43" t="str">
        <f t="shared" si="1"/>
        <v>4.135667696e-15</v>
      </c>
      <c r="H152" s="43">
        <f t="shared" si="2"/>
        <v>0</v>
      </c>
      <c r="I152" s="43" t="str">
        <f t="shared" si="3"/>
        <v>(exact)</v>
      </c>
      <c r="J152" s="44" t="str">
        <f t="shared" si="4"/>
        <v/>
      </c>
      <c r="K152" s="43" t="b">
        <f t="shared" si="5"/>
        <v>0</v>
      </c>
      <c r="L152" s="21" t="str">
        <f>IFERROR(__xludf.DUMMYFUNCTION("if(regexmatch(B152,""e(.*)$""),regexextract(B152,""e(.*)$""),"""")"),"-15")</f>
        <v>-15</v>
      </c>
      <c r="M152" s="45"/>
      <c r="N152" s="45">
        <f>countif(Constants!F:F,F152)</f>
        <v>1</v>
      </c>
      <c r="O152" s="21" t="str">
        <f>VLOOKUP($A152,Constants!$D:$D,1,false)</f>
        <v>hertz-electron volt relationship</v>
      </c>
    </row>
    <row r="153">
      <c r="A153" s="6" t="s">
        <v>1262</v>
      </c>
      <c r="B153" s="6" t="s">
        <v>2460</v>
      </c>
      <c r="C153" s="6" t="s">
        <v>2461</v>
      </c>
      <c r="D153" s="6" t="s">
        <v>593</v>
      </c>
      <c r="E153" s="42">
        <f>countif(Constants!F:F,F153)</f>
        <v>1</v>
      </c>
      <c r="F153" s="21" t="str">
        <f>VLOOKUP($A153,Constants!$D:$F,3,false)</f>
        <v>HertzHartreeRelationship</v>
      </c>
      <c r="G153" s="43" t="str">
        <f t="shared" si="1"/>
        <v>1.5198298460574e-16</v>
      </c>
      <c r="H153" s="43">
        <f t="shared" si="2"/>
        <v>0</v>
      </c>
      <c r="I153" s="43" t="str">
        <f t="shared" si="3"/>
        <v>0.0000000000017e-16</v>
      </c>
      <c r="J153" s="44">
        <f t="shared" si="4"/>
        <v>0</v>
      </c>
      <c r="K153" s="43" t="b">
        <f t="shared" si="5"/>
        <v>0</v>
      </c>
      <c r="L153" s="21" t="str">
        <f>IFERROR(__xludf.DUMMYFUNCTION("if(regexmatch(B153,""e(.*)$""),regexextract(B153,""e(.*)$""),"""")"),"-16")</f>
        <v>-16</v>
      </c>
      <c r="M153" s="45"/>
      <c r="N153" s="45">
        <f>countif(Constants!F:F,F153)</f>
        <v>1</v>
      </c>
      <c r="O153" s="21" t="str">
        <f>VLOOKUP($A153,Constants!$D:$D,1,false)</f>
        <v>hertz-hartree relationship</v>
      </c>
    </row>
    <row r="154">
      <c r="A154" s="6" t="s">
        <v>1267</v>
      </c>
      <c r="B154" s="6" t="s">
        <v>2462</v>
      </c>
      <c r="C154" s="6" t="s">
        <v>2261</v>
      </c>
      <c r="D154" s="6" t="s">
        <v>606</v>
      </c>
      <c r="E154" s="42">
        <f>countif(Constants!F:F,F154)</f>
        <v>1</v>
      </c>
      <c r="F154" s="21" t="str">
        <f>VLOOKUP($A154,Constants!$D:$F,3,false)</f>
        <v>HertzInverseMeterRelationship</v>
      </c>
      <c r="G154" s="43" t="str">
        <f t="shared" si="1"/>
        <v>3.335640951e-9</v>
      </c>
      <c r="H154" s="43">
        <f t="shared" si="2"/>
        <v>0.000000003335640951</v>
      </c>
      <c r="I154" s="43" t="str">
        <f t="shared" si="3"/>
        <v>(exact)</v>
      </c>
      <c r="J154" s="44" t="str">
        <f t="shared" si="4"/>
        <v/>
      </c>
      <c r="K154" s="43" t="b">
        <f t="shared" si="5"/>
        <v>0</v>
      </c>
      <c r="L154" s="21" t="str">
        <f>IFERROR(__xludf.DUMMYFUNCTION("if(regexmatch(B154,""e(.*)$""),regexextract(B154,""e(.*)$""),"""")"),"-9")</f>
        <v>-9</v>
      </c>
      <c r="M154" s="45"/>
      <c r="N154" s="45">
        <f>countif(Constants!F:F,F154)</f>
        <v>1</v>
      </c>
      <c r="O154" s="21" t="str">
        <f>VLOOKUP($A154,Constants!$D:$D,1,false)</f>
        <v>hertz-inverse meter relationship</v>
      </c>
    </row>
    <row r="155">
      <c r="A155" s="6" t="s">
        <v>1272</v>
      </c>
      <c r="B155" s="6" t="s">
        <v>2463</v>
      </c>
      <c r="C155" s="6" t="s">
        <v>2261</v>
      </c>
      <c r="D155" s="6" t="s">
        <v>543</v>
      </c>
      <c r="E155" s="42">
        <f>countif(Constants!F:F,F155)</f>
        <v>1</v>
      </c>
      <c r="F155" s="21" t="str">
        <f>VLOOKUP($A155,Constants!$D:$F,3,false)</f>
        <v>HertzJouleRelationship</v>
      </c>
      <c r="G155" s="43" t="str">
        <f t="shared" si="1"/>
        <v>6.62607015e-34</v>
      </c>
      <c r="H155" s="43">
        <f t="shared" si="2"/>
        <v>0</v>
      </c>
      <c r="I155" s="43" t="str">
        <f t="shared" si="3"/>
        <v>(exact)</v>
      </c>
      <c r="J155" s="44" t="str">
        <f t="shared" si="4"/>
        <v/>
      </c>
      <c r="K155" s="43" t="b">
        <f t="shared" si="5"/>
        <v>0</v>
      </c>
      <c r="L155" s="21" t="str">
        <f>IFERROR(__xludf.DUMMYFUNCTION("if(regexmatch(B155,""e(.*)$""),regexextract(B155,""e(.*)$""),"""")"),"-34")</f>
        <v>-34</v>
      </c>
      <c r="M155" s="45"/>
      <c r="N155" s="45">
        <f>countif(Constants!F:F,F155)</f>
        <v>1</v>
      </c>
      <c r="O155" s="21" t="str">
        <f>VLOOKUP($A155,Constants!$D:$D,1,false)</f>
        <v>hertz-joule relationship</v>
      </c>
    </row>
    <row r="156">
      <c r="A156" s="6" t="s">
        <v>1277</v>
      </c>
      <c r="B156" s="6" t="s">
        <v>2464</v>
      </c>
      <c r="C156" s="6" t="s">
        <v>2261</v>
      </c>
      <c r="D156" s="6" t="s">
        <v>618</v>
      </c>
      <c r="E156" s="42">
        <f>countif(Constants!F:F,F156)</f>
        <v>1</v>
      </c>
      <c r="F156" s="21" t="str">
        <f>VLOOKUP($A156,Constants!$D:$F,3,false)</f>
        <v>HertzKelvinRelationship</v>
      </c>
      <c r="G156" s="43" t="str">
        <f t="shared" si="1"/>
        <v>4.799243073e-11</v>
      </c>
      <c r="H156" s="43">
        <f t="shared" si="2"/>
        <v>0</v>
      </c>
      <c r="I156" s="43" t="str">
        <f t="shared" si="3"/>
        <v>(exact)</v>
      </c>
      <c r="J156" s="44" t="str">
        <f t="shared" si="4"/>
        <v/>
      </c>
      <c r="K156" s="43" t="b">
        <f t="shared" si="5"/>
        <v>0</v>
      </c>
      <c r="L156" s="21" t="str">
        <f>IFERROR(__xludf.DUMMYFUNCTION("if(regexmatch(B156,""e(.*)$""),regexextract(B156,""e(.*)$""),"""")"),"-11")</f>
        <v>-11</v>
      </c>
      <c r="M156" s="45"/>
      <c r="N156" s="45">
        <f>countif(Constants!F:F,F156)</f>
        <v>1</v>
      </c>
      <c r="O156" s="21" t="str">
        <f>VLOOKUP($A156,Constants!$D:$D,1,false)</f>
        <v>hertz-kelvin relationship</v>
      </c>
    </row>
    <row r="157">
      <c r="A157" s="6" t="s">
        <v>1282</v>
      </c>
      <c r="B157" s="6" t="s">
        <v>2465</v>
      </c>
      <c r="C157" s="6" t="s">
        <v>2261</v>
      </c>
      <c r="D157" s="6" t="s">
        <v>538</v>
      </c>
      <c r="E157" s="42">
        <f>countif(Constants!F:F,F157)</f>
        <v>1</v>
      </c>
      <c r="F157" s="21" t="str">
        <f>VLOOKUP($A157,Constants!$D:$F,3,false)</f>
        <v>HertzKilogramRelationship</v>
      </c>
      <c r="G157" s="43" t="str">
        <f t="shared" si="1"/>
        <v>7.372497323e-51</v>
      </c>
      <c r="H157" s="43">
        <f t="shared" si="2"/>
        <v>0</v>
      </c>
      <c r="I157" s="43" t="str">
        <f t="shared" si="3"/>
        <v>(exact)</v>
      </c>
      <c r="J157" s="44" t="str">
        <f t="shared" si="4"/>
        <v/>
      </c>
      <c r="K157" s="43" t="b">
        <f t="shared" si="5"/>
        <v>0</v>
      </c>
      <c r="L157" s="21" t="str">
        <f>IFERROR(__xludf.DUMMYFUNCTION("if(regexmatch(B157,""e(.*)$""),regexextract(B157,""e(.*)$""),"""")"),"-51")</f>
        <v>-51</v>
      </c>
      <c r="M157" s="45"/>
      <c r="N157" s="45">
        <f>countif(Constants!F:F,F157)</f>
        <v>1</v>
      </c>
      <c r="O157" s="21" t="str">
        <f>VLOOKUP($A157,Constants!$D:$D,1,false)</f>
        <v>hertz-kilogram relationship</v>
      </c>
    </row>
    <row r="158">
      <c r="A158" s="6" t="s">
        <v>1287</v>
      </c>
      <c r="B158" s="6" t="s">
        <v>2466</v>
      </c>
      <c r="C158" s="6" t="s">
        <v>2261</v>
      </c>
      <c r="D158" s="6" t="s">
        <v>600</v>
      </c>
      <c r="E158" s="42">
        <f>countif(Constants!F:F,F158)</f>
        <v>1</v>
      </c>
      <c r="F158" s="21" t="str">
        <f>VLOOKUP($A158,Constants!$D:$F,3,false)</f>
        <v>HyperfineTransitionFrequencyOfCs-133</v>
      </c>
      <c r="G158" s="43" t="str">
        <f t="shared" si="1"/>
        <v>9192631770</v>
      </c>
      <c r="H158" s="43">
        <f t="shared" si="2"/>
        <v>9192631770</v>
      </c>
      <c r="I158" s="43" t="str">
        <f t="shared" si="3"/>
        <v>(exact)</v>
      </c>
      <c r="J158" s="44" t="str">
        <f t="shared" si="4"/>
        <v/>
      </c>
      <c r="K158" s="43" t="b">
        <f t="shared" si="5"/>
        <v>0</v>
      </c>
      <c r="L158" s="21" t="str">
        <f>IFERROR(__xludf.DUMMYFUNCTION("if(regexmatch(B158,""e(.*)$""),regexextract(B158,""e(.*)$""),"""")"),"")</f>
        <v/>
      </c>
      <c r="M158" s="45"/>
      <c r="N158" s="45">
        <f>countif(Constants!F:F,F158)</f>
        <v>1</v>
      </c>
      <c r="O158" s="21" t="str">
        <f>VLOOKUP($A158,Constants!$D:$D,1,false)</f>
        <v>hyperfine transition frequency of Cs-133</v>
      </c>
    </row>
    <row r="159">
      <c r="A159" s="6" t="s">
        <v>1290</v>
      </c>
      <c r="B159" s="6" t="s">
        <v>2467</v>
      </c>
      <c r="C159" s="6" t="s">
        <v>2468</v>
      </c>
      <c r="E159" s="42">
        <f>countif(Constants!F:F,F159)</f>
        <v>1</v>
      </c>
      <c r="F159" s="21" t="str">
        <f>VLOOKUP($A159,Constants!$D:$F,3,false)</f>
        <v>InverseFineStructureConstant</v>
      </c>
      <c r="G159" s="43" t="str">
        <f t="shared" si="1"/>
        <v>137.035999177</v>
      </c>
      <c r="H159" s="43">
        <f t="shared" si="2"/>
        <v>137.0359992</v>
      </c>
      <c r="I159" s="43" t="str">
        <f t="shared" si="3"/>
        <v>0.000000021</v>
      </c>
      <c r="J159" s="44">
        <f t="shared" si="4"/>
        <v>0.000000021</v>
      </c>
      <c r="K159" s="43" t="b">
        <f t="shared" si="5"/>
        <v>0</v>
      </c>
      <c r="L159" s="21" t="str">
        <f>IFERROR(__xludf.DUMMYFUNCTION("if(regexmatch(B159,""e(.*)$""),regexextract(B159,""e(.*)$""),"""")"),"")</f>
        <v/>
      </c>
      <c r="M159" s="45"/>
      <c r="N159" s="45">
        <f>countif(Constants!F:F,F159)</f>
        <v>1</v>
      </c>
      <c r="O159" s="21" t="str">
        <f>VLOOKUP($A159,Constants!$D:$D,1,false)</f>
        <v>inverse fine-structure constant</v>
      </c>
    </row>
    <row r="160">
      <c r="A160" s="6" t="s">
        <v>1294</v>
      </c>
      <c r="B160" s="6" t="s">
        <v>2469</v>
      </c>
      <c r="C160" s="6" t="s">
        <v>2470</v>
      </c>
      <c r="D160" s="6" t="s">
        <v>553</v>
      </c>
      <c r="E160" s="42">
        <f>countif(Constants!F:F,F160)</f>
        <v>1</v>
      </c>
      <c r="F160" s="21" t="str">
        <f>VLOOKUP($A160,Constants!$D:$F,3,false)</f>
        <v>InverseMeterAtomicMassUnitRelationship</v>
      </c>
      <c r="G160" s="43" t="str">
        <f t="shared" si="1"/>
        <v>1.33102504824e-15</v>
      </c>
      <c r="H160" s="43">
        <f t="shared" si="2"/>
        <v>0</v>
      </c>
      <c r="I160" s="43" t="str">
        <f t="shared" si="3"/>
        <v>0.00000000041e-15</v>
      </c>
      <c r="J160" s="44">
        <f t="shared" si="4"/>
        <v>0</v>
      </c>
      <c r="K160" s="43" t="b">
        <f t="shared" si="5"/>
        <v>0</v>
      </c>
      <c r="L160" s="21" t="str">
        <f>IFERROR(__xludf.DUMMYFUNCTION("if(regexmatch(B160,""e(.*)$""),regexextract(B160,""e(.*)$""),"""")"),"-15")</f>
        <v>-15</v>
      </c>
      <c r="M160" s="45"/>
      <c r="N160" s="45">
        <f>countif(Constants!F:F,F160)</f>
        <v>1</v>
      </c>
      <c r="O160" s="21" t="str">
        <f>VLOOKUP($A160,Constants!$D:$D,1,false)</f>
        <v>inverse meter-atomic mass unit relationship</v>
      </c>
    </row>
    <row r="161">
      <c r="A161" s="6" t="s">
        <v>1300</v>
      </c>
      <c r="B161" s="6" t="s">
        <v>2471</v>
      </c>
      <c r="C161" s="6" t="s">
        <v>2261</v>
      </c>
      <c r="D161" s="6" t="s">
        <v>175</v>
      </c>
      <c r="E161" s="42">
        <f>countif(Constants!F:F,F161)</f>
        <v>1</v>
      </c>
      <c r="F161" s="21" t="str">
        <f>VLOOKUP($A161,Constants!$D:$F,3,false)</f>
        <v>InverseMeterElectronVoltRelationship</v>
      </c>
      <c r="G161" s="43" t="str">
        <f t="shared" si="1"/>
        <v>1.239841984e-6</v>
      </c>
      <c r="H161" s="43">
        <f t="shared" si="2"/>
        <v>0.000001239841984</v>
      </c>
      <c r="I161" s="43" t="str">
        <f t="shared" si="3"/>
        <v>(exact)</v>
      </c>
      <c r="J161" s="44" t="str">
        <f t="shared" si="4"/>
        <v/>
      </c>
      <c r="K161" s="43" t="b">
        <f t="shared" si="5"/>
        <v>0</v>
      </c>
      <c r="L161" s="21" t="str">
        <f>IFERROR(__xludf.DUMMYFUNCTION("if(regexmatch(B161,""e(.*)$""),regexextract(B161,""e(.*)$""),"""")"),"-6")</f>
        <v>-6</v>
      </c>
      <c r="M161" s="45"/>
      <c r="N161" s="45">
        <f>countif(Constants!F:F,F161)</f>
        <v>1</v>
      </c>
      <c r="O161" s="21" t="str">
        <f>VLOOKUP($A161,Constants!$D:$D,1,false)</f>
        <v>inverse meter-electron volt relationship</v>
      </c>
    </row>
    <row r="162">
      <c r="A162" s="6" t="s">
        <v>1305</v>
      </c>
      <c r="B162" s="6" t="s">
        <v>2472</v>
      </c>
      <c r="C162" s="6" t="s">
        <v>2473</v>
      </c>
      <c r="D162" s="6" t="s">
        <v>593</v>
      </c>
      <c r="E162" s="42">
        <f>countif(Constants!F:F,F162)</f>
        <v>1</v>
      </c>
      <c r="F162" s="21" t="str">
        <f>VLOOKUP($A162,Constants!$D:$F,3,false)</f>
        <v>InverseMeterHartreeRelationship</v>
      </c>
      <c r="G162" s="43" t="str">
        <f t="shared" si="1"/>
        <v>4.5563352529132e-8</v>
      </c>
      <c r="H162" s="43">
        <f t="shared" si="2"/>
        <v>0.00000004556335253</v>
      </c>
      <c r="I162" s="43" t="str">
        <f t="shared" si="3"/>
        <v>0.0000000000050e-8</v>
      </c>
      <c r="J162" s="44">
        <f t="shared" si="4"/>
        <v>0</v>
      </c>
      <c r="K162" s="43" t="b">
        <f t="shared" si="5"/>
        <v>0</v>
      </c>
      <c r="L162" s="21" t="str">
        <f>IFERROR(__xludf.DUMMYFUNCTION("if(regexmatch(B162,""e(.*)$""),regexextract(B162,""e(.*)$""),"""")"),"-8")</f>
        <v>-8</v>
      </c>
      <c r="M162" s="45"/>
      <c r="N162" s="45">
        <f>countif(Constants!F:F,F162)</f>
        <v>1</v>
      </c>
      <c r="O162" s="21" t="str">
        <f>VLOOKUP($A162,Constants!$D:$D,1,false)</f>
        <v>inverse meter-hartree relationship</v>
      </c>
    </row>
    <row r="163">
      <c r="A163" s="6" t="s">
        <v>1309</v>
      </c>
      <c r="B163" s="6" t="s">
        <v>2474</v>
      </c>
      <c r="C163" s="6" t="s">
        <v>2261</v>
      </c>
      <c r="D163" s="6" t="s">
        <v>600</v>
      </c>
      <c r="E163" s="42">
        <f>countif(Constants!F:F,F163)</f>
        <v>1</v>
      </c>
      <c r="F163" s="21" t="str">
        <f>VLOOKUP($A163,Constants!$D:$F,3,false)</f>
        <v>InverseMeterHertzRelationship</v>
      </c>
      <c r="G163" s="43" t="str">
        <f t="shared" si="1"/>
        <v>299792458</v>
      </c>
      <c r="H163" s="43">
        <f t="shared" si="2"/>
        <v>299792458</v>
      </c>
      <c r="I163" s="43" t="str">
        <f t="shared" si="3"/>
        <v>(exact)</v>
      </c>
      <c r="J163" s="44" t="str">
        <f t="shared" si="4"/>
        <v/>
      </c>
      <c r="K163" s="43" t="b">
        <f t="shared" si="5"/>
        <v>0</v>
      </c>
      <c r="L163" s="21" t="str">
        <f>IFERROR(__xludf.DUMMYFUNCTION("if(regexmatch(B163,""e(.*)$""),regexextract(B163,""e(.*)$""),"""")"),"")</f>
        <v/>
      </c>
      <c r="M163" s="45"/>
      <c r="N163" s="45">
        <f>countif(Constants!F:F,F163)</f>
        <v>1</v>
      </c>
      <c r="O163" s="21" t="str">
        <f>VLOOKUP($A163,Constants!$D:$D,1,false)</f>
        <v>inverse meter-hertz relationship</v>
      </c>
    </row>
    <row r="164">
      <c r="A164" s="6" t="s">
        <v>1314</v>
      </c>
      <c r="B164" s="6" t="s">
        <v>2475</v>
      </c>
      <c r="C164" s="6" t="s">
        <v>2261</v>
      </c>
      <c r="D164" s="6" t="s">
        <v>543</v>
      </c>
      <c r="E164" s="42">
        <f>countif(Constants!F:F,F164)</f>
        <v>1</v>
      </c>
      <c r="F164" s="21" t="str">
        <f>VLOOKUP($A164,Constants!$D:$F,3,false)</f>
        <v>InverseMeterJouleRelationship</v>
      </c>
      <c r="G164" s="43" t="str">
        <f t="shared" si="1"/>
        <v>1.986445857e-25</v>
      </c>
      <c r="H164" s="43">
        <f t="shared" si="2"/>
        <v>0</v>
      </c>
      <c r="I164" s="43" t="str">
        <f t="shared" si="3"/>
        <v>(exact)</v>
      </c>
      <c r="J164" s="44" t="str">
        <f t="shared" si="4"/>
        <v/>
      </c>
      <c r="K164" s="43" t="b">
        <f t="shared" si="5"/>
        <v>0</v>
      </c>
      <c r="L164" s="21" t="str">
        <f>IFERROR(__xludf.DUMMYFUNCTION("if(regexmatch(B164,""e(.*)$""),regexextract(B164,""e(.*)$""),"""")"),"-25")</f>
        <v>-25</v>
      </c>
      <c r="M164" s="45"/>
      <c r="N164" s="45">
        <f>countif(Constants!F:F,F164)</f>
        <v>1</v>
      </c>
      <c r="O164" s="21" t="str">
        <f>VLOOKUP($A164,Constants!$D:$D,1,false)</f>
        <v>inverse meter-joule relationship</v>
      </c>
    </row>
    <row r="165">
      <c r="A165" s="6" t="s">
        <v>1319</v>
      </c>
      <c r="B165" s="6" t="s">
        <v>2476</v>
      </c>
      <c r="C165" s="6" t="s">
        <v>2261</v>
      </c>
      <c r="D165" s="6" t="s">
        <v>618</v>
      </c>
      <c r="E165" s="42">
        <f>countif(Constants!F:F,F165)</f>
        <v>1</v>
      </c>
      <c r="F165" s="21" t="str">
        <f>VLOOKUP($A165,Constants!$D:$F,3,false)</f>
        <v>InverseMeterKelvinRelationship</v>
      </c>
      <c r="G165" s="43" t="str">
        <f t="shared" si="1"/>
        <v>1.438776877e-2</v>
      </c>
      <c r="H165" s="43">
        <f t="shared" si="2"/>
        <v>0.01438776877</v>
      </c>
      <c r="I165" s="43" t="str">
        <f t="shared" si="3"/>
        <v>(exact)</v>
      </c>
      <c r="J165" s="44" t="str">
        <f t="shared" si="4"/>
        <v/>
      </c>
      <c r="K165" s="43" t="b">
        <f t="shared" si="5"/>
        <v>0</v>
      </c>
      <c r="L165" s="21" t="str">
        <f>IFERROR(__xludf.DUMMYFUNCTION("if(regexmatch(B165,""e(.*)$""),regexextract(B165,""e(.*)$""),"""")"),"-2")</f>
        <v>-2</v>
      </c>
      <c r="M165" s="45"/>
      <c r="N165" s="45">
        <f>countif(Constants!F:F,F165)</f>
        <v>1</v>
      </c>
      <c r="O165" s="21" t="str">
        <f>VLOOKUP($A165,Constants!$D:$D,1,false)</f>
        <v>inverse meter-kelvin relationship</v>
      </c>
    </row>
    <row r="166">
      <c r="A166" s="6" t="s">
        <v>1324</v>
      </c>
      <c r="B166" s="6" t="s">
        <v>2477</v>
      </c>
      <c r="C166" s="6" t="s">
        <v>2261</v>
      </c>
      <c r="D166" s="6" t="s">
        <v>538</v>
      </c>
      <c r="E166" s="42">
        <f>countif(Constants!F:F,F166)</f>
        <v>1</v>
      </c>
      <c r="F166" s="21" t="str">
        <f>VLOOKUP($A166,Constants!$D:$F,3,false)</f>
        <v>InverseMeterKilogramRelationship</v>
      </c>
      <c r="G166" s="43" t="str">
        <f t="shared" si="1"/>
        <v>2.210219094e-42</v>
      </c>
      <c r="H166" s="43">
        <f t="shared" si="2"/>
        <v>0</v>
      </c>
      <c r="I166" s="43" t="str">
        <f t="shared" si="3"/>
        <v>(exact)</v>
      </c>
      <c r="J166" s="44" t="str">
        <f t="shared" si="4"/>
        <v/>
      </c>
      <c r="K166" s="43" t="b">
        <f t="shared" si="5"/>
        <v>0</v>
      </c>
      <c r="L166" s="21" t="str">
        <f>IFERROR(__xludf.DUMMYFUNCTION("if(regexmatch(B166,""e(.*)$""),regexextract(B166,""e(.*)$""),"""")"),"-42")</f>
        <v>-42</v>
      </c>
      <c r="M166" s="45"/>
      <c r="N166" s="45">
        <f>countif(Constants!F:F,F166)</f>
        <v>1</v>
      </c>
      <c r="O166" s="21" t="str">
        <f>VLOOKUP($A166,Constants!$D:$D,1,false)</f>
        <v>inverse meter-kilogram relationship</v>
      </c>
    </row>
    <row r="167">
      <c r="A167" s="6" t="s">
        <v>1329</v>
      </c>
      <c r="B167" s="6" t="s">
        <v>2478</v>
      </c>
      <c r="C167" s="6" t="s">
        <v>2261</v>
      </c>
      <c r="D167" s="6" t="s">
        <v>814</v>
      </c>
      <c r="E167" s="42">
        <f>countif(Constants!F:F,F167)</f>
        <v>1</v>
      </c>
      <c r="F167" s="21" t="str">
        <f>VLOOKUP($A167,Constants!$D:$F,3,false)</f>
        <v>InverseOfConductanceQuantum</v>
      </c>
      <c r="G167" s="43" t="str">
        <f t="shared" si="1"/>
        <v>12906.40372</v>
      </c>
      <c r="H167" s="43">
        <f t="shared" si="2"/>
        <v>12906.40372</v>
      </c>
      <c r="I167" s="43" t="str">
        <f t="shared" si="3"/>
        <v>(exact)</v>
      </c>
      <c r="J167" s="44" t="str">
        <f t="shared" si="4"/>
        <v/>
      </c>
      <c r="K167" s="43" t="b">
        <f t="shared" si="5"/>
        <v>0</v>
      </c>
      <c r="L167" s="21" t="str">
        <f>IFERROR(__xludf.DUMMYFUNCTION("if(regexmatch(B167,""e(.*)$""),regexextract(B167,""e(.*)$""),"""")"),"")</f>
        <v/>
      </c>
      <c r="M167" s="45"/>
      <c r="N167" s="45">
        <f>countif(Constants!F:F,F167)</f>
        <v>1</v>
      </c>
      <c r="O167" s="21" t="str">
        <f>VLOOKUP($A167,Constants!$D:$D,1,false)</f>
        <v>inverse of conductance quantum</v>
      </c>
    </row>
    <row r="168">
      <c r="A168" s="6" t="s">
        <v>1333</v>
      </c>
      <c r="B168" s="6" t="s">
        <v>2479</v>
      </c>
      <c r="C168" s="6" t="s">
        <v>2261</v>
      </c>
      <c r="D168" s="6" t="s">
        <v>847</v>
      </c>
      <c r="E168" s="42">
        <f>countif(Constants!F:F,F168)</f>
        <v>1</v>
      </c>
      <c r="F168" s="21" t="str">
        <f>VLOOKUP($A168,Constants!$D:$F,3,false)</f>
        <v>JosephsonConstant</v>
      </c>
      <c r="G168" s="43" t="str">
        <f t="shared" si="1"/>
        <v>483597.8484e9</v>
      </c>
      <c r="H168" s="43">
        <f t="shared" si="2"/>
        <v>483597848400000</v>
      </c>
      <c r="I168" s="43" t="str">
        <f t="shared" si="3"/>
        <v>(exact)</v>
      </c>
      <c r="J168" s="44" t="str">
        <f t="shared" si="4"/>
        <v/>
      </c>
      <c r="K168" s="43" t="b">
        <f t="shared" si="5"/>
        <v>0</v>
      </c>
      <c r="L168" s="21" t="str">
        <f>IFERROR(__xludf.DUMMYFUNCTION("if(regexmatch(B168,""e(.*)$""),regexextract(B168,""e(.*)$""),"""")"),"9")</f>
        <v>9</v>
      </c>
      <c r="M168" s="45"/>
      <c r="N168" s="45">
        <f>countif(Constants!F:F,F168)</f>
        <v>1</v>
      </c>
      <c r="O168" s="21" t="str">
        <f>VLOOKUP($A168,Constants!$D:$D,1,false)</f>
        <v>Josephson constant</v>
      </c>
    </row>
    <row r="169">
      <c r="A169" s="6" t="s">
        <v>1337</v>
      </c>
      <c r="B169" s="6" t="s">
        <v>2480</v>
      </c>
      <c r="C169" s="6" t="s">
        <v>2481</v>
      </c>
      <c r="D169" s="6" t="s">
        <v>553</v>
      </c>
      <c r="E169" s="42">
        <f>countif(Constants!F:F,F169)</f>
        <v>1</v>
      </c>
      <c r="F169" s="21" t="str">
        <f>VLOOKUP($A169,Constants!$D:$F,3,false)</f>
        <v>JouleAtomicMassUnitRelationship</v>
      </c>
      <c r="G169" s="43" t="str">
        <f t="shared" si="1"/>
        <v>6.7005352471e9</v>
      </c>
      <c r="H169" s="43">
        <f t="shared" si="2"/>
        <v>6700535247</v>
      </c>
      <c r="I169" s="43" t="str">
        <f t="shared" si="3"/>
        <v>0.0000000021e9</v>
      </c>
      <c r="J169" s="44">
        <f t="shared" si="4"/>
        <v>2.1</v>
      </c>
      <c r="K169" s="43" t="b">
        <f t="shared" si="5"/>
        <v>0</v>
      </c>
      <c r="L169" s="21" t="str">
        <f>IFERROR(__xludf.DUMMYFUNCTION("if(regexmatch(B169,""e(.*)$""),regexextract(B169,""e(.*)$""),"""")"),"9")</f>
        <v>9</v>
      </c>
      <c r="M169" s="45"/>
      <c r="N169" s="45">
        <f>countif(Constants!F:F,F169)</f>
        <v>1</v>
      </c>
      <c r="O169" s="21" t="str">
        <f>VLOOKUP($A169,Constants!$D:$D,1,false)</f>
        <v>joule-atomic mass unit relationship</v>
      </c>
    </row>
    <row r="170">
      <c r="A170" s="6" t="s">
        <v>1343</v>
      </c>
      <c r="B170" s="6" t="s">
        <v>2482</v>
      </c>
      <c r="C170" s="6" t="s">
        <v>2261</v>
      </c>
      <c r="D170" s="6" t="s">
        <v>175</v>
      </c>
      <c r="E170" s="42">
        <f>countif(Constants!F:F,F170)</f>
        <v>1</v>
      </c>
      <c r="F170" s="21" t="str">
        <f>VLOOKUP($A170,Constants!$D:$F,3,false)</f>
        <v>JouleElectronVoltRelationship</v>
      </c>
      <c r="G170" s="43" t="str">
        <f t="shared" si="1"/>
        <v>6.241509074e18</v>
      </c>
      <c r="H170" s="43">
        <f t="shared" si="2"/>
        <v>6.24151E+18</v>
      </c>
      <c r="I170" s="43" t="str">
        <f t="shared" si="3"/>
        <v>(exact)</v>
      </c>
      <c r="J170" s="44" t="str">
        <f t="shared" si="4"/>
        <v/>
      </c>
      <c r="K170" s="43" t="b">
        <f t="shared" si="5"/>
        <v>0</v>
      </c>
      <c r="L170" s="21" t="str">
        <f>IFERROR(__xludf.DUMMYFUNCTION("if(regexmatch(B170,""e(.*)$""),regexextract(B170,""e(.*)$""),"""")"),"18")</f>
        <v>18</v>
      </c>
      <c r="M170" s="45"/>
      <c r="N170" s="45">
        <f>countif(Constants!F:F,F170)</f>
        <v>1</v>
      </c>
      <c r="O170" s="21" t="str">
        <f>VLOOKUP($A170,Constants!$D:$D,1,false)</f>
        <v>joule-electron volt relationship</v>
      </c>
    </row>
    <row r="171">
      <c r="A171" s="6" t="s">
        <v>1348</v>
      </c>
      <c r="B171" s="6" t="s">
        <v>2483</v>
      </c>
      <c r="C171" s="6" t="s">
        <v>2484</v>
      </c>
      <c r="D171" s="6" t="s">
        <v>593</v>
      </c>
      <c r="E171" s="42">
        <f>countif(Constants!F:F,F171)</f>
        <v>1</v>
      </c>
      <c r="F171" s="21" t="str">
        <f>VLOOKUP($A171,Constants!$D:$F,3,false)</f>
        <v>JouleHartreeRelationship</v>
      </c>
      <c r="G171" s="43" t="str">
        <f t="shared" si="1"/>
        <v>2.2937122783969e17</v>
      </c>
      <c r="H171" s="43">
        <f t="shared" si="2"/>
        <v>2.29371E+17</v>
      </c>
      <c r="I171" s="43" t="str">
        <f t="shared" si="3"/>
        <v>0.0000000000025e17</v>
      </c>
      <c r="J171" s="44">
        <f t="shared" si="4"/>
        <v>250000</v>
      </c>
      <c r="K171" s="43" t="b">
        <f t="shared" si="5"/>
        <v>0</v>
      </c>
      <c r="L171" s="21" t="str">
        <f>IFERROR(__xludf.DUMMYFUNCTION("if(regexmatch(B171,""e(.*)$""),regexextract(B171,""e(.*)$""),"""")"),"17")</f>
        <v>17</v>
      </c>
      <c r="M171" s="45"/>
      <c r="N171" s="45">
        <f>countif(Constants!F:F,F171)</f>
        <v>1</v>
      </c>
      <c r="O171" s="21" t="str">
        <f>VLOOKUP($A171,Constants!$D:$D,1,false)</f>
        <v>joule-hartree relationship</v>
      </c>
    </row>
    <row r="172">
      <c r="A172" s="6" t="s">
        <v>1353</v>
      </c>
      <c r="B172" s="6" t="s">
        <v>2485</v>
      </c>
      <c r="C172" s="6" t="s">
        <v>2261</v>
      </c>
      <c r="D172" s="6" t="s">
        <v>600</v>
      </c>
      <c r="E172" s="42">
        <f>countif(Constants!F:F,F172)</f>
        <v>1</v>
      </c>
      <c r="F172" s="21" t="str">
        <f>VLOOKUP($A172,Constants!$D:$F,3,false)</f>
        <v>JouleHertzRelationship</v>
      </c>
      <c r="G172" s="43" t="str">
        <f t="shared" si="1"/>
        <v>1.509190179e33</v>
      </c>
      <c r="H172" s="43">
        <f t="shared" si="2"/>
        <v>1.50919E+33</v>
      </c>
      <c r="I172" s="43" t="str">
        <f t="shared" si="3"/>
        <v>(exact)</v>
      </c>
      <c r="J172" s="44" t="str">
        <f t="shared" si="4"/>
        <v/>
      </c>
      <c r="K172" s="43" t="b">
        <f t="shared" si="5"/>
        <v>0</v>
      </c>
      <c r="L172" s="21" t="str">
        <f>IFERROR(__xludf.DUMMYFUNCTION("if(regexmatch(B172,""e(.*)$""),regexextract(B172,""e(.*)$""),"""")"),"33")</f>
        <v>33</v>
      </c>
      <c r="M172" s="45"/>
      <c r="N172" s="45">
        <f>countif(Constants!F:F,F172)</f>
        <v>1</v>
      </c>
      <c r="O172" s="21" t="str">
        <f>VLOOKUP($A172,Constants!$D:$D,1,false)</f>
        <v>joule-hertz relationship</v>
      </c>
    </row>
    <row r="173">
      <c r="A173" s="6" t="s">
        <v>1358</v>
      </c>
      <c r="B173" s="6" t="s">
        <v>2486</v>
      </c>
      <c r="C173" s="6" t="s">
        <v>2261</v>
      </c>
      <c r="D173" s="6" t="s">
        <v>606</v>
      </c>
      <c r="E173" s="42">
        <f>countif(Constants!F:F,F173)</f>
        <v>1</v>
      </c>
      <c r="F173" s="21" t="str">
        <f>VLOOKUP($A173,Constants!$D:$F,3,false)</f>
        <v>JouleInverseMeterRelationship</v>
      </c>
      <c r="G173" s="43" t="str">
        <f t="shared" si="1"/>
        <v>5.034116567e24</v>
      </c>
      <c r="H173" s="43">
        <f t="shared" si="2"/>
        <v>5.03412E+24</v>
      </c>
      <c r="I173" s="43" t="str">
        <f t="shared" si="3"/>
        <v>(exact)</v>
      </c>
      <c r="J173" s="44" t="str">
        <f t="shared" si="4"/>
        <v/>
      </c>
      <c r="K173" s="43" t="b">
        <f t="shared" si="5"/>
        <v>0</v>
      </c>
      <c r="L173" s="21" t="str">
        <f>IFERROR(__xludf.DUMMYFUNCTION("if(regexmatch(B173,""e(.*)$""),regexextract(B173,""e(.*)$""),"""")"),"24")</f>
        <v>24</v>
      </c>
      <c r="M173" s="45"/>
      <c r="N173" s="45">
        <f>countif(Constants!F:F,F173)</f>
        <v>1</v>
      </c>
      <c r="O173" s="21" t="str">
        <f>VLOOKUP($A173,Constants!$D:$D,1,false)</f>
        <v>joule-inverse meter relationship</v>
      </c>
    </row>
    <row r="174">
      <c r="A174" s="6" t="s">
        <v>1363</v>
      </c>
      <c r="B174" s="6" t="s">
        <v>2487</v>
      </c>
      <c r="C174" s="6" t="s">
        <v>2261</v>
      </c>
      <c r="D174" s="6" t="s">
        <v>618</v>
      </c>
      <c r="E174" s="42">
        <f>countif(Constants!F:F,F174)</f>
        <v>1</v>
      </c>
      <c r="F174" s="21" t="str">
        <f>VLOOKUP($A174,Constants!$D:$F,3,false)</f>
        <v>JouleKelvinRelationship</v>
      </c>
      <c r="G174" s="43" t="str">
        <f t="shared" si="1"/>
        <v>7.242970516e22</v>
      </c>
      <c r="H174" s="43">
        <f t="shared" si="2"/>
        <v>7.24297E+22</v>
      </c>
      <c r="I174" s="43" t="str">
        <f t="shared" si="3"/>
        <v>(exact)</v>
      </c>
      <c r="J174" s="44" t="str">
        <f t="shared" si="4"/>
        <v/>
      </c>
      <c r="K174" s="43" t="b">
        <f t="shared" si="5"/>
        <v>0</v>
      </c>
      <c r="L174" s="21" t="str">
        <f>IFERROR(__xludf.DUMMYFUNCTION("if(regexmatch(B174,""e(.*)$""),regexextract(B174,""e(.*)$""),"""")"),"22")</f>
        <v>22</v>
      </c>
      <c r="M174" s="45"/>
      <c r="N174" s="45">
        <f>countif(Constants!F:F,F174)</f>
        <v>1</v>
      </c>
      <c r="O174" s="21" t="str">
        <f>VLOOKUP($A174,Constants!$D:$D,1,false)</f>
        <v>joule-kelvin relationship</v>
      </c>
    </row>
    <row r="175">
      <c r="A175" s="6" t="s">
        <v>1368</v>
      </c>
      <c r="B175" s="6" t="s">
        <v>2488</v>
      </c>
      <c r="C175" s="6" t="s">
        <v>2261</v>
      </c>
      <c r="D175" s="6" t="s">
        <v>538</v>
      </c>
      <c r="E175" s="42">
        <f>countif(Constants!F:F,F175)</f>
        <v>1</v>
      </c>
      <c r="F175" s="21" t="str">
        <f>VLOOKUP($A175,Constants!$D:$F,3,false)</f>
        <v>JouleKilogramRelationship</v>
      </c>
      <c r="G175" s="43" t="str">
        <f t="shared" si="1"/>
        <v>1.112650056e-17</v>
      </c>
      <c r="H175" s="43">
        <f t="shared" si="2"/>
        <v>0</v>
      </c>
      <c r="I175" s="43" t="str">
        <f t="shared" si="3"/>
        <v>(exact)</v>
      </c>
      <c r="J175" s="44" t="str">
        <f t="shared" si="4"/>
        <v/>
      </c>
      <c r="K175" s="43" t="b">
        <f t="shared" si="5"/>
        <v>0</v>
      </c>
      <c r="L175" s="21" t="str">
        <f>IFERROR(__xludf.DUMMYFUNCTION("if(regexmatch(B175,""e(.*)$""),regexextract(B175,""e(.*)$""),"""")"),"-17")</f>
        <v>-17</v>
      </c>
      <c r="M175" s="45"/>
      <c r="N175" s="45">
        <f>countif(Constants!F:F,F175)</f>
        <v>1</v>
      </c>
      <c r="O175" s="21" t="str">
        <f>VLOOKUP($A175,Constants!$D:$D,1,false)</f>
        <v>joule-kilogram relationship</v>
      </c>
    </row>
    <row r="176">
      <c r="A176" s="6" t="s">
        <v>1373</v>
      </c>
      <c r="B176" s="6" t="s">
        <v>2489</v>
      </c>
      <c r="C176" s="6" t="s">
        <v>2490</v>
      </c>
      <c r="D176" s="6" t="s">
        <v>553</v>
      </c>
      <c r="E176" s="42">
        <f>countif(Constants!F:F,F176)</f>
        <v>1</v>
      </c>
      <c r="F176" s="21" t="str">
        <f>VLOOKUP($A176,Constants!$D:$F,3,false)</f>
        <v>KelvinAtomicMassUnitRelationship</v>
      </c>
      <c r="G176" s="43" t="str">
        <f t="shared" si="1"/>
        <v>9.2510872884e-14</v>
      </c>
      <c r="H176" s="43">
        <f t="shared" si="2"/>
        <v>0</v>
      </c>
      <c r="I176" s="43" t="str">
        <f t="shared" si="3"/>
        <v>0.0000000029e-14</v>
      </c>
      <c r="J176" s="44">
        <f t="shared" si="4"/>
        <v>0</v>
      </c>
      <c r="K176" s="43" t="b">
        <f t="shared" si="5"/>
        <v>0</v>
      </c>
      <c r="L176" s="21" t="str">
        <f>IFERROR(__xludf.DUMMYFUNCTION("if(regexmatch(B176,""e(.*)$""),regexextract(B176,""e(.*)$""),"""")"),"-14")</f>
        <v>-14</v>
      </c>
      <c r="M176" s="45"/>
      <c r="N176" s="45">
        <f>countif(Constants!F:F,F176)</f>
        <v>1</v>
      </c>
      <c r="O176" s="21" t="str">
        <f>VLOOKUP($A176,Constants!$D:$D,1,false)</f>
        <v>kelvin-atomic mass unit relationship</v>
      </c>
    </row>
    <row r="177">
      <c r="A177" s="6" t="s">
        <v>1379</v>
      </c>
      <c r="B177" s="6" t="s">
        <v>2313</v>
      </c>
      <c r="C177" s="6" t="s">
        <v>2261</v>
      </c>
      <c r="D177" s="6" t="s">
        <v>175</v>
      </c>
      <c r="E177" s="42">
        <f>countif(Constants!F:F,F177)</f>
        <v>1</v>
      </c>
      <c r="F177" s="21" t="str">
        <f>VLOOKUP($A177,Constants!$D:$F,3,false)</f>
        <v>KelvinElectronVoltRelationship</v>
      </c>
      <c r="G177" s="43" t="str">
        <f t="shared" si="1"/>
        <v>8.617333262e-5</v>
      </c>
      <c r="H177" s="43">
        <f t="shared" si="2"/>
        <v>0.00008617333262</v>
      </c>
      <c r="I177" s="43" t="str">
        <f t="shared" si="3"/>
        <v>(exact)</v>
      </c>
      <c r="J177" s="44" t="str">
        <f t="shared" si="4"/>
        <v/>
      </c>
      <c r="K177" s="43" t="b">
        <f t="shared" si="5"/>
        <v>0</v>
      </c>
      <c r="L177" s="21" t="str">
        <f>IFERROR(__xludf.DUMMYFUNCTION("if(regexmatch(B177,""e(.*)$""),regexextract(B177,""e(.*)$""),"""")"),"-5")</f>
        <v>-5</v>
      </c>
      <c r="M177" s="45"/>
      <c r="N177" s="45">
        <f>countif(Constants!F:F,F177)</f>
        <v>1</v>
      </c>
      <c r="O177" s="21" t="str">
        <f>VLOOKUP($A177,Constants!$D:$D,1,false)</f>
        <v>kelvin-electron volt relationship</v>
      </c>
    </row>
    <row r="178">
      <c r="A178" s="6" t="s">
        <v>1384</v>
      </c>
      <c r="B178" s="6" t="s">
        <v>2491</v>
      </c>
      <c r="C178" s="6" t="s">
        <v>2492</v>
      </c>
      <c r="D178" s="6" t="s">
        <v>593</v>
      </c>
      <c r="E178" s="42">
        <f>countif(Constants!F:F,F178)</f>
        <v>1</v>
      </c>
      <c r="F178" s="21" t="str">
        <f>VLOOKUP($A178,Constants!$D:$F,3,false)</f>
        <v>KelvinHartreeRelationship</v>
      </c>
      <c r="G178" s="43" t="str">
        <f t="shared" si="1"/>
        <v>3.1668115634564e-6</v>
      </c>
      <c r="H178" s="43">
        <f t="shared" si="2"/>
        <v>0.000003166811563</v>
      </c>
      <c r="I178" s="43" t="str">
        <f t="shared" si="3"/>
        <v>0.0000000000035e-6</v>
      </c>
      <c r="J178" s="44">
        <f t="shared" si="4"/>
        <v>0</v>
      </c>
      <c r="K178" s="43" t="b">
        <f t="shared" si="5"/>
        <v>0</v>
      </c>
      <c r="L178" s="21" t="str">
        <f>IFERROR(__xludf.DUMMYFUNCTION("if(regexmatch(B178,""e(.*)$""),regexextract(B178,""e(.*)$""),"""")"),"-6")</f>
        <v>-6</v>
      </c>
      <c r="M178" s="45"/>
      <c r="N178" s="45">
        <f>countif(Constants!F:F,F178)</f>
        <v>1</v>
      </c>
      <c r="O178" s="21" t="str">
        <f>VLOOKUP($A178,Constants!$D:$D,1,false)</f>
        <v>kelvin-hartree relationship</v>
      </c>
    </row>
    <row r="179">
      <c r="A179" s="6" t="s">
        <v>1389</v>
      </c>
      <c r="B179" s="6" t="s">
        <v>2314</v>
      </c>
      <c r="C179" s="6" t="s">
        <v>2261</v>
      </c>
      <c r="D179" s="6" t="s">
        <v>600</v>
      </c>
      <c r="E179" s="42">
        <f>countif(Constants!F:F,F179)</f>
        <v>1</v>
      </c>
      <c r="F179" s="21" t="str">
        <f>VLOOKUP($A179,Constants!$D:$F,3,false)</f>
        <v>KelvinHertzRelationship</v>
      </c>
      <c r="G179" s="43" t="str">
        <f t="shared" si="1"/>
        <v>2.083661912e10</v>
      </c>
      <c r="H179" s="43">
        <f t="shared" si="2"/>
        <v>20836619120</v>
      </c>
      <c r="I179" s="43" t="str">
        <f t="shared" si="3"/>
        <v>(exact)</v>
      </c>
      <c r="J179" s="44" t="str">
        <f t="shared" si="4"/>
        <v/>
      </c>
      <c r="K179" s="43" t="b">
        <f t="shared" si="5"/>
        <v>0</v>
      </c>
      <c r="L179" s="21" t="str">
        <f>IFERROR(__xludf.DUMMYFUNCTION("if(regexmatch(B179,""e(.*)$""),regexextract(B179,""e(.*)$""),"""")"),"10")</f>
        <v>10</v>
      </c>
      <c r="M179" s="45"/>
      <c r="N179" s="45">
        <f>countif(Constants!F:F,F179)</f>
        <v>1</v>
      </c>
      <c r="O179" s="21" t="str">
        <f>VLOOKUP($A179,Constants!$D:$D,1,false)</f>
        <v>kelvin-hertz relationship</v>
      </c>
    </row>
    <row r="180">
      <c r="A180" s="6" t="s">
        <v>1394</v>
      </c>
      <c r="B180" s="6" t="s">
        <v>2315</v>
      </c>
      <c r="C180" s="6" t="s">
        <v>2261</v>
      </c>
      <c r="D180" s="6" t="s">
        <v>606</v>
      </c>
      <c r="E180" s="42">
        <f>countif(Constants!F:F,F180)</f>
        <v>1</v>
      </c>
      <c r="F180" s="21" t="str">
        <f>VLOOKUP($A180,Constants!$D:$F,3,false)</f>
        <v>KelvinInverseMeterRelationship</v>
      </c>
      <c r="G180" s="43" t="str">
        <f t="shared" si="1"/>
        <v>69.50348004</v>
      </c>
      <c r="H180" s="43">
        <f t="shared" si="2"/>
        <v>69.50348004</v>
      </c>
      <c r="I180" s="43" t="str">
        <f t="shared" si="3"/>
        <v>(exact)</v>
      </c>
      <c r="J180" s="44" t="str">
        <f t="shared" si="4"/>
        <v/>
      </c>
      <c r="K180" s="43" t="b">
        <f t="shared" si="5"/>
        <v>0</v>
      </c>
      <c r="L180" s="21" t="str">
        <f>IFERROR(__xludf.DUMMYFUNCTION("if(regexmatch(B180,""e(.*)$""),regexextract(B180,""e(.*)$""),"""")"),"")</f>
        <v/>
      </c>
      <c r="M180" s="45"/>
      <c r="N180" s="45">
        <f>countif(Constants!F:F,F180)</f>
        <v>1</v>
      </c>
      <c r="O180" s="21" t="str">
        <f>VLOOKUP($A180,Constants!$D:$D,1,false)</f>
        <v>kelvin-inverse meter relationship</v>
      </c>
    </row>
    <row r="181">
      <c r="A181" s="6" t="s">
        <v>1399</v>
      </c>
      <c r="B181" s="6" t="s">
        <v>2312</v>
      </c>
      <c r="C181" s="6" t="s">
        <v>2261</v>
      </c>
      <c r="D181" s="6" t="s">
        <v>543</v>
      </c>
      <c r="E181" s="42">
        <f>countif(Constants!F:F,F181)</f>
        <v>1</v>
      </c>
      <c r="F181" s="21" t="str">
        <f>VLOOKUP($A181,Constants!$D:$F,3,false)</f>
        <v>KelvinJouleRelationship</v>
      </c>
      <c r="G181" s="43" t="str">
        <f t="shared" si="1"/>
        <v>1.380649e-23</v>
      </c>
      <c r="H181" s="43">
        <f t="shared" si="2"/>
        <v>0</v>
      </c>
      <c r="I181" s="43" t="str">
        <f t="shared" si="3"/>
        <v>(exact)</v>
      </c>
      <c r="J181" s="44" t="str">
        <f t="shared" si="4"/>
        <v/>
      </c>
      <c r="K181" s="43" t="b">
        <f t="shared" si="5"/>
        <v>0</v>
      </c>
      <c r="L181" s="21" t="str">
        <f>IFERROR(__xludf.DUMMYFUNCTION("if(regexmatch(B181,""e(.*)$""),regexextract(B181,""e(.*)$""),"""")"),"-23")</f>
        <v>-23</v>
      </c>
      <c r="M181" s="45"/>
      <c r="N181" s="45">
        <f>countif(Constants!F:F,F181)</f>
        <v>1</v>
      </c>
      <c r="O181" s="21" t="str">
        <f>VLOOKUP($A181,Constants!$D:$D,1,false)</f>
        <v>kelvin-joule relationship</v>
      </c>
    </row>
    <row r="182">
      <c r="A182" s="6" t="s">
        <v>1404</v>
      </c>
      <c r="B182" s="6" t="s">
        <v>2493</v>
      </c>
      <c r="C182" s="6" t="s">
        <v>2261</v>
      </c>
      <c r="D182" s="6" t="s">
        <v>538</v>
      </c>
      <c r="E182" s="42">
        <f>countif(Constants!F:F,F182)</f>
        <v>1</v>
      </c>
      <c r="F182" s="21" t="str">
        <f>VLOOKUP($A182,Constants!$D:$F,3,false)</f>
        <v>KelvinKilogramRelationship</v>
      </c>
      <c r="G182" s="43" t="str">
        <f t="shared" si="1"/>
        <v>1.536179187e-40</v>
      </c>
      <c r="H182" s="43">
        <f t="shared" si="2"/>
        <v>0</v>
      </c>
      <c r="I182" s="43" t="str">
        <f t="shared" si="3"/>
        <v>(exact)</v>
      </c>
      <c r="J182" s="44" t="str">
        <f t="shared" si="4"/>
        <v/>
      </c>
      <c r="K182" s="43" t="b">
        <f t="shared" si="5"/>
        <v>0</v>
      </c>
      <c r="L182" s="21" t="str">
        <f>IFERROR(__xludf.DUMMYFUNCTION("if(regexmatch(B182,""e(.*)$""),regexextract(B182,""e(.*)$""),"""")"),"-40")</f>
        <v>-40</v>
      </c>
      <c r="M182" s="45"/>
      <c r="N182" s="45">
        <f>countif(Constants!F:F,F182)</f>
        <v>1</v>
      </c>
      <c r="O182" s="21" t="str">
        <f>VLOOKUP($A182,Constants!$D:$D,1,false)</f>
        <v>kelvin-kilogram relationship</v>
      </c>
    </row>
    <row r="183">
      <c r="A183" s="6" t="s">
        <v>1409</v>
      </c>
      <c r="B183" s="6" t="s">
        <v>2494</v>
      </c>
      <c r="C183" s="6" t="s">
        <v>2495</v>
      </c>
      <c r="D183" s="6" t="s">
        <v>553</v>
      </c>
      <c r="E183" s="42">
        <f>countif(Constants!F:F,F183)</f>
        <v>1</v>
      </c>
      <c r="F183" s="21" t="str">
        <f>VLOOKUP($A183,Constants!$D:$F,3,false)</f>
        <v>KilogramAtomicMassUnitRelationship</v>
      </c>
      <c r="G183" s="43" t="str">
        <f t="shared" si="1"/>
        <v>6.0221407537e26</v>
      </c>
      <c r="H183" s="43">
        <f t="shared" si="2"/>
        <v>6.02214E+26</v>
      </c>
      <c r="I183" s="43" t="str">
        <f t="shared" si="3"/>
        <v>0.0000000019e26</v>
      </c>
      <c r="J183" s="44">
        <f t="shared" si="4"/>
        <v>1.9E+17</v>
      </c>
      <c r="K183" s="43" t="b">
        <f t="shared" si="5"/>
        <v>0</v>
      </c>
      <c r="L183" s="21" t="str">
        <f>IFERROR(__xludf.DUMMYFUNCTION("if(regexmatch(B183,""e(.*)$""),regexextract(B183,""e(.*)$""),"""")"),"26")</f>
        <v>26</v>
      </c>
      <c r="M183" s="45"/>
      <c r="N183" s="45">
        <f>countif(Constants!F:F,F183)</f>
        <v>1</v>
      </c>
      <c r="O183" s="21" t="str">
        <f>VLOOKUP($A183,Constants!$D:$D,1,false)</f>
        <v>kilogram-atomic mass unit relationship</v>
      </c>
    </row>
    <row r="184">
      <c r="A184" s="6" t="s">
        <v>1415</v>
      </c>
      <c r="B184" s="6" t="s">
        <v>2496</v>
      </c>
      <c r="C184" s="6" t="s">
        <v>2261</v>
      </c>
      <c r="D184" s="6" t="s">
        <v>175</v>
      </c>
      <c r="E184" s="42">
        <f>countif(Constants!F:F,F184)</f>
        <v>1</v>
      </c>
      <c r="F184" s="21" t="str">
        <f>VLOOKUP($A184,Constants!$D:$F,3,false)</f>
        <v>KilogramElectronVoltRelationship</v>
      </c>
      <c r="G184" s="43" t="str">
        <f t="shared" si="1"/>
        <v>5.609588603e35</v>
      </c>
      <c r="H184" s="43">
        <f t="shared" si="2"/>
        <v>5.60959E+35</v>
      </c>
      <c r="I184" s="43" t="str">
        <f t="shared" si="3"/>
        <v>(exact)</v>
      </c>
      <c r="J184" s="44" t="str">
        <f t="shared" si="4"/>
        <v/>
      </c>
      <c r="K184" s="43" t="b">
        <f t="shared" si="5"/>
        <v>0</v>
      </c>
      <c r="L184" s="21" t="str">
        <f>IFERROR(__xludf.DUMMYFUNCTION("if(regexmatch(B184,""e(.*)$""),regexextract(B184,""e(.*)$""),"""")"),"35")</f>
        <v>35</v>
      </c>
      <c r="M184" s="45"/>
      <c r="N184" s="45">
        <f>countif(Constants!F:F,F184)</f>
        <v>1</v>
      </c>
      <c r="O184" s="21" t="str">
        <f>VLOOKUP($A184,Constants!$D:$D,1,false)</f>
        <v>kilogram-electron volt relationship</v>
      </c>
    </row>
    <row r="185">
      <c r="A185" s="6" t="s">
        <v>1420</v>
      </c>
      <c r="B185" s="6" t="s">
        <v>2497</v>
      </c>
      <c r="C185" s="6" t="s">
        <v>2498</v>
      </c>
      <c r="D185" s="6" t="s">
        <v>593</v>
      </c>
      <c r="E185" s="42">
        <f>countif(Constants!F:F,F185)</f>
        <v>1</v>
      </c>
      <c r="F185" s="21" t="str">
        <f>VLOOKUP($A185,Constants!$D:$F,3,false)</f>
        <v>KilogramHartreeRelationship</v>
      </c>
      <c r="G185" s="43" t="str">
        <f t="shared" si="1"/>
        <v>2.0614857887415e34</v>
      </c>
      <c r="H185" s="43">
        <f t="shared" si="2"/>
        <v>2.06149E+34</v>
      </c>
      <c r="I185" s="43" t="str">
        <f t="shared" si="3"/>
        <v>0.0000000000022e34</v>
      </c>
      <c r="J185" s="44">
        <f t="shared" si="4"/>
        <v>2.2E+22</v>
      </c>
      <c r="K185" s="43" t="b">
        <f t="shared" si="5"/>
        <v>0</v>
      </c>
      <c r="L185" s="21" t="str">
        <f>IFERROR(__xludf.DUMMYFUNCTION("if(regexmatch(B185,""e(.*)$""),regexextract(B185,""e(.*)$""),"""")"),"34")</f>
        <v>34</v>
      </c>
      <c r="M185" s="45"/>
      <c r="N185" s="45">
        <f>countif(Constants!F:F,F185)</f>
        <v>1</v>
      </c>
      <c r="O185" s="21" t="str">
        <f>VLOOKUP($A185,Constants!$D:$D,1,false)</f>
        <v>kilogram-hartree relationship</v>
      </c>
    </row>
    <row r="186">
      <c r="A186" s="6" t="s">
        <v>1425</v>
      </c>
      <c r="B186" s="6" t="s">
        <v>2499</v>
      </c>
      <c r="C186" s="6" t="s">
        <v>2261</v>
      </c>
      <c r="D186" s="6" t="s">
        <v>600</v>
      </c>
      <c r="E186" s="42">
        <f>countif(Constants!F:F,F186)</f>
        <v>1</v>
      </c>
      <c r="F186" s="21" t="str">
        <f>VLOOKUP($A186,Constants!$D:$F,3,false)</f>
        <v>KilogramHertzRelationship</v>
      </c>
      <c r="G186" s="43" t="str">
        <f t="shared" si="1"/>
        <v>1.356392489e50</v>
      </c>
      <c r="H186" s="43">
        <f t="shared" si="2"/>
        <v>1.35639E+50</v>
      </c>
      <c r="I186" s="43" t="str">
        <f t="shared" si="3"/>
        <v>(exact)</v>
      </c>
      <c r="J186" s="44" t="str">
        <f t="shared" si="4"/>
        <v/>
      </c>
      <c r="K186" s="43" t="b">
        <f t="shared" si="5"/>
        <v>0</v>
      </c>
      <c r="L186" s="21" t="str">
        <f>IFERROR(__xludf.DUMMYFUNCTION("if(regexmatch(B186,""e(.*)$""),regexextract(B186,""e(.*)$""),"""")"),"50")</f>
        <v>50</v>
      </c>
      <c r="M186" s="45"/>
      <c r="N186" s="45">
        <f>countif(Constants!F:F,F186)</f>
        <v>1</v>
      </c>
      <c r="O186" s="21" t="str">
        <f>VLOOKUP($A186,Constants!$D:$D,1,false)</f>
        <v>kilogram-hertz relationship</v>
      </c>
    </row>
    <row r="187">
      <c r="A187" s="6" t="s">
        <v>1430</v>
      </c>
      <c r="B187" s="6" t="s">
        <v>2500</v>
      </c>
      <c r="C187" s="6" t="s">
        <v>2261</v>
      </c>
      <c r="D187" s="6" t="s">
        <v>606</v>
      </c>
      <c r="E187" s="42">
        <f>countif(Constants!F:F,F187)</f>
        <v>1</v>
      </c>
      <c r="F187" s="21" t="str">
        <f>VLOOKUP($A187,Constants!$D:$F,3,false)</f>
        <v>KilogramInverseMeterRelationship</v>
      </c>
      <c r="G187" s="43" t="str">
        <f t="shared" si="1"/>
        <v>4.524438335e41</v>
      </c>
      <c r="H187" s="43">
        <f t="shared" si="2"/>
        <v>4.52444E+41</v>
      </c>
      <c r="I187" s="43" t="str">
        <f t="shared" si="3"/>
        <v>(exact)</v>
      </c>
      <c r="J187" s="44" t="str">
        <f t="shared" si="4"/>
        <v/>
      </c>
      <c r="K187" s="43" t="b">
        <f t="shared" si="5"/>
        <v>0</v>
      </c>
      <c r="L187" s="21" t="str">
        <f>IFERROR(__xludf.DUMMYFUNCTION("if(regexmatch(B187,""e(.*)$""),regexextract(B187,""e(.*)$""),"""")"),"41")</f>
        <v>41</v>
      </c>
      <c r="M187" s="45"/>
      <c r="N187" s="45">
        <f>countif(Constants!F:F,F187)</f>
        <v>1</v>
      </c>
      <c r="O187" s="21" t="str">
        <f>VLOOKUP($A187,Constants!$D:$D,1,false)</f>
        <v>kilogram-inverse meter relationship</v>
      </c>
    </row>
    <row r="188">
      <c r="A188" s="6" t="s">
        <v>1435</v>
      </c>
      <c r="B188" s="6" t="s">
        <v>2501</v>
      </c>
      <c r="C188" s="6" t="s">
        <v>2261</v>
      </c>
      <c r="D188" s="6" t="s">
        <v>543</v>
      </c>
      <c r="E188" s="42">
        <f>countif(Constants!F:F,F188)</f>
        <v>1</v>
      </c>
      <c r="F188" s="21" t="str">
        <f>VLOOKUP($A188,Constants!$D:$F,3,false)</f>
        <v>KilogramJouleRelationship</v>
      </c>
      <c r="G188" s="43" t="str">
        <f t="shared" si="1"/>
        <v>8.987551787e16</v>
      </c>
      <c r="H188" s="43">
        <f t="shared" si="2"/>
        <v>8.98755E+16</v>
      </c>
      <c r="I188" s="43" t="str">
        <f t="shared" si="3"/>
        <v>(exact)</v>
      </c>
      <c r="J188" s="44" t="str">
        <f t="shared" si="4"/>
        <v/>
      </c>
      <c r="K188" s="43" t="b">
        <f t="shared" si="5"/>
        <v>0</v>
      </c>
      <c r="L188" s="21" t="str">
        <f>IFERROR(__xludf.DUMMYFUNCTION("if(regexmatch(B188,""e(.*)$""),regexextract(B188,""e(.*)$""),"""")"),"16")</f>
        <v>16</v>
      </c>
      <c r="M188" s="45"/>
      <c r="N188" s="45">
        <f>countif(Constants!F:F,F188)</f>
        <v>1</v>
      </c>
      <c r="O188" s="21" t="str">
        <f>VLOOKUP($A188,Constants!$D:$D,1,false)</f>
        <v>kilogram-joule relationship</v>
      </c>
    </row>
    <row r="189">
      <c r="A189" s="6" t="s">
        <v>1440</v>
      </c>
      <c r="B189" s="6" t="s">
        <v>2502</v>
      </c>
      <c r="C189" s="6" t="s">
        <v>2261</v>
      </c>
      <c r="D189" s="6" t="s">
        <v>618</v>
      </c>
      <c r="E189" s="42">
        <f>countif(Constants!F:F,F189)</f>
        <v>1</v>
      </c>
      <c r="F189" s="21" t="str">
        <f>VLOOKUP($A189,Constants!$D:$F,3,false)</f>
        <v>KilogramKelvinRelationship</v>
      </c>
      <c r="G189" s="43" t="str">
        <f t="shared" si="1"/>
        <v>6.509657260e39</v>
      </c>
      <c r="H189" s="43">
        <f t="shared" si="2"/>
        <v>6.50966E+39</v>
      </c>
      <c r="I189" s="43" t="str">
        <f t="shared" si="3"/>
        <v>(exact)</v>
      </c>
      <c r="J189" s="44" t="str">
        <f t="shared" si="4"/>
        <v/>
      </c>
      <c r="K189" s="43" t="b">
        <f t="shared" si="5"/>
        <v>0</v>
      </c>
      <c r="L189" s="21" t="str">
        <f>IFERROR(__xludf.DUMMYFUNCTION("if(regexmatch(B189,""e(.*)$""),regexextract(B189,""e(.*)$""),"""")"),"39")</f>
        <v>39</v>
      </c>
      <c r="M189" s="45"/>
      <c r="N189" s="45">
        <f>countif(Constants!F:F,F189)</f>
        <v>1</v>
      </c>
      <c r="O189" s="21" t="str">
        <f>VLOOKUP($A189,Constants!$D:$D,1,false)</f>
        <v>kilogram-kelvin relationship</v>
      </c>
    </row>
    <row r="190">
      <c r="A190" s="6" t="s">
        <v>1445</v>
      </c>
      <c r="B190" s="6" t="s">
        <v>2503</v>
      </c>
      <c r="C190" s="6" t="s">
        <v>2504</v>
      </c>
      <c r="D190" s="6" t="s">
        <v>571</v>
      </c>
      <c r="E190" s="42">
        <f>countif(Constants!F:F,F190)</f>
        <v>1</v>
      </c>
      <c r="F190" s="21" t="str">
        <f>VLOOKUP($A190,Constants!$D:$F,3,false)</f>
        <v>LatticeParameterOfSilicon</v>
      </c>
      <c r="G190" s="43" t="str">
        <f t="shared" si="1"/>
        <v>5.431020511e-10</v>
      </c>
      <c r="H190" s="43">
        <f t="shared" si="2"/>
        <v>0.0000000005431020511</v>
      </c>
      <c r="I190" s="43" t="str">
        <f t="shared" si="3"/>
        <v>0.000000089e-10</v>
      </c>
      <c r="J190" s="44">
        <f t="shared" si="4"/>
        <v>0</v>
      </c>
      <c r="K190" s="43" t="b">
        <f t="shared" si="5"/>
        <v>0</v>
      </c>
      <c r="L190" s="21" t="str">
        <f>IFERROR(__xludf.DUMMYFUNCTION("if(regexmatch(B190,""e(.*)$""),regexextract(B190,""e(.*)$""),"""")"),"-10")</f>
        <v>-10</v>
      </c>
      <c r="M190" s="45"/>
      <c r="N190" s="45">
        <f>countif(Constants!F:F,F190)</f>
        <v>1</v>
      </c>
      <c r="O190" s="21" t="str">
        <f>VLOOKUP($A190,Constants!$D:$D,1,false)</f>
        <v>lattice parameter of silicon</v>
      </c>
    </row>
    <row r="191">
      <c r="A191" s="6" t="s">
        <v>1449</v>
      </c>
      <c r="B191" s="6" t="s">
        <v>2505</v>
      </c>
      <c r="C191" s="6" t="s">
        <v>2506</v>
      </c>
      <c r="D191" s="6" t="s">
        <v>571</v>
      </c>
      <c r="E191" s="42">
        <f>countif(Constants!F:F,F191)</f>
        <v>1</v>
      </c>
      <c r="F191" s="21" t="str">
        <f>VLOOKUP($A191,Constants!$D:$F,3,false)</f>
        <v>LatticeSpacingOfSilicon</v>
      </c>
      <c r="G191" s="43" t="str">
        <f t="shared" si="1"/>
        <v>1.920155716e-10</v>
      </c>
      <c r="H191" s="43">
        <f t="shared" si="2"/>
        <v>0.0000000001920155716</v>
      </c>
      <c r="I191" s="43" t="str">
        <f t="shared" si="3"/>
        <v>0.000000032e-10</v>
      </c>
      <c r="J191" s="44">
        <f t="shared" si="4"/>
        <v>0</v>
      </c>
      <c r="K191" s="43" t="b">
        <f t="shared" si="5"/>
        <v>0</v>
      </c>
      <c r="L191" s="21" t="str">
        <f>IFERROR(__xludf.DUMMYFUNCTION("if(regexmatch(B191,""e(.*)$""),regexextract(B191,""e(.*)$""),"""")"),"-10")</f>
        <v>-10</v>
      </c>
      <c r="M191" s="45"/>
      <c r="N191" s="45">
        <f>countif(Constants!F:F,F191)</f>
        <v>1</v>
      </c>
      <c r="O191" s="21" t="str">
        <f>VLOOKUP($A191,Constants!$D:$D,1,false)</f>
        <v>lattice spacing of ideal Si (220)</v>
      </c>
    </row>
    <row r="192">
      <c r="A192" s="6" t="s">
        <v>1453</v>
      </c>
      <c r="B192" s="6" t="s">
        <v>2507</v>
      </c>
      <c r="C192" s="6" t="s">
        <v>2261</v>
      </c>
      <c r="D192" s="6" t="s">
        <v>1454</v>
      </c>
      <c r="E192" s="42">
        <f>countif(Constants!F:F,F192)</f>
        <v>1</v>
      </c>
      <c r="F192" s="21" t="str">
        <f>VLOOKUP($A192,Constants!$D:$F,3,false)</f>
        <v>LoschmidtConstant</v>
      </c>
      <c r="G192" s="43" t="str">
        <f t="shared" si="1"/>
        <v>2.651645804e25</v>
      </c>
      <c r="H192" s="43">
        <f t="shared" si="2"/>
        <v>2.65165E+25</v>
      </c>
      <c r="I192" s="43" t="str">
        <f t="shared" si="3"/>
        <v>(exact)</v>
      </c>
      <c r="J192" s="44" t="str">
        <f t="shared" si="4"/>
        <v/>
      </c>
      <c r="K192" s="43" t="b">
        <f t="shared" si="5"/>
        <v>0</v>
      </c>
      <c r="L192" s="21" t="str">
        <f>IFERROR(__xludf.DUMMYFUNCTION("if(regexmatch(B192,""e(.*)$""),regexextract(B192,""e(.*)$""),"""")"),"25")</f>
        <v>25</v>
      </c>
      <c r="M192" s="45"/>
      <c r="N192" s="45">
        <f>countif(Constants!F:F,F192)</f>
        <v>1</v>
      </c>
      <c r="O192" s="21" t="str">
        <f>VLOOKUP($A192,Constants!$D:$D,1,false)</f>
        <v>Loschmidt constant (273.15 K, 100 kPa)</v>
      </c>
    </row>
    <row r="193">
      <c r="A193" s="6" t="s">
        <v>1458</v>
      </c>
      <c r="B193" s="6" t="s">
        <v>2508</v>
      </c>
      <c r="C193" s="6" t="s">
        <v>2261</v>
      </c>
      <c r="D193" s="6" t="s">
        <v>1454</v>
      </c>
      <c r="E193" s="42">
        <f>countif(Constants!F:F,F193)</f>
        <v>1</v>
      </c>
      <c r="F193" s="21" t="str">
        <f>VLOOKUP($A193,Constants!$D:$F,3,false)</f>
        <v>LoschmidtConstant273K101Kpa</v>
      </c>
      <c r="G193" s="43" t="str">
        <f t="shared" si="1"/>
        <v>2.686780111e25</v>
      </c>
      <c r="H193" s="43">
        <f t="shared" si="2"/>
        <v>2.68678E+25</v>
      </c>
      <c r="I193" s="43" t="str">
        <f t="shared" si="3"/>
        <v>(exact)</v>
      </c>
      <c r="J193" s="44" t="str">
        <f t="shared" si="4"/>
        <v/>
      </c>
      <c r="K193" s="43" t="b">
        <f t="shared" si="5"/>
        <v>0</v>
      </c>
      <c r="L193" s="21" t="str">
        <f>IFERROR(__xludf.DUMMYFUNCTION("if(regexmatch(B193,""e(.*)$""),regexextract(B193,""e(.*)$""),"""")"),"25")</f>
        <v>25</v>
      </c>
      <c r="M193" s="45"/>
      <c r="N193" s="45">
        <f>countif(Constants!F:F,F193)</f>
        <v>1</v>
      </c>
      <c r="O193" s="21" t="str">
        <f>VLOOKUP($A193,Constants!$D:$D,1,false)</f>
        <v>Loschmidt constant (273.15 K, 101.325 kPa)</v>
      </c>
    </row>
    <row r="194">
      <c r="A194" s="6" t="s">
        <v>1462</v>
      </c>
      <c r="B194" s="46" t="s">
        <v>2509</v>
      </c>
      <c r="C194" s="6" t="s">
        <v>2261</v>
      </c>
      <c r="D194" s="6" t="s">
        <v>1463</v>
      </c>
      <c r="E194" s="42">
        <f>countif(Constants!F:F,F194)</f>
        <v>1</v>
      </c>
      <c r="F194" s="21" t="str">
        <f>VLOOKUP($A194,Constants!$D:$F,3,false)</f>
        <v>LuminousEfficacy</v>
      </c>
      <c r="G194" s="43" t="str">
        <f t="shared" si="1"/>
        <v>683</v>
      </c>
      <c r="H194" s="43">
        <f t="shared" si="2"/>
        <v>683</v>
      </c>
      <c r="I194" s="43" t="str">
        <f t="shared" si="3"/>
        <v>(exact)</v>
      </c>
      <c r="J194" s="44" t="str">
        <f t="shared" si="4"/>
        <v/>
      </c>
      <c r="K194" s="43" t="b">
        <f t="shared" si="5"/>
        <v>0</v>
      </c>
      <c r="L194" s="21" t="str">
        <f>IFERROR(__xludf.DUMMYFUNCTION("if(regexmatch(B194,""e(.*)$""),regexextract(B194,""e(.*)$""),"""")"),"")</f>
        <v/>
      </c>
      <c r="M194" s="45"/>
      <c r="N194" s="45">
        <f>countif(Constants!F:F,F194)</f>
        <v>1</v>
      </c>
      <c r="O194" s="21" t="str">
        <f>VLOOKUP($A194,Constants!$D:$D,1,false)</f>
        <v>luminous efficacy</v>
      </c>
    </row>
    <row r="195">
      <c r="A195" s="6" t="s">
        <v>1467</v>
      </c>
      <c r="B195" s="6" t="s">
        <v>2510</v>
      </c>
      <c r="C195" s="6" t="s">
        <v>2261</v>
      </c>
      <c r="D195" s="6" t="s">
        <v>1468</v>
      </c>
      <c r="E195" s="42">
        <f>countif(Constants!F:F,F195)</f>
        <v>1</v>
      </c>
      <c r="F195" s="21" t="str">
        <f>VLOOKUP($A195,Constants!$D:$F,3,false)</f>
        <v>MagneticFluxQuantum</v>
      </c>
      <c r="G195" s="43" t="str">
        <f t="shared" si="1"/>
        <v>2.067833848e-15</v>
      </c>
      <c r="H195" s="43">
        <f t="shared" si="2"/>
        <v>0</v>
      </c>
      <c r="I195" s="43" t="str">
        <f t="shared" si="3"/>
        <v>(exact)</v>
      </c>
      <c r="J195" s="44" t="str">
        <f t="shared" si="4"/>
        <v/>
      </c>
      <c r="K195" s="43" t="b">
        <f t="shared" si="5"/>
        <v>0</v>
      </c>
      <c r="L195" s="21" t="str">
        <f>IFERROR(__xludf.DUMMYFUNCTION("if(regexmatch(B195,""e(.*)$""),regexextract(B195,""e(.*)$""),"""")"),"-15")</f>
        <v>-15</v>
      </c>
      <c r="M195" s="45"/>
      <c r="N195" s="45">
        <f>countif(Constants!F:F,F195)</f>
        <v>1</v>
      </c>
      <c r="O195" s="21" t="str">
        <f>VLOOKUP($A195,Constants!$D:$D,1,false)</f>
        <v>mag. flux quantum</v>
      </c>
    </row>
    <row r="196">
      <c r="A196" s="6" t="s">
        <v>1473</v>
      </c>
      <c r="B196" s="6" t="s">
        <v>2511</v>
      </c>
      <c r="C196" s="6" t="s">
        <v>2261</v>
      </c>
      <c r="D196" s="6" t="s">
        <v>1474</v>
      </c>
      <c r="E196" s="42">
        <f>countif(Constants!F:F,F196)</f>
        <v>1</v>
      </c>
      <c r="F196" s="21" t="str">
        <f>VLOOKUP($A196,Constants!$D:$F,3,false)</f>
        <v>MolarGasConstant</v>
      </c>
      <c r="G196" s="43" t="str">
        <f t="shared" si="1"/>
        <v>8.314462618</v>
      </c>
      <c r="H196" s="43">
        <f t="shared" si="2"/>
        <v>8.314462618</v>
      </c>
      <c r="I196" s="43" t="str">
        <f t="shared" si="3"/>
        <v>(exact)</v>
      </c>
      <c r="J196" s="44" t="str">
        <f t="shared" si="4"/>
        <v/>
      </c>
      <c r="K196" s="43" t="b">
        <f t="shared" si="5"/>
        <v>0</v>
      </c>
      <c r="L196" s="21" t="str">
        <f>IFERROR(__xludf.DUMMYFUNCTION("if(regexmatch(B196,""e(.*)$""),regexextract(B196,""e(.*)$""),"""")"),"")</f>
        <v/>
      </c>
      <c r="M196" s="45"/>
      <c r="N196" s="45">
        <f>countif(Constants!F:F,F196)</f>
        <v>1</v>
      </c>
      <c r="O196" s="21" t="str">
        <f>VLOOKUP($A196,Constants!$D:$D,1,false)</f>
        <v>molar gas constant</v>
      </c>
    </row>
    <row r="197">
      <c r="A197" s="6" t="s">
        <v>1478</v>
      </c>
      <c r="B197" s="6" t="s">
        <v>2512</v>
      </c>
      <c r="C197" s="6" t="s">
        <v>2513</v>
      </c>
      <c r="D197" s="6" t="s">
        <v>557</v>
      </c>
      <c r="E197" s="42">
        <f>countif(Constants!F:F,F197)</f>
        <v>1</v>
      </c>
      <c r="F197" s="21" t="str">
        <f>VLOOKUP($A197,Constants!$D:$F,3,false)</f>
        <v>MolarMassConstant</v>
      </c>
      <c r="G197" s="43" t="str">
        <f t="shared" si="1"/>
        <v>1.00000000105e-3</v>
      </c>
      <c r="H197" s="43">
        <f t="shared" si="2"/>
        <v>0.001000000001</v>
      </c>
      <c r="I197" s="43" t="str">
        <f t="shared" si="3"/>
        <v>0.00000000031e-3</v>
      </c>
      <c r="J197" s="44">
        <f t="shared" si="4"/>
        <v>0</v>
      </c>
      <c r="K197" s="43" t="b">
        <f t="shared" si="5"/>
        <v>0</v>
      </c>
      <c r="L197" s="21" t="str">
        <f>IFERROR(__xludf.DUMMYFUNCTION("if(regexmatch(B197,""e(.*)$""),regexextract(B197,""e(.*)$""),"""")"),"-3")</f>
        <v>-3</v>
      </c>
      <c r="M197" s="45"/>
      <c r="N197" s="45">
        <f>countif(Constants!F:F,F197)</f>
        <v>1</v>
      </c>
      <c r="O197" s="21" t="str">
        <f>VLOOKUP($A197,Constants!$D:$D,1,false)</f>
        <v>molar mass constant</v>
      </c>
    </row>
    <row r="198">
      <c r="A198" s="6" t="s">
        <v>1482</v>
      </c>
      <c r="B198" s="6" t="s">
        <v>2514</v>
      </c>
      <c r="C198" s="6" t="s">
        <v>2515</v>
      </c>
      <c r="D198" s="6" t="s">
        <v>557</v>
      </c>
      <c r="E198" s="42">
        <f>countif(Constants!F:F,F198)</f>
        <v>1</v>
      </c>
      <c r="F198" s="21" t="str">
        <f>VLOOKUP($A198,Constants!$D:$F,3,false)</f>
        <v>MolarMassOfCarbon12</v>
      </c>
      <c r="G198" s="43" t="str">
        <f t="shared" si="1"/>
        <v>12.0000000126e-3</v>
      </c>
      <c r="H198" s="43">
        <f t="shared" si="2"/>
        <v>0.01200000001</v>
      </c>
      <c r="I198" s="43" t="str">
        <f t="shared" si="3"/>
        <v>0.0000000037e-3</v>
      </c>
      <c r="J198" s="44">
        <f t="shared" si="4"/>
        <v>0</v>
      </c>
      <c r="K198" s="43" t="b">
        <f t="shared" si="5"/>
        <v>0</v>
      </c>
      <c r="L198" s="21" t="str">
        <f>IFERROR(__xludf.DUMMYFUNCTION("if(regexmatch(B198,""e(.*)$""),regexextract(B198,""e(.*)$""),"""")"),"-3")</f>
        <v>-3</v>
      </c>
      <c r="M198" s="45"/>
      <c r="N198" s="45">
        <f>countif(Constants!F:F,F198)</f>
        <v>1</v>
      </c>
      <c r="O198" s="21" t="str">
        <f>VLOOKUP($A198,Constants!$D:$D,1,false)</f>
        <v>molar mass of carbon-12</v>
      </c>
    </row>
    <row r="199">
      <c r="A199" s="6" t="s">
        <v>1486</v>
      </c>
      <c r="B199" s="6" t="s">
        <v>2516</v>
      </c>
      <c r="C199" s="6" t="s">
        <v>2261</v>
      </c>
      <c r="D199" s="6" t="s">
        <v>1487</v>
      </c>
      <c r="E199" s="42">
        <f>countif(Constants!F:F,F199)</f>
        <v>1</v>
      </c>
      <c r="F199" s="21" t="str">
        <f>VLOOKUP($A199,Constants!$D:$F,3,false)</f>
        <v>MolarPlanckConstant</v>
      </c>
      <c r="G199" s="43" t="str">
        <f t="shared" si="1"/>
        <v>3.990312712e-10</v>
      </c>
      <c r="H199" s="43">
        <f t="shared" si="2"/>
        <v>0.0000000003990312712</v>
      </c>
      <c r="I199" s="43" t="str">
        <f t="shared" si="3"/>
        <v>(exact)</v>
      </c>
      <c r="J199" s="44" t="str">
        <f t="shared" si="4"/>
        <v/>
      </c>
      <c r="K199" s="43" t="b">
        <f t="shared" si="5"/>
        <v>0</v>
      </c>
      <c r="L199" s="21" t="str">
        <f>IFERROR(__xludf.DUMMYFUNCTION("if(regexmatch(B199,""e(.*)$""),regexextract(B199,""e(.*)$""),"""")"),"-10")</f>
        <v>-10</v>
      </c>
      <c r="M199" s="45"/>
      <c r="N199" s="45">
        <f>countif(Constants!F:F,F199)</f>
        <v>1</v>
      </c>
      <c r="O199" s="21" t="str">
        <f>VLOOKUP($A199,Constants!$D:$D,1,false)</f>
        <v>molar Planck constant</v>
      </c>
    </row>
    <row r="200">
      <c r="A200" s="6" t="s">
        <v>1498</v>
      </c>
      <c r="B200" s="6" t="s">
        <v>2517</v>
      </c>
      <c r="C200" s="6" t="s">
        <v>2261</v>
      </c>
      <c r="D200" s="6" t="s">
        <v>1499</v>
      </c>
      <c r="E200" s="42">
        <f>countif(Constants!F:F,F200)</f>
        <v>1</v>
      </c>
      <c r="F200" s="21" t="str">
        <f>VLOOKUP($A200,Constants!$D:$F,3,false)</f>
        <v>MolarVolumeOfIdealGas</v>
      </c>
      <c r="G200" s="43" t="str">
        <f t="shared" si="1"/>
        <v>22.71095464e-3</v>
      </c>
      <c r="H200" s="43">
        <f t="shared" si="2"/>
        <v>0.02271095464</v>
      </c>
      <c r="I200" s="43" t="str">
        <f t="shared" si="3"/>
        <v>(exact)</v>
      </c>
      <c r="J200" s="44" t="str">
        <f t="shared" si="4"/>
        <v/>
      </c>
      <c r="K200" s="43" t="b">
        <f t="shared" si="5"/>
        <v>0</v>
      </c>
      <c r="L200" s="21" t="str">
        <f>IFERROR(__xludf.DUMMYFUNCTION("if(regexmatch(B200,""e(.*)$""),regexextract(B200,""e(.*)$""),"""")"),"-3")</f>
        <v>-3</v>
      </c>
      <c r="M200" s="45"/>
      <c r="N200" s="45">
        <f>countif(Constants!F:F,F200)</f>
        <v>1</v>
      </c>
      <c r="O200" s="21" t="str">
        <f>VLOOKUP($A200,Constants!$D:$D,1,false)</f>
        <v>molar volume of ideal gas (273.15 K, 100 kPa)</v>
      </c>
    </row>
    <row r="201">
      <c r="A201" s="6" t="s">
        <v>1503</v>
      </c>
      <c r="B201" s="6" t="s">
        <v>2518</v>
      </c>
      <c r="C201" s="6" t="s">
        <v>2261</v>
      </c>
      <c r="D201" s="6" t="s">
        <v>1499</v>
      </c>
      <c r="E201" s="42">
        <f>countif(Constants!F:F,F201)</f>
        <v>1</v>
      </c>
      <c r="F201" s="21" t="str">
        <f>VLOOKUP($A201,Constants!$D:$F,3,false)</f>
        <v>MolarVolumeOfIdealGas273K101Kpa</v>
      </c>
      <c r="G201" s="43" t="str">
        <f t="shared" si="1"/>
        <v>22.41396954e-3</v>
      </c>
      <c r="H201" s="43">
        <f t="shared" si="2"/>
        <v>0.02241396954</v>
      </c>
      <c r="I201" s="43" t="str">
        <f t="shared" si="3"/>
        <v>(exact)</v>
      </c>
      <c r="J201" s="44" t="str">
        <f t="shared" si="4"/>
        <v/>
      </c>
      <c r="K201" s="43" t="b">
        <f t="shared" si="5"/>
        <v>0</v>
      </c>
      <c r="L201" s="21" t="str">
        <f>IFERROR(__xludf.DUMMYFUNCTION("if(regexmatch(B201,""e(.*)$""),regexextract(B201,""e(.*)$""),"""")"),"-3")</f>
        <v>-3</v>
      </c>
      <c r="M201" s="45"/>
      <c r="N201" s="45">
        <f>countif(Constants!F:F,F201)</f>
        <v>1</v>
      </c>
      <c r="O201" s="21" t="str">
        <f>VLOOKUP($A201,Constants!$D:$D,1,false)</f>
        <v>molar volume of ideal gas (273.15 K, 101.325 kPa)</v>
      </c>
    </row>
    <row r="202">
      <c r="A202" s="6" t="s">
        <v>1507</v>
      </c>
      <c r="B202" s="6" t="s">
        <v>2519</v>
      </c>
      <c r="C202" s="6" t="s">
        <v>2520</v>
      </c>
      <c r="D202" s="6" t="s">
        <v>1499</v>
      </c>
      <c r="E202" s="42">
        <f>countif(Constants!F:F,F202)</f>
        <v>1</v>
      </c>
      <c r="F202" s="21" t="str">
        <f>VLOOKUP($A202,Constants!$D:$F,3,false)</f>
        <v>MolarVolumeOfSilicon</v>
      </c>
      <c r="G202" s="43" t="str">
        <f t="shared" si="1"/>
        <v>1.205883199e-5</v>
      </c>
      <c r="H202" s="43">
        <f t="shared" si="2"/>
        <v>0.00001205883199</v>
      </c>
      <c r="I202" s="43" t="str">
        <f t="shared" si="3"/>
        <v>0.000000060e-5</v>
      </c>
      <c r="J202" s="44">
        <f t="shared" si="4"/>
        <v>0</v>
      </c>
      <c r="K202" s="43" t="b">
        <f t="shared" si="5"/>
        <v>0</v>
      </c>
      <c r="L202" s="21" t="str">
        <f>IFERROR(__xludf.DUMMYFUNCTION("if(regexmatch(B202,""e(.*)$""),regexextract(B202,""e(.*)$""),"""")"),"-5")</f>
        <v>-5</v>
      </c>
      <c r="M202" s="45"/>
      <c r="N202" s="45">
        <f>countif(Constants!F:F,F202)</f>
        <v>1</v>
      </c>
      <c r="O202" s="21" t="str">
        <f>VLOOKUP($A202,Constants!$D:$D,1,false)</f>
        <v>molar volume of silicon</v>
      </c>
    </row>
    <row r="203">
      <c r="A203" s="6" t="s">
        <v>1511</v>
      </c>
      <c r="B203" s="6" t="s">
        <v>2521</v>
      </c>
      <c r="C203" s="6" t="s">
        <v>2522</v>
      </c>
      <c r="D203" s="6" t="s">
        <v>571</v>
      </c>
      <c r="E203" s="42">
        <f>countif(Constants!F:F,F203)</f>
        <v>1</v>
      </c>
      <c r="F203" s="21" t="str">
        <f>VLOOKUP($A203,Constants!$D:$F,3,false)</f>
        <v>MoXUnit</v>
      </c>
      <c r="G203" s="43" t="str">
        <f t="shared" si="1"/>
        <v>1.00209952e-13</v>
      </c>
      <c r="H203" s="43">
        <f t="shared" si="2"/>
        <v>0</v>
      </c>
      <c r="I203" s="43" t="str">
        <f t="shared" si="3"/>
        <v>0.00000053e-13</v>
      </c>
      <c r="J203" s="44">
        <f t="shared" si="4"/>
        <v>0</v>
      </c>
      <c r="K203" s="43" t="b">
        <f t="shared" si="5"/>
        <v>0</v>
      </c>
      <c r="L203" s="21" t="str">
        <f>IFERROR(__xludf.DUMMYFUNCTION("if(regexmatch(B203,""e(.*)$""),regexextract(B203,""e(.*)$""),"""")"),"-13")</f>
        <v>-13</v>
      </c>
      <c r="M203" s="45"/>
      <c r="N203" s="45">
        <f>countif(Constants!F:F,F203)</f>
        <v>1</v>
      </c>
      <c r="O203" s="21" t="str">
        <f>VLOOKUP($A203,Constants!$D:$D,1,false)</f>
        <v>Molybdenum x unit</v>
      </c>
    </row>
    <row r="204">
      <c r="A204" s="6" t="s">
        <v>1515</v>
      </c>
      <c r="B204" s="6" t="s">
        <v>2523</v>
      </c>
      <c r="C204" s="6" t="s">
        <v>2524</v>
      </c>
      <c r="D204" s="6" t="s">
        <v>571</v>
      </c>
      <c r="E204" s="42">
        <f>countif(Constants!F:F,F204)</f>
        <v>1</v>
      </c>
      <c r="F204" s="21" t="str">
        <f>VLOOKUP($A204,Constants!$D:$F,3,false)</f>
        <v>MuonComptonWavelength</v>
      </c>
      <c r="G204" s="43" t="str">
        <f t="shared" si="1"/>
        <v>1.173444110e-14</v>
      </c>
      <c r="H204" s="43">
        <f t="shared" si="2"/>
        <v>0</v>
      </c>
      <c r="I204" s="43" t="str">
        <f t="shared" si="3"/>
        <v>0.000000026e-14</v>
      </c>
      <c r="J204" s="44">
        <f t="shared" si="4"/>
        <v>0</v>
      </c>
      <c r="K204" s="43" t="b">
        <f t="shared" si="5"/>
        <v>0</v>
      </c>
      <c r="L204" s="21" t="str">
        <f>IFERROR(__xludf.DUMMYFUNCTION("if(regexmatch(B204,""e(.*)$""),regexextract(B204,""e(.*)$""),"""")"),"-14")</f>
        <v>-14</v>
      </c>
      <c r="M204" s="45"/>
      <c r="N204" s="45">
        <f>countif(Constants!F:F,F204)</f>
        <v>1</v>
      </c>
      <c r="O204" s="21" t="str">
        <f>VLOOKUP($A204,Constants!$D:$D,1,false)</f>
        <v>muon Compton wavelength</v>
      </c>
    </row>
    <row r="205">
      <c r="A205" s="6" t="s">
        <v>1525</v>
      </c>
      <c r="B205" s="6" t="s">
        <v>2525</v>
      </c>
      <c r="C205" s="6" t="s">
        <v>2388</v>
      </c>
      <c r="E205" s="42">
        <f>countif(Constants!F:F,F205)</f>
        <v>1</v>
      </c>
      <c r="F205" s="21" t="str">
        <f>VLOOKUP($A205,Constants!$D:$F,3,false)</f>
        <v>MuonElectronMassRatio</v>
      </c>
      <c r="G205" s="43" t="str">
        <f t="shared" si="1"/>
        <v>206.7682827</v>
      </c>
      <c r="H205" s="43">
        <f t="shared" si="2"/>
        <v>206.7682827</v>
      </c>
      <c r="I205" s="43" t="str">
        <f t="shared" si="3"/>
        <v>0.0000046</v>
      </c>
      <c r="J205" s="44">
        <f t="shared" si="4"/>
        <v>0.0000046</v>
      </c>
      <c r="K205" s="43" t="b">
        <f t="shared" si="5"/>
        <v>0</v>
      </c>
      <c r="L205" s="21" t="str">
        <f>IFERROR(__xludf.DUMMYFUNCTION("if(regexmatch(B205,""e(.*)$""),regexextract(B205,""e(.*)$""),"""")"),"")</f>
        <v/>
      </c>
      <c r="M205" s="45"/>
      <c r="N205" s="45">
        <f>countif(Constants!F:F,F205)</f>
        <v>1</v>
      </c>
      <c r="O205" s="21" t="str">
        <f>VLOOKUP($A205,Constants!$D:$D,1,false)</f>
        <v>muon-electron mass ratio</v>
      </c>
    </row>
    <row r="206">
      <c r="A206" s="6" t="s">
        <v>1530</v>
      </c>
      <c r="B206" s="6" t="s">
        <v>2526</v>
      </c>
      <c r="C206" s="6" t="s">
        <v>2527</v>
      </c>
      <c r="E206" s="42">
        <f>countif(Constants!F:F,F206)</f>
        <v>1</v>
      </c>
      <c r="F206" s="21" t="str">
        <f>VLOOKUP($A206,Constants!$D:$F,3,false)</f>
        <v>MuonGFactor</v>
      </c>
      <c r="G206" s="43" t="str">
        <f t="shared" si="1"/>
        <v>-2.00233184123</v>
      </c>
      <c r="H206" s="43">
        <f t="shared" si="2"/>
        <v>-2.002331841</v>
      </c>
      <c r="I206" s="43" t="str">
        <f t="shared" si="3"/>
        <v>0.00000000082</v>
      </c>
      <c r="J206" s="44">
        <f t="shared" si="4"/>
        <v>0.00000000082</v>
      </c>
      <c r="K206" s="43" t="b">
        <f t="shared" si="5"/>
        <v>0</v>
      </c>
      <c r="L206" s="21" t="str">
        <f>IFERROR(__xludf.DUMMYFUNCTION("if(regexmatch(B206,""e(.*)$""),regexextract(B206,""e(.*)$""),"""")"),"")</f>
        <v/>
      </c>
      <c r="M206" s="45"/>
      <c r="N206" s="45">
        <f>countif(Constants!F:F,F206)</f>
        <v>1</v>
      </c>
      <c r="O206" s="21" t="str">
        <f>VLOOKUP($A206,Constants!$D:$D,1,false)</f>
        <v>muon g factor</v>
      </c>
    </row>
    <row r="207">
      <c r="A207" s="6" t="s">
        <v>1534</v>
      </c>
      <c r="B207" s="6" t="s">
        <v>2528</v>
      </c>
      <c r="C207" s="6" t="s">
        <v>2529</v>
      </c>
      <c r="D207" s="6" t="s">
        <v>714</v>
      </c>
      <c r="E207" s="42">
        <f>countif(Constants!F:F,F207)</f>
        <v>1</v>
      </c>
      <c r="F207" s="21" t="str">
        <f>VLOOKUP($A207,Constants!$D:$F,3,false)</f>
        <v>MuonMagneticMoment</v>
      </c>
      <c r="G207" s="43" t="str">
        <f t="shared" si="1"/>
        <v>-4.49044830e-26</v>
      </c>
      <c r="H207" s="43">
        <f t="shared" si="2"/>
        <v>0</v>
      </c>
      <c r="I207" s="43" t="str">
        <f t="shared" si="3"/>
        <v>0.00000010e-26</v>
      </c>
      <c r="J207" s="44">
        <f t="shared" si="4"/>
        <v>0</v>
      </c>
      <c r="K207" s="43" t="b">
        <f t="shared" si="5"/>
        <v>0</v>
      </c>
      <c r="L207" s="21" t="str">
        <f>IFERROR(__xludf.DUMMYFUNCTION("if(regexmatch(B207,""e(.*)$""),regexextract(B207,""e(.*)$""),"""")"),"-26")</f>
        <v>-26</v>
      </c>
      <c r="M207" s="45"/>
      <c r="N207" s="45">
        <f>countif(Constants!F:F,F207)</f>
        <v>1</v>
      </c>
      <c r="O207" s="21" t="str">
        <f>VLOOKUP($A207,Constants!$D:$D,1,false)</f>
        <v>muon mag. mom.</v>
      </c>
    </row>
    <row r="208">
      <c r="A208" s="6" t="s">
        <v>1540</v>
      </c>
      <c r="B208" s="6" t="s">
        <v>2530</v>
      </c>
      <c r="C208" s="6" t="s">
        <v>2531</v>
      </c>
      <c r="E208" s="42">
        <f>countif(Constants!F:F,F208)</f>
        <v>1</v>
      </c>
      <c r="F208" s="21" t="str">
        <f>VLOOKUP($A208,Constants!$D:$F,3,false)</f>
        <v>MuonMagneticMomentAnomaly</v>
      </c>
      <c r="G208" s="43" t="str">
        <f t="shared" si="1"/>
        <v>1.16592062e-3</v>
      </c>
      <c r="H208" s="43">
        <f t="shared" si="2"/>
        <v>0.00116592062</v>
      </c>
      <c r="I208" s="43" t="str">
        <f t="shared" si="3"/>
        <v>0.00000041e-3</v>
      </c>
      <c r="J208" s="44">
        <f t="shared" si="4"/>
        <v>0.00000000041</v>
      </c>
      <c r="K208" s="43" t="b">
        <f t="shared" si="5"/>
        <v>0</v>
      </c>
      <c r="L208" s="21" t="str">
        <f>IFERROR(__xludf.DUMMYFUNCTION("if(regexmatch(B208,""e(.*)$""),regexextract(B208,""e(.*)$""),"""")"),"-3")</f>
        <v>-3</v>
      </c>
      <c r="M208" s="45"/>
      <c r="N208" s="45">
        <f>countif(Constants!F:F,F208)</f>
        <v>1</v>
      </c>
      <c r="O208" s="21" t="str">
        <f>VLOOKUP($A208,Constants!$D:$D,1,false)</f>
        <v>muon mag. mom. anomaly</v>
      </c>
    </row>
    <row r="209">
      <c r="A209" s="6" t="s">
        <v>1545</v>
      </c>
      <c r="B209" s="6" t="s">
        <v>2532</v>
      </c>
      <c r="C209" s="6" t="s">
        <v>2390</v>
      </c>
      <c r="E209" s="42">
        <f>countif(Constants!F:F,F209)</f>
        <v>1</v>
      </c>
      <c r="F209" s="21" t="str">
        <f>VLOOKUP($A209,Constants!$D:$F,3,false)</f>
        <v>MuonMagneticMomentToBohrMagnetonRatio</v>
      </c>
      <c r="G209" s="43" t="str">
        <f t="shared" si="1"/>
        <v>-4.84197048e-3</v>
      </c>
      <c r="H209" s="43">
        <f t="shared" si="2"/>
        <v>-0.00484197048</v>
      </c>
      <c r="I209" s="43" t="str">
        <f t="shared" si="3"/>
        <v>0.00000011e-3</v>
      </c>
      <c r="J209" s="44">
        <f t="shared" si="4"/>
        <v>0.00000000011</v>
      </c>
      <c r="K209" s="43" t="b">
        <f t="shared" si="5"/>
        <v>0</v>
      </c>
      <c r="L209" s="21" t="str">
        <f>IFERROR(__xludf.DUMMYFUNCTION("if(regexmatch(B209,""e(.*)$""),regexextract(B209,""e(.*)$""),"""")"),"-3")</f>
        <v>-3</v>
      </c>
      <c r="M209" s="45"/>
      <c r="N209" s="45">
        <f>countif(Constants!F:F,F209)</f>
        <v>1</v>
      </c>
      <c r="O209" s="21" t="str">
        <f>VLOOKUP($A209,Constants!$D:$D,1,false)</f>
        <v>muon mag. mom. to Bohr magneton ratio</v>
      </c>
    </row>
    <row r="210">
      <c r="A210" s="6" t="s">
        <v>1550</v>
      </c>
      <c r="B210" s="6" t="s">
        <v>2533</v>
      </c>
      <c r="C210" s="6" t="s">
        <v>2534</v>
      </c>
      <c r="E210" s="42">
        <f>countif(Constants!F:F,F210)</f>
        <v>1</v>
      </c>
      <c r="F210" s="21" t="str">
        <f>VLOOKUP($A210,Constants!$D:$F,3,false)</f>
        <v>MuonMagneticMomentToNuclearMagnetonRatio</v>
      </c>
      <c r="G210" s="43" t="str">
        <f t="shared" si="1"/>
        <v>-8.89059704</v>
      </c>
      <c r="H210" s="43">
        <f t="shared" si="2"/>
        <v>-8.89059704</v>
      </c>
      <c r="I210" s="43" t="str">
        <f t="shared" si="3"/>
        <v>0.00000020</v>
      </c>
      <c r="J210" s="44">
        <f t="shared" si="4"/>
        <v>0.0000002</v>
      </c>
      <c r="K210" s="43" t="b">
        <f t="shared" si="5"/>
        <v>0</v>
      </c>
      <c r="L210" s="21" t="str">
        <f>IFERROR(__xludf.DUMMYFUNCTION("if(regexmatch(B210,""e(.*)$""),regexextract(B210,""e(.*)$""),"""")"),"")</f>
        <v/>
      </c>
      <c r="M210" s="45"/>
      <c r="N210" s="45">
        <f>countif(Constants!F:F,F210)</f>
        <v>1</v>
      </c>
      <c r="O210" s="21" t="str">
        <f>VLOOKUP($A210,Constants!$D:$D,1,false)</f>
        <v>muon mag. mom. to nuclear magneton ratio</v>
      </c>
    </row>
    <row r="211">
      <c r="A211" s="6" t="s">
        <v>1555</v>
      </c>
      <c r="B211" s="6" t="s">
        <v>2535</v>
      </c>
      <c r="C211" s="6" t="s">
        <v>2536</v>
      </c>
      <c r="D211" s="6" t="s">
        <v>538</v>
      </c>
      <c r="E211" s="42">
        <f>countif(Constants!F:F,F211)</f>
        <v>1</v>
      </c>
      <c r="F211" s="21" t="str">
        <f>VLOOKUP($A211,Constants!$D:$F,3,false)</f>
        <v>MuonMass</v>
      </c>
      <c r="G211" s="43" t="str">
        <f t="shared" si="1"/>
        <v>1.883531627e-28</v>
      </c>
      <c r="H211" s="43">
        <f t="shared" si="2"/>
        <v>0</v>
      </c>
      <c r="I211" s="43" t="str">
        <f t="shared" si="3"/>
        <v>0.000000042e-28</v>
      </c>
      <c r="J211" s="44">
        <f t="shared" si="4"/>
        <v>0</v>
      </c>
      <c r="K211" s="43" t="b">
        <f t="shared" si="5"/>
        <v>0</v>
      </c>
      <c r="L211" s="21" t="str">
        <f>IFERROR(__xludf.DUMMYFUNCTION("if(regexmatch(B211,""e(.*)$""),regexextract(B211,""e(.*)$""),"""")"),"-28")</f>
        <v>-28</v>
      </c>
      <c r="M211" s="45"/>
      <c r="N211" s="45">
        <f>countif(Constants!F:F,F211)</f>
        <v>1</v>
      </c>
      <c r="O211" s="21" t="str">
        <f>VLOOKUP($A211,Constants!$D:$D,1,false)</f>
        <v>muon mass</v>
      </c>
    </row>
    <row r="212">
      <c r="A212" s="6" t="s">
        <v>1559</v>
      </c>
      <c r="B212" s="6" t="s">
        <v>2537</v>
      </c>
      <c r="C212" s="6" t="s">
        <v>2538</v>
      </c>
      <c r="D212" s="6" t="s">
        <v>543</v>
      </c>
      <c r="E212" s="42">
        <f>countif(Constants!F:F,F212)</f>
        <v>1</v>
      </c>
      <c r="F212" s="21" t="str">
        <f>VLOOKUP($A212,Constants!$D:$F,3,false)</f>
        <v>MuonMassEnergyEquivalent</v>
      </c>
      <c r="G212" s="43" t="str">
        <f t="shared" si="1"/>
        <v>1.692833804e-11</v>
      </c>
      <c r="H212" s="43">
        <f t="shared" si="2"/>
        <v>0</v>
      </c>
      <c r="I212" s="43" t="str">
        <f t="shared" si="3"/>
        <v>0.000000038e-11</v>
      </c>
      <c r="J212" s="44">
        <f t="shared" si="4"/>
        <v>0</v>
      </c>
      <c r="K212" s="43" t="b">
        <f t="shared" si="5"/>
        <v>0</v>
      </c>
      <c r="L212" s="21" t="str">
        <f>IFERROR(__xludf.DUMMYFUNCTION("if(regexmatch(B212,""e(.*)$""),regexextract(B212,""e(.*)$""),"""")"),"-11")</f>
        <v>-11</v>
      </c>
      <c r="M212" s="45"/>
      <c r="N212" s="45">
        <f>countif(Constants!F:F,F212)</f>
        <v>1</v>
      </c>
      <c r="O212" s="21" t="str">
        <f>VLOOKUP($A212,Constants!$D:$D,1,false)</f>
        <v>muon mass energy equivalent</v>
      </c>
    </row>
    <row r="213">
      <c r="A213" s="6" t="s">
        <v>1563</v>
      </c>
      <c r="B213" s="6" t="s">
        <v>2539</v>
      </c>
      <c r="C213" s="6" t="s">
        <v>2540</v>
      </c>
      <c r="D213" s="6" t="s">
        <v>548</v>
      </c>
      <c r="E213" s="42">
        <f>countif(Constants!F:F,F213)</f>
        <v>1</v>
      </c>
      <c r="F213" s="21" t="str">
        <f>VLOOKUP($A213,Constants!$D:$F,3,false)</f>
        <v>MuonMassEnergyEquivalentInMeV</v>
      </c>
      <c r="G213" s="43" t="str">
        <f t="shared" si="1"/>
        <v>105.6583755</v>
      </c>
      <c r="H213" s="43">
        <f t="shared" si="2"/>
        <v>105.6583755</v>
      </c>
      <c r="I213" s="43" t="str">
        <f t="shared" si="3"/>
        <v>0.0000023</v>
      </c>
      <c r="J213" s="44">
        <f t="shared" si="4"/>
        <v>0.0000023</v>
      </c>
      <c r="K213" s="43" t="b">
        <f t="shared" si="5"/>
        <v>0</v>
      </c>
      <c r="L213" s="21" t="str">
        <f>IFERROR(__xludf.DUMMYFUNCTION("if(regexmatch(B213,""e(.*)$""),regexextract(B213,""e(.*)$""),"""")"),"")</f>
        <v/>
      </c>
      <c r="M213" s="45"/>
      <c r="N213" s="45">
        <f>countif(Constants!F:F,F213)</f>
        <v>1</v>
      </c>
      <c r="O213" s="21" t="str">
        <f>VLOOKUP($A213,Constants!$D:$D,1,false)</f>
        <v>muon mass energy equivalent in MeV</v>
      </c>
    </row>
    <row r="214">
      <c r="A214" s="6" t="s">
        <v>1566</v>
      </c>
      <c r="B214" s="6" t="s">
        <v>2541</v>
      </c>
      <c r="C214" s="6" t="s">
        <v>2542</v>
      </c>
      <c r="D214" s="6" t="s">
        <v>553</v>
      </c>
      <c r="E214" s="42">
        <f>countif(Constants!F:F,F214)</f>
        <v>1</v>
      </c>
      <c r="F214" s="21" t="str">
        <f>VLOOKUP($A214,Constants!$D:$F,3,false)</f>
        <v>MuonMassInAtomicMassUnit</v>
      </c>
      <c r="G214" s="43" t="str">
        <f t="shared" si="1"/>
        <v>0.1134289257</v>
      </c>
      <c r="H214" s="43">
        <f t="shared" si="2"/>
        <v>0.1134289257</v>
      </c>
      <c r="I214" s="43" t="str">
        <f t="shared" si="3"/>
        <v>0.0000000025</v>
      </c>
      <c r="J214" s="44">
        <f t="shared" si="4"/>
        <v>0.0000000025</v>
      </c>
      <c r="K214" s="43" t="b">
        <f t="shared" si="5"/>
        <v>0</v>
      </c>
      <c r="L214" s="21" t="str">
        <f>IFERROR(__xludf.DUMMYFUNCTION("if(regexmatch(B214,""e(.*)$""),regexextract(B214,""e(.*)$""),"""")"),"")</f>
        <v/>
      </c>
      <c r="M214" s="45"/>
      <c r="N214" s="45">
        <f>countif(Constants!F:F,F214)</f>
        <v>1</v>
      </c>
      <c r="O214" s="21" t="str">
        <f>VLOOKUP($A214,Constants!$D:$D,1,false)</f>
        <v>muon mass in u</v>
      </c>
    </row>
    <row r="215">
      <c r="A215" s="6" t="s">
        <v>1569</v>
      </c>
      <c r="B215" s="6" t="s">
        <v>2543</v>
      </c>
      <c r="C215" s="6" t="s">
        <v>2544</v>
      </c>
      <c r="D215" s="6" t="s">
        <v>557</v>
      </c>
      <c r="E215" s="42">
        <f>countif(Constants!F:F,F215)</f>
        <v>1</v>
      </c>
      <c r="F215" s="21" t="str">
        <f>VLOOKUP($A215,Constants!$D:$F,3,false)</f>
        <v>MuonMolarMass</v>
      </c>
      <c r="G215" s="43" t="str">
        <f t="shared" si="1"/>
        <v>1.134289258e-4</v>
      </c>
      <c r="H215" s="43">
        <f t="shared" si="2"/>
        <v>0.0001134289258</v>
      </c>
      <c r="I215" s="43" t="str">
        <f t="shared" si="3"/>
        <v>0.000000025e-4</v>
      </c>
      <c r="J215" s="44">
        <f t="shared" si="4"/>
        <v>0</v>
      </c>
      <c r="K215" s="43" t="b">
        <f t="shared" si="5"/>
        <v>0</v>
      </c>
      <c r="L215" s="21" t="str">
        <f>IFERROR(__xludf.DUMMYFUNCTION("if(regexmatch(B215,""e(.*)$""),regexextract(B215,""e(.*)$""),"""")"),"-4")</f>
        <v>-4</v>
      </c>
      <c r="M215" s="45"/>
      <c r="N215" s="45">
        <f>countif(Constants!F:F,F215)</f>
        <v>1</v>
      </c>
      <c r="O215" s="21" t="str">
        <f>VLOOKUP($A215,Constants!$D:$D,1,false)</f>
        <v>muon molar mass</v>
      </c>
    </row>
    <row r="216">
      <c r="A216" s="6" t="s">
        <v>1573</v>
      </c>
      <c r="B216" s="6" t="s">
        <v>2545</v>
      </c>
      <c r="C216" s="6" t="s">
        <v>2542</v>
      </c>
      <c r="E216" s="42">
        <f>countif(Constants!F:F,F216)</f>
        <v>1</v>
      </c>
      <c r="F216" s="21" t="str">
        <f>VLOOKUP($A216,Constants!$D:$F,3,false)</f>
        <v>MuonNeutronMassRatio</v>
      </c>
      <c r="G216" s="43" t="str">
        <f t="shared" si="1"/>
        <v>0.1124545168</v>
      </c>
      <c r="H216" s="43">
        <f t="shared" si="2"/>
        <v>0.1124545168</v>
      </c>
      <c r="I216" s="43" t="str">
        <f t="shared" si="3"/>
        <v>0.0000000025</v>
      </c>
      <c r="J216" s="44">
        <f t="shared" si="4"/>
        <v>0.0000000025</v>
      </c>
      <c r="K216" s="43" t="b">
        <f t="shared" si="5"/>
        <v>0</v>
      </c>
      <c r="L216" s="21" t="str">
        <f>IFERROR(__xludf.DUMMYFUNCTION("if(regexmatch(B216,""e(.*)$""),regexextract(B216,""e(.*)$""),"""")"),"")</f>
        <v/>
      </c>
      <c r="M216" s="45"/>
      <c r="N216" s="45">
        <f>countif(Constants!F:F,F216)</f>
        <v>1</v>
      </c>
      <c r="O216" s="21" t="str">
        <f>VLOOKUP($A216,Constants!$D:$D,1,false)</f>
        <v>muon-neutron mass ratio</v>
      </c>
    </row>
    <row r="217">
      <c r="A217" s="6" t="s">
        <v>1578</v>
      </c>
      <c r="B217" s="6" t="s">
        <v>2546</v>
      </c>
      <c r="C217" s="6" t="s">
        <v>2547</v>
      </c>
      <c r="E217" s="42">
        <f>countif(Constants!F:F,F217)</f>
        <v>1</v>
      </c>
      <c r="F217" s="21" t="str">
        <f>VLOOKUP($A217,Constants!$D:$F,3,false)</f>
        <v>MuonProtonMagneticMomentRatio</v>
      </c>
      <c r="G217" s="43" t="str">
        <f t="shared" si="1"/>
        <v>-3.183345146</v>
      </c>
      <c r="H217" s="43">
        <f t="shared" si="2"/>
        <v>-3.183345146</v>
      </c>
      <c r="I217" s="43" t="str">
        <f t="shared" si="3"/>
        <v>0.000000071</v>
      </c>
      <c r="J217" s="44">
        <f t="shared" si="4"/>
        <v>0.000000071</v>
      </c>
      <c r="K217" s="43" t="b">
        <f t="shared" si="5"/>
        <v>0</v>
      </c>
      <c r="L217" s="21" t="str">
        <f>IFERROR(__xludf.DUMMYFUNCTION("if(regexmatch(B217,""e(.*)$""),regexextract(B217,""e(.*)$""),"""")"),"")</f>
        <v/>
      </c>
      <c r="M217" s="45"/>
      <c r="N217" s="45">
        <f>countif(Constants!F:F,F217)</f>
        <v>1</v>
      </c>
      <c r="O217" s="21" t="str">
        <f>VLOOKUP($A217,Constants!$D:$D,1,false)</f>
        <v>muon-proton mag. mom. ratio</v>
      </c>
    </row>
    <row r="218">
      <c r="A218" s="6" t="s">
        <v>1583</v>
      </c>
      <c r="B218" s="6" t="s">
        <v>2548</v>
      </c>
      <c r="C218" s="6" t="s">
        <v>2542</v>
      </c>
      <c r="E218" s="42">
        <f>countif(Constants!F:F,F218)</f>
        <v>1</v>
      </c>
      <c r="F218" s="21" t="str">
        <f>VLOOKUP($A218,Constants!$D:$F,3,false)</f>
        <v>MuonProtonMassRatio</v>
      </c>
      <c r="G218" s="43" t="str">
        <f t="shared" si="1"/>
        <v>0.1126095262</v>
      </c>
      <c r="H218" s="43">
        <f t="shared" si="2"/>
        <v>0.1126095262</v>
      </c>
      <c r="I218" s="43" t="str">
        <f t="shared" si="3"/>
        <v>0.0000000025</v>
      </c>
      <c r="J218" s="44">
        <f t="shared" si="4"/>
        <v>0.0000000025</v>
      </c>
      <c r="K218" s="43" t="b">
        <f t="shared" si="5"/>
        <v>0</v>
      </c>
      <c r="L218" s="21" t="str">
        <f>IFERROR(__xludf.DUMMYFUNCTION("if(regexmatch(B218,""e(.*)$""),regexextract(B218,""e(.*)$""),"""")"),"")</f>
        <v/>
      </c>
      <c r="M218" s="45"/>
      <c r="N218" s="45">
        <f>countif(Constants!F:F,F218)</f>
        <v>1</v>
      </c>
      <c r="O218" s="21" t="str">
        <f>VLOOKUP($A218,Constants!$D:$D,1,false)</f>
        <v>muon-proton mass ratio</v>
      </c>
    </row>
    <row r="219">
      <c r="A219" s="6" t="s">
        <v>1588</v>
      </c>
      <c r="B219" s="6" t="s">
        <v>2549</v>
      </c>
      <c r="C219" s="6" t="s">
        <v>2550</v>
      </c>
      <c r="E219" s="42">
        <f>countif(Constants!F:F,F219)</f>
        <v>1</v>
      </c>
      <c r="F219" s="21" t="str">
        <f>VLOOKUP($A219,Constants!$D:$F,3,false)</f>
        <v>MuonTauMassRatio</v>
      </c>
      <c r="G219" s="43" t="str">
        <f t="shared" si="1"/>
        <v>5.94635e-2</v>
      </c>
      <c r="H219" s="43">
        <f t="shared" si="2"/>
        <v>0.0594635</v>
      </c>
      <c r="I219" s="43" t="str">
        <f t="shared" si="3"/>
        <v>0.00040e-2</v>
      </c>
      <c r="J219" s="44">
        <f t="shared" si="4"/>
        <v>0.000004</v>
      </c>
      <c r="K219" s="43" t="b">
        <f t="shared" si="5"/>
        <v>0</v>
      </c>
      <c r="L219" s="21" t="str">
        <f>IFERROR(__xludf.DUMMYFUNCTION("if(regexmatch(B219,""e(.*)$""),regexextract(B219,""e(.*)$""),"""")"),"-2")</f>
        <v>-2</v>
      </c>
      <c r="M219" s="45"/>
      <c r="N219" s="45">
        <f>countif(Constants!F:F,F219)</f>
        <v>1</v>
      </c>
      <c r="O219" s="21" t="str">
        <f>VLOOKUP($A219,Constants!$D:$D,1,false)</f>
        <v>muon-tau mass ratio</v>
      </c>
    </row>
    <row r="220">
      <c r="A220" s="6" t="s">
        <v>1593</v>
      </c>
      <c r="B220" s="6" t="s">
        <v>2260</v>
      </c>
      <c r="C220" s="6" t="s">
        <v>2261</v>
      </c>
      <c r="D220" s="6" t="s">
        <v>643</v>
      </c>
      <c r="E220" s="42">
        <f>countif(Constants!F:F,F220)</f>
        <v>1</v>
      </c>
      <c r="F220" s="21" t="str">
        <f>VLOOKUP($A220,Constants!$D:$F,3,false)</f>
        <v>NaturalUnitOfAction</v>
      </c>
      <c r="G220" s="43" t="str">
        <f t="shared" si="1"/>
        <v>1.054571817e-34</v>
      </c>
      <c r="H220" s="43">
        <f t="shared" si="2"/>
        <v>0</v>
      </c>
      <c r="I220" s="43" t="str">
        <f t="shared" si="3"/>
        <v>(exact)</v>
      </c>
      <c r="J220" s="44" t="str">
        <f t="shared" si="4"/>
        <v/>
      </c>
      <c r="K220" s="43" t="b">
        <f t="shared" si="5"/>
        <v>0</v>
      </c>
      <c r="L220" s="21" t="str">
        <f>IFERROR(__xludf.DUMMYFUNCTION("if(regexmatch(B220,""e(.*)$""),regexextract(B220,""e(.*)$""),"""")"),"-34")</f>
        <v>-34</v>
      </c>
      <c r="M220" s="45"/>
      <c r="N220" s="45">
        <f>countif(Constants!F:F,F220)</f>
        <v>1</v>
      </c>
      <c r="O220" s="21" t="str">
        <f>VLOOKUP($A220,Constants!$D:$D,1,false)</f>
        <v>natural unit of action</v>
      </c>
    </row>
    <row r="221">
      <c r="A221" s="6" t="s">
        <v>1597</v>
      </c>
      <c r="B221" s="6" t="s">
        <v>2551</v>
      </c>
      <c r="C221" s="6" t="s">
        <v>2261</v>
      </c>
      <c r="D221" s="6" t="s">
        <v>1598</v>
      </c>
      <c r="E221" s="42">
        <f>countif(Constants!F:F,F221)</f>
        <v>1</v>
      </c>
      <c r="F221" s="21" t="str">
        <f>VLOOKUP($A221,Constants!$D:$F,3,false)</f>
        <v>NaturalUnitOfActionInEVS</v>
      </c>
      <c r="G221" s="43" t="str">
        <f t="shared" si="1"/>
        <v>6.582119569e-16</v>
      </c>
      <c r="H221" s="43">
        <f t="shared" si="2"/>
        <v>0</v>
      </c>
      <c r="I221" s="43" t="str">
        <f t="shared" si="3"/>
        <v>(exact)</v>
      </c>
      <c r="J221" s="44" t="str">
        <f t="shared" si="4"/>
        <v/>
      </c>
      <c r="K221" s="43" t="b">
        <f t="shared" si="5"/>
        <v>0</v>
      </c>
      <c r="L221" s="21" t="str">
        <f>IFERROR(__xludf.DUMMYFUNCTION("if(regexmatch(B221,""e(.*)$""),regexextract(B221,""e(.*)$""),"""")"),"-16")</f>
        <v>-16</v>
      </c>
      <c r="M221" s="45"/>
      <c r="N221" s="45">
        <f>countif(Constants!F:F,F221)</f>
        <v>1</v>
      </c>
      <c r="O221" s="21" t="str">
        <f>VLOOKUP($A221,Constants!$D:$D,1,false)</f>
        <v>natural unit of action in eV s</v>
      </c>
    </row>
    <row r="222">
      <c r="A222" s="6" t="s">
        <v>1602</v>
      </c>
      <c r="B222" s="6" t="s">
        <v>2379</v>
      </c>
      <c r="C222" s="6" t="s">
        <v>2380</v>
      </c>
      <c r="D222" s="6" t="s">
        <v>543</v>
      </c>
      <c r="E222" s="42">
        <f>countif(Constants!F:F,F222)</f>
        <v>1</v>
      </c>
      <c r="F222" s="21" t="str">
        <f>VLOOKUP($A222,Constants!$D:$F,3,false)</f>
        <v>NaturalUnitOfEnergy</v>
      </c>
      <c r="G222" s="43" t="str">
        <f t="shared" si="1"/>
        <v>8.1871057880e-14</v>
      </c>
      <c r="H222" s="43">
        <f t="shared" si="2"/>
        <v>0</v>
      </c>
      <c r="I222" s="43" t="str">
        <f t="shared" si="3"/>
        <v>0.0000000026e-14</v>
      </c>
      <c r="J222" s="44">
        <f t="shared" si="4"/>
        <v>0</v>
      </c>
      <c r="K222" s="43" t="b">
        <f t="shared" si="5"/>
        <v>0</v>
      </c>
      <c r="L222" s="21" t="str">
        <f>IFERROR(__xludf.DUMMYFUNCTION("if(regexmatch(B222,""e(.*)$""),regexextract(B222,""e(.*)$""),"""")"),"-14")</f>
        <v>-14</v>
      </c>
      <c r="M222" s="45"/>
      <c r="N222" s="45">
        <f>countif(Constants!F:F,F222)</f>
        <v>1</v>
      </c>
      <c r="O222" s="21" t="str">
        <f>VLOOKUP($A222,Constants!$D:$D,1,false)</f>
        <v>natural unit of energy</v>
      </c>
    </row>
    <row r="223">
      <c r="A223" s="6" t="s">
        <v>1606</v>
      </c>
      <c r="B223" s="6" t="s">
        <v>2381</v>
      </c>
      <c r="C223" s="6" t="s">
        <v>2382</v>
      </c>
      <c r="D223" s="6" t="s">
        <v>548</v>
      </c>
      <c r="E223" s="42">
        <f>countif(Constants!F:F,F223)</f>
        <v>1</v>
      </c>
      <c r="F223" s="21" t="str">
        <f>VLOOKUP($A223,Constants!$D:$F,3,false)</f>
        <v>NaturalUnitOfEnergyInMeV</v>
      </c>
      <c r="G223" s="43" t="str">
        <f t="shared" si="1"/>
        <v>0.51099895069</v>
      </c>
      <c r="H223" s="43">
        <f t="shared" si="2"/>
        <v>0.5109989507</v>
      </c>
      <c r="I223" s="43" t="str">
        <f t="shared" si="3"/>
        <v>0.00000000016</v>
      </c>
      <c r="J223" s="44">
        <f t="shared" si="4"/>
        <v>0.00000000016</v>
      </c>
      <c r="K223" s="43" t="b">
        <f t="shared" si="5"/>
        <v>0</v>
      </c>
      <c r="L223" s="21" t="str">
        <f>IFERROR(__xludf.DUMMYFUNCTION("if(regexmatch(B223,""e(.*)$""),regexextract(B223,""e(.*)$""),"""")"),"")</f>
        <v/>
      </c>
      <c r="M223" s="45"/>
      <c r="N223" s="45">
        <f>countif(Constants!F:F,F223)</f>
        <v>1</v>
      </c>
      <c r="O223" s="21" t="str">
        <f>VLOOKUP($A223,Constants!$D:$D,1,false)</f>
        <v>natural unit of energy in MeV</v>
      </c>
    </row>
    <row r="224">
      <c r="A224" s="6" t="s">
        <v>1609</v>
      </c>
      <c r="B224" s="6" t="s">
        <v>2552</v>
      </c>
      <c r="C224" s="6" t="s">
        <v>2553</v>
      </c>
      <c r="D224" s="6" t="s">
        <v>571</v>
      </c>
      <c r="E224" s="42">
        <f>countif(Constants!F:F,F224)</f>
        <v>1</v>
      </c>
      <c r="F224" s="21" t="str">
        <f>VLOOKUP($A224,Constants!$D:$F,3,false)</f>
        <v>NaturalUnitOfLength</v>
      </c>
      <c r="G224" s="43" t="str">
        <f t="shared" si="1"/>
        <v>3.8615926744e-13</v>
      </c>
      <c r="H224" s="43">
        <f t="shared" si="2"/>
        <v>0</v>
      </c>
      <c r="I224" s="43" t="str">
        <f t="shared" si="3"/>
        <v>0.0000000012e-13</v>
      </c>
      <c r="J224" s="44">
        <f t="shared" si="4"/>
        <v>0</v>
      </c>
      <c r="K224" s="43" t="b">
        <f t="shared" si="5"/>
        <v>0</v>
      </c>
      <c r="L224" s="21" t="str">
        <f>IFERROR(__xludf.DUMMYFUNCTION("if(regexmatch(B224,""e(.*)$""),regexextract(B224,""e(.*)$""),"""")"),"-13")</f>
        <v>-13</v>
      </c>
      <c r="M224" s="45"/>
      <c r="N224" s="45">
        <f>countif(Constants!F:F,F224)</f>
        <v>1</v>
      </c>
      <c r="O224" s="21" t="str">
        <f>VLOOKUP($A224,Constants!$D:$D,1,false)</f>
        <v>natural unit of length</v>
      </c>
    </row>
    <row r="225">
      <c r="A225" s="6" t="s">
        <v>1613</v>
      </c>
      <c r="B225" s="6" t="s">
        <v>2291</v>
      </c>
      <c r="C225" s="6" t="s">
        <v>2292</v>
      </c>
      <c r="D225" s="6" t="s">
        <v>538</v>
      </c>
      <c r="E225" s="42">
        <f>countif(Constants!F:F,F225)</f>
        <v>1</v>
      </c>
      <c r="F225" s="21" t="str">
        <f>VLOOKUP($A225,Constants!$D:$F,3,false)</f>
        <v>NaturalUnitOfMass</v>
      </c>
      <c r="G225" s="43" t="str">
        <f t="shared" si="1"/>
        <v>9.1093837139e-31</v>
      </c>
      <c r="H225" s="43">
        <f t="shared" si="2"/>
        <v>0</v>
      </c>
      <c r="I225" s="43" t="str">
        <f t="shared" si="3"/>
        <v>0.0000000028e-31</v>
      </c>
      <c r="J225" s="44">
        <f t="shared" si="4"/>
        <v>0</v>
      </c>
      <c r="K225" s="43" t="b">
        <f t="shared" si="5"/>
        <v>0</v>
      </c>
      <c r="L225" s="21" t="str">
        <f>IFERROR(__xludf.DUMMYFUNCTION("if(regexmatch(B225,""e(.*)$""),regexextract(B225,""e(.*)$""),"""")"),"-31")</f>
        <v>-31</v>
      </c>
      <c r="M225" s="45"/>
      <c r="N225" s="45">
        <f>countif(Constants!F:F,F225)</f>
        <v>1</v>
      </c>
      <c r="O225" s="21" t="str">
        <f>VLOOKUP($A225,Constants!$D:$D,1,false)</f>
        <v>natural unit of mass</v>
      </c>
    </row>
    <row r="226">
      <c r="A226" s="6" t="s">
        <v>1617</v>
      </c>
      <c r="B226" s="6" t="s">
        <v>2554</v>
      </c>
      <c r="C226" s="6" t="s">
        <v>2555</v>
      </c>
      <c r="D226" s="6" t="s">
        <v>736</v>
      </c>
      <c r="E226" s="42">
        <f>countif(Constants!F:F,F226)</f>
        <v>1</v>
      </c>
      <c r="F226" s="21" t="str">
        <f>VLOOKUP($A226,Constants!$D:$F,3,false)</f>
        <v>NaturalUnitOfMomentum</v>
      </c>
      <c r="G226" s="43" t="str">
        <f t="shared" si="1"/>
        <v>2.73092453446e-22</v>
      </c>
      <c r="H226" s="43">
        <f t="shared" si="2"/>
        <v>0</v>
      </c>
      <c r="I226" s="43" t="str">
        <f t="shared" si="3"/>
        <v>0.00000000085e-22</v>
      </c>
      <c r="J226" s="44">
        <f t="shared" si="4"/>
        <v>0</v>
      </c>
      <c r="K226" s="43" t="b">
        <f t="shared" si="5"/>
        <v>0</v>
      </c>
      <c r="L226" s="21" t="str">
        <f>IFERROR(__xludf.DUMMYFUNCTION("if(regexmatch(B226,""e(.*)$""),regexextract(B226,""e(.*)$""),"""")"),"-22")</f>
        <v>-22</v>
      </c>
      <c r="M226" s="45"/>
      <c r="N226" s="45">
        <f>countif(Constants!F:F,F226)</f>
        <v>1</v>
      </c>
      <c r="O226" s="21" t="str">
        <f>VLOOKUP($A226,Constants!$D:$D,1,false)</f>
        <v>natural unit of momentum</v>
      </c>
    </row>
    <row r="227">
      <c r="A227" s="6" t="s">
        <v>1622</v>
      </c>
      <c r="B227" s="6" t="s">
        <v>2381</v>
      </c>
      <c r="C227" s="6" t="s">
        <v>2382</v>
      </c>
      <c r="D227" s="6" t="s">
        <v>1623</v>
      </c>
      <c r="E227" s="42">
        <f>countif(Constants!F:F,F227)</f>
        <v>1</v>
      </c>
      <c r="F227" s="21" t="str">
        <f>VLOOKUP($A227,Constants!$D:$F,3,false)</f>
        <v>NaturalUnitOfMomentumInMeV-PER-c</v>
      </c>
      <c r="G227" s="43" t="str">
        <f t="shared" si="1"/>
        <v>0.51099895069</v>
      </c>
      <c r="H227" s="43">
        <f t="shared" si="2"/>
        <v>0.5109989507</v>
      </c>
      <c r="I227" s="43" t="str">
        <f t="shared" si="3"/>
        <v>0.00000000016</v>
      </c>
      <c r="J227" s="44">
        <f t="shared" si="4"/>
        <v>0.00000000016</v>
      </c>
      <c r="K227" s="43" t="b">
        <f t="shared" si="5"/>
        <v>0</v>
      </c>
      <c r="L227" s="21" t="str">
        <f>IFERROR(__xludf.DUMMYFUNCTION("if(regexmatch(B227,""e(.*)$""),regexextract(B227,""e(.*)$""),"""")"),"")</f>
        <v/>
      </c>
      <c r="M227" s="45"/>
      <c r="N227" s="45">
        <f>countif(Constants!F:F,F227)</f>
        <v>1</v>
      </c>
      <c r="O227" s="21" t="str">
        <f>VLOOKUP($A227,Constants!$D:$D,1,false)</f>
        <v>natural unit of momentum in MeV/c</v>
      </c>
    </row>
    <row r="228">
      <c r="A228" s="6" t="s">
        <v>1628</v>
      </c>
      <c r="B228" s="6" t="s">
        <v>2556</v>
      </c>
      <c r="C228" s="6" t="s">
        <v>2557</v>
      </c>
      <c r="D228" s="6" t="s">
        <v>749</v>
      </c>
      <c r="E228" s="42">
        <f>countif(Constants!F:F,F228)</f>
        <v>1</v>
      </c>
      <c r="F228" s="21" t="str">
        <f>VLOOKUP($A228,Constants!$D:$F,3,false)</f>
        <v>NaturalUnitOfTime</v>
      </c>
      <c r="G228" s="43" t="str">
        <f t="shared" si="1"/>
        <v>1.28808866644e-21</v>
      </c>
      <c r="H228" s="43">
        <f t="shared" si="2"/>
        <v>0</v>
      </c>
      <c r="I228" s="43" t="str">
        <f t="shared" si="3"/>
        <v>0.00000000040e-21</v>
      </c>
      <c r="J228" s="44">
        <f t="shared" si="4"/>
        <v>0</v>
      </c>
      <c r="K228" s="43" t="b">
        <f t="shared" si="5"/>
        <v>0</v>
      </c>
      <c r="L228" s="21" t="str">
        <f>IFERROR(__xludf.DUMMYFUNCTION("if(regexmatch(B228,""e(.*)$""),regexextract(B228,""e(.*)$""),"""")"),"-21")</f>
        <v>-21</v>
      </c>
      <c r="M228" s="45"/>
      <c r="N228" s="45">
        <f>countif(Constants!F:F,F228)</f>
        <v>1</v>
      </c>
      <c r="O228" s="21" t="str">
        <f>VLOOKUP($A228,Constants!$D:$D,1,false)</f>
        <v>natural unit of time</v>
      </c>
    </row>
    <row r="229">
      <c r="A229" s="6" t="s">
        <v>1632</v>
      </c>
      <c r="B229" s="6" t="s">
        <v>2474</v>
      </c>
      <c r="C229" s="6" t="s">
        <v>2261</v>
      </c>
      <c r="D229" s="6" t="s">
        <v>754</v>
      </c>
      <c r="E229" s="42">
        <f>countif(Constants!F:F,F229)</f>
        <v>1</v>
      </c>
      <c r="F229" s="21" t="str">
        <f>VLOOKUP($A229,Constants!$D:$F,3,false)</f>
        <v>NaturalUnitOfVelocity</v>
      </c>
      <c r="G229" s="43" t="str">
        <f t="shared" si="1"/>
        <v>299792458</v>
      </c>
      <c r="H229" s="43">
        <f t="shared" si="2"/>
        <v>299792458</v>
      </c>
      <c r="I229" s="43" t="str">
        <f t="shared" si="3"/>
        <v>(exact)</v>
      </c>
      <c r="J229" s="44" t="str">
        <f t="shared" si="4"/>
        <v/>
      </c>
      <c r="K229" s="43" t="b">
        <f t="shared" si="5"/>
        <v>0</v>
      </c>
      <c r="L229" s="21" t="str">
        <f>IFERROR(__xludf.DUMMYFUNCTION("if(regexmatch(B229,""e(.*)$""),regexextract(B229,""e(.*)$""),"""")"),"")</f>
        <v/>
      </c>
      <c r="M229" s="45"/>
      <c r="N229" s="45">
        <f>countif(Constants!F:F,F229)</f>
        <v>1</v>
      </c>
      <c r="O229" s="21" t="str">
        <f>VLOOKUP($A229,Constants!$D:$D,1,false)</f>
        <v>natural unit of velocity</v>
      </c>
    </row>
    <row r="230">
      <c r="A230" s="6" t="s">
        <v>1636</v>
      </c>
      <c r="B230" s="6" t="s">
        <v>2558</v>
      </c>
      <c r="C230" s="6" t="s">
        <v>2559</v>
      </c>
      <c r="D230" s="6" t="s">
        <v>571</v>
      </c>
      <c r="E230" s="42">
        <f>countif(Constants!F:F,F230)</f>
        <v>1</v>
      </c>
      <c r="F230" s="21" t="str">
        <f>VLOOKUP($A230,Constants!$D:$F,3,false)</f>
        <v>NeutronComptonWavelength</v>
      </c>
      <c r="G230" s="43" t="str">
        <f t="shared" si="1"/>
        <v>1.31959090382e-15</v>
      </c>
      <c r="H230" s="43">
        <f t="shared" si="2"/>
        <v>0</v>
      </c>
      <c r="I230" s="43" t="str">
        <f t="shared" si="3"/>
        <v>0.00000000067e-15</v>
      </c>
      <c r="J230" s="44">
        <f t="shared" si="4"/>
        <v>0</v>
      </c>
      <c r="K230" s="43" t="b">
        <f t="shared" si="5"/>
        <v>0</v>
      </c>
      <c r="L230" s="21" t="str">
        <f>IFERROR(__xludf.DUMMYFUNCTION("if(regexmatch(B230,""e(.*)$""),regexextract(B230,""e(.*)$""),"""")"),"-15")</f>
        <v>-15</v>
      </c>
      <c r="M230" s="45"/>
      <c r="N230" s="45">
        <f>countif(Constants!F:F,F230)</f>
        <v>1</v>
      </c>
      <c r="O230" s="21" t="str">
        <f>VLOOKUP($A230,Constants!$D:$D,1,false)</f>
        <v>neutron Compton wavelength</v>
      </c>
    </row>
    <row r="231">
      <c r="A231" s="6" t="s">
        <v>1640</v>
      </c>
      <c r="B231" s="6" t="s">
        <v>2560</v>
      </c>
      <c r="C231" s="6" t="s">
        <v>2561</v>
      </c>
      <c r="E231" s="42">
        <f>countif(Constants!F:F,F231)</f>
        <v>1</v>
      </c>
      <c r="F231" s="21" t="str">
        <f>VLOOKUP($A231,Constants!$D:$F,3,false)</f>
        <v>NeutronElectronMagneticMomentRatio</v>
      </c>
      <c r="G231" s="43" t="str">
        <f t="shared" si="1"/>
        <v>1.04066884e-3</v>
      </c>
      <c r="H231" s="43">
        <f t="shared" si="2"/>
        <v>0.00104066884</v>
      </c>
      <c r="I231" s="43" t="str">
        <f t="shared" si="3"/>
        <v>0.00000024e-3</v>
      </c>
      <c r="J231" s="44">
        <f t="shared" si="4"/>
        <v>0.00000000024</v>
      </c>
      <c r="K231" s="43" t="b">
        <f t="shared" si="5"/>
        <v>0</v>
      </c>
      <c r="L231" s="21" t="str">
        <f>IFERROR(__xludf.DUMMYFUNCTION("if(regexmatch(B231,""e(.*)$""),regexextract(B231,""e(.*)$""),"""")"),"-3")</f>
        <v>-3</v>
      </c>
      <c r="M231" s="45"/>
      <c r="N231" s="45">
        <f>countif(Constants!F:F,F231)</f>
        <v>1</v>
      </c>
      <c r="O231" s="21" t="str">
        <f>VLOOKUP($A231,Constants!$D:$D,1,false)</f>
        <v>neutron-electron mag. mom. ratio</v>
      </c>
    </row>
    <row r="232">
      <c r="A232" s="6" t="s">
        <v>1645</v>
      </c>
      <c r="B232" s="6" t="s">
        <v>2562</v>
      </c>
      <c r="C232" s="6" t="s">
        <v>2563</v>
      </c>
      <c r="E232" s="42">
        <f>countif(Constants!F:F,F232)</f>
        <v>1</v>
      </c>
      <c r="F232" s="21" t="str">
        <f>VLOOKUP($A232,Constants!$D:$F,3,false)</f>
        <v>NeutronElectronMassRatio</v>
      </c>
      <c r="G232" s="43" t="str">
        <f t="shared" si="1"/>
        <v>1838.68366200</v>
      </c>
      <c r="H232" s="43">
        <f t="shared" si="2"/>
        <v>1838.683662</v>
      </c>
      <c r="I232" s="43" t="str">
        <f t="shared" si="3"/>
        <v>0.00000074</v>
      </c>
      <c r="J232" s="44">
        <f t="shared" si="4"/>
        <v>0.00000074</v>
      </c>
      <c r="K232" s="43" t="b">
        <f t="shared" si="5"/>
        <v>0</v>
      </c>
      <c r="L232" s="21" t="str">
        <f>IFERROR(__xludf.DUMMYFUNCTION("if(regexmatch(B232,""e(.*)$""),regexextract(B232,""e(.*)$""),"""")"),"")</f>
        <v/>
      </c>
      <c r="M232" s="45"/>
      <c r="N232" s="45">
        <f>countif(Constants!F:F,F232)</f>
        <v>1</v>
      </c>
      <c r="O232" s="21" t="str">
        <f>VLOOKUP($A232,Constants!$D:$D,1,false)</f>
        <v>neutron-electron mass ratio</v>
      </c>
    </row>
    <row r="233">
      <c r="A233" s="6" t="s">
        <v>1650</v>
      </c>
      <c r="B233" s="6" t="s">
        <v>2564</v>
      </c>
      <c r="C233" s="6" t="s">
        <v>2565</v>
      </c>
      <c r="E233" s="42">
        <f>countif(Constants!F:F,F233)</f>
        <v>1</v>
      </c>
      <c r="F233" s="21" t="str">
        <f>VLOOKUP($A233,Constants!$D:$F,3,false)</f>
        <v>NeutronGFactor</v>
      </c>
      <c r="G233" s="43" t="str">
        <f t="shared" si="1"/>
        <v>-3.82608552</v>
      </c>
      <c r="H233" s="43">
        <f t="shared" si="2"/>
        <v>-3.82608552</v>
      </c>
      <c r="I233" s="43" t="str">
        <f t="shared" si="3"/>
        <v>0.00000090</v>
      </c>
      <c r="J233" s="44">
        <f t="shared" si="4"/>
        <v>0.0000009</v>
      </c>
      <c r="K233" s="43" t="b">
        <f t="shared" si="5"/>
        <v>0</v>
      </c>
      <c r="L233" s="21" t="str">
        <f>IFERROR(__xludf.DUMMYFUNCTION("if(regexmatch(B233,""e(.*)$""),regexextract(B233,""e(.*)$""),"""")"),"")</f>
        <v/>
      </c>
      <c r="M233" s="45"/>
      <c r="N233" s="45">
        <f>countif(Constants!F:F,F233)</f>
        <v>1</v>
      </c>
      <c r="O233" s="21" t="str">
        <f>VLOOKUP($A233,Constants!$D:$D,1,false)</f>
        <v>neutron g factor</v>
      </c>
    </row>
    <row r="234">
      <c r="A234" s="6" t="s">
        <v>1654</v>
      </c>
      <c r="B234" s="6" t="s">
        <v>2566</v>
      </c>
      <c r="C234" s="6" t="s">
        <v>2567</v>
      </c>
      <c r="D234" s="6" t="s">
        <v>961</v>
      </c>
      <c r="E234" s="42">
        <f>countif(Constants!F:F,F234)</f>
        <v>1</v>
      </c>
      <c r="F234" s="21" t="str">
        <f>VLOOKUP($A234,Constants!$D:$F,3,false)</f>
        <v>NeutronGyromagneticRatio</v>
      </c>
      <c r="G234" s="43" t="str">
        <f t="shared" si="1"/>
        <v>1.83247174e8</v>
      </c>
      <c r="H234" s="43">
        <f t="shared" si="2"/>
        <v>183247174</v>
      </c>
      <c r="I234" s="43" t="str">
        <f t="shared" si="3"/>
        <v>0.00000043e8</v>
      </c>
      <c r="J234" s="44">
        <f t="shared" si="4"/>
        <v>43</v>
      </c>
      <c r="K234" s="43" t="b">
        <f t="shared" si="5"/>
        <v>0</v>
      </c>
      <c r="L234" s="21" t="str">
        <f>IFERROR(__xludf.DUMMYFUNCTION("if(regexmatch(B234,""e(.*)$""),regexextract(B234,""e(.*)$""),"""")"),"8")</f>
        <v>8</v>
      </c>
      <c r="M234" s="45"/>
      <c r="N234" s="45">
        <f>countif(Constants!F:F,F234)</f>
        <v>1</v>
      </c>
      <c r="O234" s="21" t="str">
        <f>VLOOKUP($A234,Constants!$D:$D,1,false)</f>
        <v>neutron gyromag. ratio</v>
      </c>
    </row>
    <row r="235">
      <c r="A235" s="6" t="s">
        <v>2568</v>
      </c>
      <c r="B235" s="6" t="s">
        <v>2569</v>
      </c>
      <c r="C235" s="6" t="s">
        <v>2570</v>
      </c>
      <c r="D235" s="6" t="s">
        <v>969</v>
      </c>
      <c r="E235" s="42">
        <f>countif(Constants!F:F,F235)</f>
        <v>1</v>
      </c>
      <c r="F235" s="47" t="s">
        <v>2571</v>
      </c>
      <c r="G235" s="43" t="str">
        <f t="shared" si="1"/>
        <v>29.1646935</v>
      </c>
      <c r="H235" s="43">
        <f t="shared" si="2"/>
        <v>29.1646935</v>
      </c>
      <c r="I235" s="43" t="str">
        <f t="shared" si="3"/>
        <v>0.0000069</v>
      </c>
      <c r="J235" s="44">
        <f t="shared" si="4"/>
        <v>0.0000069</v>
      </c>
      <c r="K235" s="43" t="b">
        <f t="shared" si="5"/>
        <v>0</v>
      </c>
      <c r="L235" s="21" t="str">
        <f>IFERROR(__xludf.DUMMYFUNCTION("if(regexmatch(B235,""e(.*)$""),regexextract(B235,""e(.*)$""),"""")"),"")</f>
        <v/>
      </c>
      <c r="M235" s="45"/>
      <c r="N235" s="45">
        <f>countif(Constants!F:F,F235)</f>
        <v>1</v>
      </c>
      <c r="O235" s="21" t="str">
        <f>VLOOKUP($A235,Constants!$D:$D,1,false)</f>
        <v>#N/A</v>
      </c>
    </row>
    <row r="236">
      <c r="A236" s="6" t="s">
        <v>1663</v>
      </c>
      <c r="B236" s="6" t="s">
        <v>2572</v>
      </c>
      <c r="C236" s="6" t="s">
        <v>2573</v>
      </c>
      <c r="D236" s="6" t="s">
        <v>714</v>
      </c>
      <c r="E236" s="42">
        <f>countif(Constants!F:F,F236)</f>
        <v>1</v>
      </c>
      <c r="F236" s="21" t="str">
        <f>VLOOKUP($A236,Constants!$D:$F,3,false)</f>
        <v>NeutronMagneticMoment</v>
      </c>
      <c r="G236" s="43" t="str">
        <f t="shared" si="1"/>
        <v>-9.6623653e-27</v>
      </c>
      <c r="H236" s="43">
        <f t="shared" si="2"/>
        <v>0</v>
      </c>
      <c r="I236" s="43" t="str">
        <f t="shared" si="3"/>
        <v>0.0000023e-27</v>
      </c>
      <c r="J236" s="44">
        <f t="shared" si="4"/>
        <v>0</v>
      </c>
      <c r="K236" s="43" t="b">
        <f t="shared" si="5"/>
        <v>0</v>
      </c>
      <c r="L236" s="21" t="str">
        <f>IFERROR(__xludf.DUMMYFUNCTION("if(regexmatch(B236,""e(.*)$""),regexextract(B236,""e(.*)$""),"""")"),"-27")</f>
        <v>-27</v>
      </c>
      <c r="M236" s="45"/>
      <c r="N236" s="45">
        <f>countif(Constants!F:F,F236)</f>
        <v>1</v>
      </c>
      <c r="O236" s="21" t="str">
        <f>VLOOKUP($A236,Constants!$D:$D,1,false)</f>
        <v>neutron mag. mom.</v>
      </c>
    </row>
    <row r="237">
      <c r="A237" s="6" t="s">
        <v>1668</v>
      </c>
      <c r="B237" s="6" t="s">
        <v>2574</v>
      </c>
      <c r="C237" s="6" t="s">
        <v>2575</v>
      </c>
      <c r="E237" s="42">
        <f>countif(Constants!F:F,F237)</f>
        <v>1</v>
      </c>
      <c r="F237" s="21" t="str">
        <f>VLOOKUP($A237,Constants!$D:$F,3,false)</f>
        <v>NeutronMagneticMomentToBohrMagnetonRatio</v>
      </c>
      <c r="G237" s="43" t="str">
        <f t="shared" si="1"/>
        <v>-1.04187565e-3</v>
      </c>
      <c r="H237" s="43">
        <f t="shared" si="2"/>
        <v>-0.00104187565</v>
      </c>
      <c r="I237" s="43" t="str">
        <f t="shared" si="3"/>
        <v>0.00000025e-3</v>
      </c>
      <c r="J237" s="44">
        <f t="shared" si="4"/>
        <v>0.00000000025</v>
      </c>
      <c r="K237" s="43" t="b">
        <f t="shared" si="5"/>
        <v>0</v>
      </c>
      <c r="L237" s="21" t="str">
        <f>IFERROR(__xludf.DUMMYFUNCTION("if(regexmatch(B237,""e(.*)$""),regexextract(B237,""e(.*)$""),"""")"),"-3")</f>
        <v>-3</v>
      </c>
      <c r="M237" s="45"/>
      <c r="N237" s="45">
        <f>countif(Constants!F:F,F237)</f>
        <v>1</v>
      </c>
      <c r="O237" s="21" t="str">
        <f>VLOOKUP($A237,Constants!$D:$D,1,false)</f>
        <v>neutron mag. mom. to Bohr magneton ratio</v>
      </c>
    </row>
    <row r="238">
      <c r="A238" s="6" t="s">
        <v>1673</v>
      </c>
      <c r="B238" s="6" t="s">
        <v>2576</v>
      </c>
      <c r="C238" s="6" t="s">
        <v>2577</v>
      </c>
      <c r="E238" s="42">
        <f>countif(Constants!F:F,F238)</f>
        <v>1</v>
      </c>
      <c r="F238" s="21" t="str">
        <f>VLOOKUP($A238,Constants!$D:$F,3,false)</f>
        <v>NeutronMagneticMomentToNuclearMagnetonRatio</v>
      </c>
      <c r="G238" s="43" t="str">
        <f t="shared" si="1"/>
        <v>-1.91304276</v>
      </c>
      <c r="H238" s="43">
        <f t="shared" si="2"/>
        <v>-1.91304276</v>
      </c>
      <c r="I238" s="43" t="str">
        <f t="shared" si="3"/>
        <v>0.00000045</v>
      </c>
      <c r="J238" s="44">
        <f t="shared" si="4"/>
        <v>0.00000045</v>
      </c>
      <c r="K238" s="43" t="b">
        <f t="shared" si="5"/>
        <v>0</v>
      </c>
      <c r="L238" s="21" t="str">
        <f>IFERROR(__xludf.DUMMYFUNCTION("if(regexmatch(B238,""e(.*)$""),regexextract(B238,""e(.*)$""),"""")"),"")</f>
        <v/>
      </c>
      <c r="M238" s="45"/>
      <c r="N238" s="45">
        <f>countif(Constants!F:F,F238)</f>
        <v>1</v>
      </c>
      <c r="O238" s="21" t="str">
        <f>VLOOKUP($A238,Constants!$D:$D,1,false)</f>
        <v>neutron mag. mom. to nuclear magneton ratio</v>
      </c>
    </row>
    <row r="239">
      <c r="A239" s="6" t="s">
        <v>1678</v>
      </c>
      <c r="B239" s="6" t="s">
        <v>2578</v>
      </c>
      <c r="C239" s="6" t="s">
        <v>2579</v>
      </c>
      <c r="D239" s="6" t="s">
        <v>538</v>
      </c>
      <c r="E239" s="42">
        <f>countif(Constants!F:F,F239)</f>
        <v>1</v>
      </c>
      <c r="F239" s="21" t="str">
        <f>VLOOKUP($A239,Constants!$D:$F,3,false)</f>
        <v>NeutronMass</v>
      </c>
      <c r="G239" s="43" t="str">
        <f t="shared" si="1"/>
        <v>1.67492750056e-27</v>
      </c>
      <c r="H239" s="43">
        <f t="shared" si="2"/>
        <v>0</v>
      </c>
      <c r="I239" s="43" t="str">
        <f t="shared" si="3"/>
        <v>0.00000000085e-27</v>
      </c>
      <c r="J239" s="44">
        <f t="shared" si="4"/>
        <v>0</v>
      </c>
      <c r="K239" s="43" t="b">
        <f t="shared" si="5"/>
        <v>0</v>
      </c>
      <c r="L239" s="21" t="str">
        <f>IFERROR(__xludf.DUMMYFUNCTION("if(regexmatch(B239,""e(.*)$""),regexextract(B239,""e(.*)$""),"""")"),"-27")</f>
        <v>-27</v>
      </c>
      <c r="M239" s="45"/>
      <c r="N239" s="45">
        <f>countif(Constants!F:F,F239)</f>
        <v>1</v>
      </c>
      <c r="O239" s="21" t="str">
        <f>VLOOKUP($A239,Constants!$D:$D,1,false)</f>
        <v>neutron mass</v>
      </c>
    </row>
    <row r="240">
      <c r="A240" s="6" t="s">
        <v>1682</v>
      </c>
      <c r="B240" s="6" t="s">
        <v>2580</v>
      </c>
      <c r="C240" s="6" t="s">
        <v>2581</v>
      </c>
      <c r="D240" s="6" t="s">
        <v>543</v>
      </c>
      <c r="E240" s="42">
        <f>countif(Constants!F:F,F240)</f>
        <v>1</v>
      </c>
      <c r="F240" s="21" t="str">
        <f>VLOOKUP($A240,Constants!$D:$F,3,false)</f>
        <v>NeutronMassEnergyEquivalent</v>
      </c>
      <c r="G240" s="43" t="str">
        <f t="shared" si="1"/>
        <v>1.50534976514e-10</v>
      </c>
      <c r="H240" s="43">
        <f t="shared" si="2"/>
        <v>0.0000000001505349765</v>
      </c>
      <c r="I240" s="43" t="str">
        <f t="shared" si="3"/>
        <v>0.00000000076e-10</v>
      </c>
      <c r="J240" s="44">
        <f t="shared" si="4"/>
        <v>0</v>
      </c>
      <c r="K240" s="43" t="b">
        <f t="shared" si="5"/>
        <v>0</v>
      </c>
      <c r="L240" s="21" t="str">
        <f>IFERROR(__xludf.DUMMYFUNCTION("if(regexmatch(B240,""e(.*)$""),regexextract(B240,""e(.*)$""),"""")"),"-10")</f>
        <v>-10</v>
      </c>
      <c r="M240" s="45"/>
      <c r="N240" s="45">
        <f>countif(Constants!F:F,F240)</f>
        <v>1</v>
      </c>
      <c r="O240" s="21" t="str">
        <f>VLOOKUP($A240,Constants!$D:$D,1,false)</f>
        <v>neutron mass energy equivalent</v>
      </c>
    </row>
    <row r="241">
      <c r="A241" s="6" t="s">
        <v>1686</v>
      </c>
      <c r="B241" s="6" t="s">
        <v>2582</v>
      </c>
      <c r="C241" s="6" t="s">
        <v>2583</v>
      </c>
      <c r="D241" s="6" t="s">
        <v>548</v>
      </c>
      <c r="E241" s="42">
        <f>countif(Constants!F:F,F241)</f>
        <v>1</v>
      </c>
      <c r="F241" s="21" t="str">
        <f>VLOOKUP($A241,Constants!$D:$F,3,false)</f>
        <v>NeutronMassEnergyEquivalentInMeV</v>
      </c>
      <c r="G241" s="43" t="str">
        <f t="shared" si="1"/>
        <v>939.56542194</v>
      </c>
      <c r="H241" s="43">
        <f t="shared" si="2"/>
        <v>939.5654219</v>
      </c>
      <c r="I241" s="43" t="str">
        <f t="shared" si="3"/>
        <v>0.00000048</v>
      </c>
      <c r="J241" s="44">
        <f t="shared" si="4"/>
        <v>0.00000048</v>
      </c>
      <c r="K241" s="43" t="b">
        <f t="shared" si="5"/>
        <v>0</v>
      </c>
      <c r="L241" s="21" t="str">
        <f>IFERROR(__xludf.DUMMYFUNCTION("if(regexmatch(B241,""e(.*)$""),regexextract(B241,""e(.*)$""),"""")"),"")</f>
        <v/>
      </c>
      <c r="M241" s="45"/>
      <c r="N241" s="45">
        <f>countif(Constants!F:F,F241)</f>
        <v>1</v>
      </c>
      <c r="O241" s="21" t="str">
        <f>VLOOKUP($A241,Constants!$D:$D,1,false)</f>
        <v>neutron mass energy equivalent in MeV</v>
      </c>
    </row>
    <row r="242">
      <c r="A242" s="6" t="s">
        <v>1689</v>
      </c>
      <c r="B242" s="6" t="s">
        <v>2584</v>
      </c>
      <c r="C242" s="6" t="s">
        <v>2585</v>
      </c>
      <c r="D242" s="6" t="s">
        <v>553</v>
      </c>
      <c r="E242" s="42">
        <f>countif(Constants!F:F,F242)</f>
        <v>1</v>
      </c>
      <c r="F242" s="21" t="str">
        <f>VLOOKUP($A242,Constants!$D:$F,3,false)</f>
        <v>NeutronMassInAtomicMassUnit</v>
      </c>
      <c r="G242" s="43" t="str">
        <f t="shared" si="1"/>
        <v>1.00866491606</v>
      </c>
      <c r="H242" s="43">
        <f t="shared" si="2"/>
        <v>1.008664916</v>
      </c>
      <c r="I242" s="43" t="str">
        <f t="shared" si="3"/>
        <v>0.00000000040</v>
      </c>
      <c r="J242" s="44">
        <f t="shared" si="4"/>
        <v>0.0000000004</v>
      </c>
      <c r="K242" s="43" t="b">
        <f t="shared" si="5"/>
        <v>0</v>
      </c>
      <c r="L242" s="21" t="str">
        <f>IFERROR(__xludf.DUMMYFUNCTION("if(regexmatch(B242,""e(.*)$""),regexextract(B242,""e(.*)$""),"""")"),"")</f>
        <v/>
      </c>
      <c r="M242" s="45"/>
      <c r="N242" s="45">
        <f>countif(Constants!F:F,F242)</f>
        <v>1</v>
      </c>
      <c r="O242" s="21" t="str">
        <f>VLOOKUP($A242,Constants!$D:$D,1,false)</f>
        <v>neutron mass in u</v>
      </c>
    </row>
    <row r="243">
      <c r="A243" s="6" t="s">
        <v>1692</v>
      </c>
      <c r="B243" s="6" t="s">
        <v>2586</v>
      </c>
      <c r="C243" s="6" t="s">
        <v>2587</v>
      </c>
      <c r="D243" s="6" t="s">
        <v>557</v>
      </c>
      <c r="E243" s="42">
        <f>countif(Constants!F:F,F243)</f>
        <v>1</v>
      </c>
      <c r="F243" s="21" t="str">
        <f>VLOOKUP($A243,Constants!$D:$F,3,false)</f>
        <v>NeutronMolarMass</v>
      </c>
      <c r="G243" s="43" t="str">
        <f t="shared" si="1"/>
        <v>1.00866491712e-3</v>
      </c>
      <c r="H243" s="43">
        <f t="shared" si="2"/>
        <v>0.001008664917</v>
      </c>
      <c r="I243" s="43" t="str">
        <f t="shared" si="3"/>
        <v>0.00000000051e-3</v>
      </c>
      <c r="J243" s="44">
        <f t="shared" si="4"/>
        <v>0</v>
      </c>
      <c r="K243" s="43" t="b">
        <f t="shared" si="5"/>
        <v>0</v>
      </c>
      <c r="L243" s="21" t="str">
        <f>IFERROR(__xludf.DUMMYFUNCTION("if(regexmatch(B243,""e(.*)$""),regexextract(B243,""e(.*)$""),"""")"),"-3")</f>
        <v>-3</v>
      </c>
      <c r="M243" s="45"/>
      <c r="N243" s="45">
        <f>countif(Constants!F:F,F243)</f>
        <v>1</v>
      </c>
      <c r="O243" s="21" t="str">
        <f>VLOOKUP($A243,Constants!$D:$D,1,false)</f>
        <v>neutron molar mass</v>
      </c>
    </row>
    <row r="244">
      <c r="A244" s="6" t="s">
        <v>1696</v>
      </c>
      <c r="B244" s="6" t="s">
        <v>2588</v>
      </c>
      <c r="C244" s="6" t="s">
        <v>2534</v>
      </c>
      <c r="E244" s="42">
        <f>countif(Constants!F:F,F244)</f>
        <v>1</v>
      </c>
      <c r="F244" s="21" t="str">
        <f>VLOOKUP($A244,Constants!$D:$F,3,false)</f>
        <v>NeutronMuonMassRatio</v>
      </c>
      <c r="G244" s="43" t="str">
        <f t="shared" si="1"/>
        <v>8.89248408</v>
      </c>
      <c r="H244" s="43">
        <f t="shared" si="2"/>
        <v>8.89248408</v>
      </c>
      <c r="I244" s="43" t="str">
        <f t="shared" si="3"/>
        <v>0.00000020</v>
      </c>
      <c r="J244" s="44">
        <f t="shared" si="4"/>
        <v>0.0000002</v>
      </c>
      <c r="K244" s="43" t="b">
        <f t="shared" si="5"/>
        <v>0</v>
      </c>
      <c r="L244" s="21" t="str">
        <f>IFERROR(__xludf.DUMMYFUNCTION("if(regexmatch(B244,""e(.*)$""),regexextract(B244,""e(.*)$""),"""")"),"")</f>
        <v/>
      </c>
      <c r="M244" s="45"/>
      <c r="N244" s="45">
        <f>countif(Constants!F:F,F244)</f>
        <v>1</v>
      </c>
      <c r="O244" s="21" t="str">
        <f>VLOOKUP($A244,Constants!$D:$D,1,false)</f>
        <v>neutron-muon mass ratio</v>
      </c>
    </row>
    <row r="245">
      <c r="A245" s="6" t="s">
        <v>1701</v>
      </c>
      <c r="B245" s="6" t="s">
        <v>2589</v>
      </c>
      <c r="C245" s="6" t="s">
        <v>2436</v>
      </c>
      <c r="E245" s="42">
        <f>countif(Constants!F:F,F245)</f>
        <v>1</v>
      </c>
      <c r="F245" s="21" t="str">
        <f>VLOOKUP($A245,Constants!$D:$F,3,false)</f>
        <v>NeutronProtonMagneticMomentRatio</v>
      </c>
      <c r="G245" s="43" t="str">
        <f t="shared" si="1"/>
        <v>-0.68497935</v>
      </c>
      <c r="H245" s="43">
        <f t="shared" si="2"/>
        <v>-0.68497935</v>
      </c>
      <c r="I245" s="43" t="str">
        <f t="shared" si="3"/>
        <v>0.00000016</v>
      </c>
      <c r="J245" s="44">
        <f t="shared" si="4"/>
        <v>0.00000016</v>
      </c>
      <c r="K245" s="43" t="b">
        <f t="shared" si="5"/>
        <v>0</v>
      </c>
      <c r="L245" s="21" t="str">
        <f>IFERROR(__xludf.DUMMYFUNCTION("if(regexmatch(B245,""e(.*)$""),regexextract(B245,""e(.*)$""),"""")"),"")</f>
        <v/>
      </c>
      <c r="M245" s="45"/>
      <c r="N245" s="45">
        <f>countif(Constants!F:F,F245)</f>
        <v>1</v>
      </c>
      <c r="O245" s="21" t="str">
        <f>VLOOKUP($A245,Constants!$D:$D,1,false)</f>
        <v>neutron-proton mag. mom. ratio</v>
      </c>
    </row>
    <row r="246">
      <c r="A246" s="6" t="s">
        <v>1706</v>
      </c>
      <c r="B246" s="6" t="s">
        <v>2590</v>
      </c>
      <c r="C246" s="6" t="s">
        <v>2591</v>
      </c>
      <c r="D246" s="6" t="s">
        <v>538</v>
      </c>
      <c r="E246" s="42">
        <f>countif(Constants!F:F,F246)</f>
        <v>1</v>
      </c>
      <c r="F246" s="21" t="str">
        <f>VLOOKUP($A246,Constants!$D:$F,3,false)</f>
        <v>Neutron-ProtonMassDifference</v>
      </c>
      <c r="G246" s="43" t="str">
        <f t="shared" si="1"/>
        <v>2.30557461e-30</v>
      </c>
      <c r="H246" s="43">
        <f t="shared" si="2"/>
        <v>0</v>
      </c>
      <c r="I246" s="43" t="str">
        <f t="shared" si="3"/>
        <v>0.00000067e-30</v>
      </c>
      <c r="J246" s="44">
        <f t="shared" si="4"/>
        <v>0</v>
      </c>
      <c r="K246" s="43" t="b">
        <f t="shared" si="5"/>
        <v>0</v>
      </c>
      <c r="L246" s="21" t="str">
        <f>IFERROR(__xludf.DUMMYFUNCTION("if(regexmatch(B246,""e(.*)$""),regexextract(B246,""e(.*)$""),"""")"),"-30")</f>
        <v>-30</v>
      </c>
      <c r="M246" s="45"/>
      <c r="N246" s="45">
        <f>countif(Constants!F:F,F246)</f>
        <v>1</v>
      </c>
      <c r="O246" s="21" t="str">
        <f>VLOOKUP($A246,Constants!$D:$D,1,false)</f>
        <v>neutron-proton mass difference</v>
      </c>
    </row>
    <row r="247">
      <c r="A247" s="6" t="s">
        <v>1710</v>
      </c>
      <c r="B247" s="6" t="s">
        <v>2592</v>
      </c>
      <c r="C247" s="6" t="s">
        <v>2593</v>
      </c>
      <c r="D247" s="6" t="s">
        <v>543</v>
      </c>
      <c r="E247" s="42">
        <f>countif(Constants!F:F,F247)</f>
        <v>1</v>
      </c>
      <c r="F247" s="21" t="str">
        <f>VLOOKUP($A247,Constants!$D:$F,3,false)</f>
        <v>Neutron-ProtonMassDifferenceEnergyEquivalent</v>
      </c>
      <c r="G247" s="43" t="str">
        <f t="shared" si="1"/>
        <v>2.07214712e-13</v>
      </c>
      <c r="H247" s="43">
        <f t="shared" si="2"/>
        <v>0</v>
      </c>
      <c r="I247" s="43" t="str">
        <f t="shared" si="3"/>
        <v>0.00000060e-13</v>
      </c>
      <c r="J247" s="44">
        <f t="shared" si="4"/>
        <v>0</v>
      </c>
      <c r="K247" s="43" t="b">
        <f t="shared" si="5"/>
        <v>0</v>
      </c>
      <c r="L247" s="21" t="str">
        <f>IFERROR(__xludf.DUMMYFUNCTION("if(regexmatch(B247,""e(.*)$""),regexextract(B247,""e(.*)$""),"""")"),"-13")</f>
        <v>-13</v>
      </c>
      <c r="M247" s="45"/>
      <c r="N247" s="45">
        <f>countif(Constants!F:F,F247)</f>
        <v>1</v>
      </c>
      <c r="O247" s="21" t="str">
        <f>VLOOKUP($A247,Constants!$D:$D,1,false)</f>
        <v>neutron-proton mass difference energy equivalent</v>
      </c>
    </row>
    <row r="248">
      <c r="A248" s="6" t="s">
        <v>1714</v>
      </c>
      <c r="B248" s="6" t="s">
        <v>2594</v>
      </c>
      <c r="C248" s="6" t="s">
        <v>2595</v>
      </c>
      <c r="D248" s="6" t="s">
        <v>548</v>
      </c>
      <c r="E248" s="42">
        <f>countif(Constants!F:F,F248)</f>
        <v>1</v>
      </c>
      <c r="F248" s="21" t="str">
        <f>VLOOKUP($A248,Constants!$D:$F,3,false)</f>
        <v>Neutron-ProtonMassDifferenceEnergyEquivalentInMev</v>
      </c>
      <c r="G248" s="43" t="str">
        <f t="shared" si="1"/>
        <v>1.29333251</v>
      </c>
      <c r="H248" s="43">
        <f t="shared" si="2"/>
        <v>1.29333251</v>
      </c>
      <c r="I248" s="43" t="str">
        <f t="shared" si="3"/>
        <v>0.00000038</v>
      </c>
      <c r="J248" s="44">
        <f t="shared" si="4"/>
        <v>0.00000038</v>
      </c>
      <c r="K248" s="43" t="b">
        <f t="shared" si="5"/>
        <v>0</v>
      </c>
      <c r="L248" s="21" t="str">
        <f>IFERROR(__xludf.DUMMYFUNCTION("if(regexmatch(B248,""e(.*)$""),regexextract(B248,""e(.*)$""),"""")"),"")</f>
        <v/>
      </c>
      <c r="M248" s="45"/>
      <c r="N248" s="45">
        <f>countif(Constants!F:F,F248)</f>
        <v>1</v>
      </c>
      <c r="O248" s="21" t="str">
        <f>VLOOKUP($A248,Constants!$D:$D,1,false)</f>
        <v>neutron-proton mass difference energy equivalent in MeV</v>
      </c>
    </row>
    <row r="249">
      <c r="A249" s="6" t="s">
        <v>1717</v>
      </c>
      <c r="B249" s="6" t="s">
        <v>2596</v>
      </c>
      <c r="C249" s="6" t="s">
        <v>2597</v>
      </c>
      <c r="D249" s="6" t="s">
        <v>553</v>
      </c>
      <c r="E249" s="42">
        <f>countif(Constants!F:F,F249)</f>
        <v>1</v>
      </c>
      <c r="F249" s="21" t="str">
        <f>VLOOKUP($A249,Constants!$D:$F,3,false)</f>
        <v>Neutron-ProtonMassDifferenceInU</v>
      </c>
      <c r="G249" s="43" t="str">
        <f t="shared" si="1"/>
        <v>1.38844948e-3</v>
      </c>
      <c r="H249" s="43">
        <f t="shared" si="2"/>
        <v>0.00138844948</v>
      </c>
      <c r="I249" s="43" t="str">
        <f t="shared" si="3"/>
        <v>0.00000040e-3</v>
      </c>
      <c r="J249" s="44">
        <f t="shared" si="4"/>
        <v>0.0000000004</v>
      </c>
      <c r="K249" s="43" t="b">
        <f t="shared" si="5"/>
        <v>0</v>
      </c>
      <c r="L249" s="21" t="str">
        <f>IFERROR(__xludf.DUMMYFUNCTION("if(regexmatch(B249,""e(.*)$""),regexextract(B249,""e(.*)$""),"""")"),"-3")</f>
        <v>-3</v>
      </c>
      <c r="M249" s="45"/>
      <c r="N249" s="45">
        <f>countif(Constants!F:F,F249)</f>
        <v>1</v>
      </c>
      <c r="O249" s="21" t="str">
        <f>VLOOKUP($A249,Constants!$D:$D,1,false)</f>
        <v>neutron-proton mass difference in u</v>
      </c>
    </row>
    <row r="250">
      <c r="A250" s="6" t="s">
        <v>1719</v>
      </c>
      <c r="B250" s="6" t="s">
        <v>2598</v>
      </c>
      <c r="C250" s="6" t="s">
        <v>2585</v>
      </c>
      <c r="E250" s="42">
        <f>countif(Constants!F:F,F250)</f>
        <v>1</v>
      </c>
      <c r="F250" s="21" t="str">
        <f>VLOOKUP($A250,Constants!$D:$F,3,false)</f>
        <v>NeutronProtonMassRatio</v>
      </c>
      <c r="G250" s="43" t="str">
        <f t="shared" si="1"/>
        <v>1.00137841946</v>
      </c>
      <c r="H250" s="43">
        <f t="shared" si="2"/>
        <v>1.001378419</v>
      </c>
      <c r="I250" s="43" t="str">
        <f t="shared" si="3"/>
        <v>0.00000000040</v>
      </c>
      <c r="J250" s="44">
        <f t="shared" si="4"/>
        <v>0.0000000004</v>
      </c>
      <c r="K250" s="43" t="b">
        <f t="shared" si="5"/>
        <v>0</v>
      </c>
      <c r="L250" s="21" t="str">
        <f>IFERROR(__xludf.DUMMYFUNCTION("if(regexmatch(B250,""e(.*)$""),regexextract(B250,""e(.*)$""),"""")"),"")</f>
        <v/>
      </c>
      <c r="M250" s="45"/>
      <c r="N250" s="45">
        <f>countif(Constants!F:F,F250)</f>
        <v>1</v>
      </c>
      <c r="O250" s="21" t="str">
        <f>VLOOKUP($A250,Constants!$D:$D,1,false)</f>
        <v>neutron-proton mass ratio</v>
      </c>
    </row>
    <row r="251">
      <c r="A251" s="6" t="s">
        <v>1724</v>
      </c>
      <c r="B251" s="6" t="s">
        <v>2584</v>
      </c>
      <c r="C251" s="6" t="s">
        <v>2585</v>
      </c>
      <c r="E251" s="42">
        <f>countif(Constants!F:F,F251)</f>
        <v>1</v>
      </c>
      <c r="F251" s="21" t="str">
        <f>VLOOKUP($A251,Constants!$D:$F,3,false)</f>
        <v>NeutronRelativeAtomicMass</v>
      </c>
      <c r="G251" s="43" t="str">
        <f t="shared" si="1"/>
        <v>1.00866491606</v>
      </c>
      <c r="H251" s="43">
        <f t="shared" si="2"/>
        <v>1.008664916</v>
      </c>
      <c r="I251" s="43" t="str">
        <f t="shared" si="3"/>
        <v>0.00000000040</v>
      </c>
      <c r="J251" s="44">
        <f t="shared" si="4"/>
        <v>0.0000000004</v>
      </c>
      <c r="K251" s="43" t="b">
        <f t="shared" si="5"/>
        <v>0</v>
      </c>
      <c r="L251" s="21" t="str">
        <f>IFERROR(__xludf.DUMMYFUNCTION("if(regexmatch(B251,""e(.*)$""),regexextract(B251,""e(.*)$""),"""")"),"")</f>
        <v/>
      </c>
      <c r="M251" s="45"/>
      <c r="N251" s="45">
        <f>countif(Constants!F:F,F251)</f>
        <v>1</v>
      </c>
      <c r="O251" s="21" t="str">
        <f>VLOOKUP($A251,Constants!$D:$D,1,false)</f>
        <v>neutron relative atomic mass</v>
      </c>
    </row>
    <row r="252">
      <c r="A252" s="6" t="s">
        <v>1727</v>
      </c>
      <c r="B252" s="6" t="s">
        <v>2599</v>
      </c>
      <c r="C252" s="6" t="s">
        <v>2600</v>
      </c>
      <c r="E252" s="42">
        <f>countif(Constants!F:F,F252)</f>
        <v>1</v>
      </c>
      <c r="F252" s="21" t="str">
        <f>VLOOKUP($A252,Constants!$D:$F,3,false)</f>
        <v>NeutronTauMassRatio</v>
      </c>
      <c r="G252" s="43" t="str">
        <f t="shared" si="1"/>
        <v>0.528779</v>
      </c>
      <c r="H252" s="43">
        <f t="shared" si="2"/>
        <v>0.528779</v>
      </c>
      <c r="I252" s="43" t="str">
        <f t="shared" si="3"/>
        <v>0.000036</v>
      </c>
      <c r="J252" s="44">
        <f t="shared" si="4"/>
        <v>0.000036</v>
      </c>
      <c r="K252" s="43" t="b">
        <f t="shared" si="5"/>
        <v>0</v>
      </c>
      <c r="L252" s="21" t="str">
        <f>IFERROR(__xludf.DUMMYFUNCTION("if(regexmatch(B252,""e(.*)$""),regexextract(B252,""e(.*)$""),"""")"),"")</f>
        <v/>
      </c>
      <c r="M252" s="45"/>
      <c r="N252" s="45">
        <f>countif(Constants!F:F,F252)</f>
        <v>1</v>
      </c>
      <c r="O252" s="21" t="str">
        <f>VLOOKUP($A252,Constants!$D:$D,1,false)</f>
        <v>neutron-tau mass ratio</v>
      </c>
    </row>
    <row r="253">
      <c r="A253" s="6" t="s">
        <v>1732</v>
      </c>
      <c r="B253" s="6" t="s">
        <v>2601</v>
      </c>
      <c r="C253" s="6" t="s">
        <v>2436</v>
      </c>
      <c r="E253" s="42">
        <f>countif(Constants!F:F,F253)</f>
        <v>1</v>
      </c>
      <c r="F253" s="21" t="str">
        <f>VLOOKUP($A253,Constants!$D:$F,3,false)</f>
        <v>NeutronToShieldedProtonMagneticMomentRatio</v>
      </c>
      <c r="G253" s="43" t="str">
        <f t="shared" si="1"/>
        <v>-0.68499694</v>
      </c>
      <c r="H253" s="43">
        <f t="shared" si="2"/>
        <v>-0.68499694</v>
      </c>
      <c r="I253" s="43" t="str">
        <f t="shared" si="3"/>
        <v>0.00000016</v>
      </c>
      <c r="J253" s="44">
        <f t="shared" si="4"/>
        <v>0.00000016</v>
      </c>
      <c r="K253" s="43" t="b">
        <f t="shared" si="5"/>
        <v>0</v>
      </c>
      <c r="L253" s="21" t="str">
        <f>IFERROR(__xludf.DUMMYFUNCTION("if(regexmatch(B253,""e(.*)$""),regexextract(B253,""e(.*)$""),"""")"),"")</f>
        <v/>
      </c>
      <c r="M253" s="45"/>
      <c r="N253" s="45">
        <f>countif(Constants!F:F,F253)</f>
        <v>1</v>
      </c>
      <c r="O253" s="21" t="str">
        <f>VLOOKUP($A253,Constants!$D:$D,1,false)</f>
        <v>neutron to shielded proton mag. mom. ratio</v>
      </c>
    </row>
    <row r="254">
      <c r="A254" s="6" t="s">
        <v>1737</v>
      </c>
      <c r="B254" s="6" t="s">
        <v>2602</v>
      </c>
      <c r="C254" s="6" t="s">
        <v>2603</v>
      </c>
      <c r="D254" s="6" t="s">
        <v>1738</v>
      </c>
      <c r="E254" s="42">
        <f>countif(Constants!F:F,F254)</f>
        <v>1</v>
      </c>
      <c r="F254" s="21" t="str">
        <f>VLOOKUP($A254,Constants!$D:$F,3,false)</f>
        <v>NewtonianConstantOfGravitation</v>
      </c>
      <c r="G254" s="43" t="str">
        <f t="shared" si="1"/>
        <v>6.67430e-11</v>
      </c>
      <c r="H254" s="43">
        <f t="shared" si="2"/>
        <v>0</v>
      </c>
      <c r="I254" s="43" t="str">
        <f t="shared" si="3"/>
        <v>0.00015e-11</v>
      </c>
      <c r="J254" s="44">
        <f t="shared" si="4"/>
        <v>0</v>
      </c>
      <c r="K254" s="43" t="b">
        <f t="shared" si="5"/>
        <v>0</v>
      </c>
      <c r="L254" s="21" t="str">
        <f>IFERROR(__xludf.DUMMYFUNCTION("if(regexmatch(B254,""e(.*)$""),regexextract(B254,""e(.*)$""),"""")"),"-11")</f>
        <v>-11</v>
      </c>
      <c r="M254" s="45"/>
      <c r="N254" s="45">
        <f>countif(Constants!F:F,F254)</f>
        <v>1</v>
      </c>
      <c r="O254" s="21" t="str">
        <f>VLOOKUP($A254,Constants!$D:$D,1,false)</f>
        <v>Newtonian constant of gravitation</v>
      </c>
    </row>
    <row r="255">
      <c r="A255" s="6" t="s">
        <v>1744</v>
      </c>
      <c r="B255" s="6" t="s">
        <v>2604</v>
      </c>
      <c r="C255" s="6" t="s">
        <v>2605</v>
      </c>
      <c r="D255" s="6" t="s">
        <v>1745</v>
      </c>
      <c r="E255" s="42">
        <f>countif(Constants!F:F,F255)</f>
        <v>1</v>
      </c>
      <c r="F255" s="21" t="str">
        <f>VLOOKUP($A255,Constants!$D:$F,3,false)</f>
        <v>NewtonianConstantOfGravitationOverHBarC</v>
      </c>
      <c r="G255" s="43" t="str">
        <f t="shared" si="1"/>
        <v>6.70883e-39</v>
      </c>
      <c r="H255" s="43">
        <f t="shared" si="2"/>
        <v>0</v>
      </c>
      <c r="I255" s="43" t="str">
        <f t="shared" si="3"/>
        <v>0.00015e-39</v>
      </c>
      <c r="J255" s="44">
        <f t="shared" si="4"/>
        <v>0</v>
      </c>
      <c r="K255" s="43" t="b">
        <f t="shared" si="5"/>
        <v>0</v>
      </c>
      <c r="L255" s="21" t="str">
        <f>IFERROR(__xludf.DUMMYFUNCTION("if(regexmatch(B255,""e(.*)$""),regexextract(B255,""e(.*)$""),"""")"),"-39")</f>
        <v>-39</v>
      </c>
      <c r="M255" s="45"/>
      <c r="N255" s="45">
        <f>countif(Constants!F:F,F255)</f>
        <v>1</v>
      </c>
      <c r="O255" s="21" t="str">
        <f>VLOOKUP($A255,Constants!$D:$D,1,false)</f>
        <v>Newtonian constant of gravitation over h-bar c</v>
      </c>
    </row>
    <row r="256">
      <c r="A256" s="6" t="s">
        <v>1750</v>
      </c>
      <c r="B256" s="6" t="s">
        <v>2606</v>
      </c>
      <c r="C256" s="6" t="s">
        <v>2446</v>
      </c>
      <c r="D256" s="6" t="s">
        <v>714</v>
      </c>
      <c r="E256" s="42">
        <f>countif(Constants!F:F,F256)</f>
        <v>1</v>
      </c>
      <c r="F256" s="21" t="str">
        <f>VLOOKUP($A256,Constants!$D:$F,3,false)</f>
        <v>NuclearMagneton</v>
      </c>
      <c r="G256" s="43" t="str">
        <f t="shared" si="1"/>
        <v>5.0507837393e-27</v>
      </c>
      <c r="H256" s="43">
        <f t="shared" si="2"/>
        <v>0</v>
      </c>
      <c r="I256" s="43" t="str">
        <f t="shared" si="3"/>
        <v>0.0000000016e-27</v>
      </c>
      <c r="J256" s="44">
        <f t="shared" si="4"/>
        <v>0</v>
      </c>
      <c r="K256" s="43" t="b">
        <f t="shared" si="5"/>
        <v>0</v>
      </c>
      <c r="L256" s="21" t="str">
        <f>IFERROR(__xludf.DUMMYFUNCTION("if(regexmatch(B256,""e(.*)$""),regexextract(B256,""e(.*)$""),"""")"),"-27")</f>
        <v>-27</v>
      </c>
      <c r="M256" s="45"/>
      <c r="N256" s="45">
        <f>countif(Constants!F:F,F256)</f>
        <v>1</v>
      </c>
      <c r="O256" s="21" t="str">
        <f>VLOOKUP($A256,Constants!$D:$D,1,false)</f>
        <v>nuclear magneton</v>
      </c>
    </row>
    <row r="257">
      <c r="A257" s="6" t="s">
        <v>1754</v>
      </c>
      <c r="B257" s="6" t="s">
        <v>2607</v>
      </c>
      <c r="C257" s="6" t="s">
        <v>2608</v>
      </c>
      <c r="D257" s="6" t="s">
        <v>769</v>
      </c>
      <c r="E257" s="42">
        <f>countif(Constants!F:F,F257)</f>
        <v>1</v>
      </c>
      <c r="F257" s="21" t="str">
        <f>VLOOKUP($A257,Constants!$D:$F,3,false)</f>
        <v>NuclearMagnetonInEVPerT</v>
      </c>
      <c r="G257" s="43" t="str">
        <f t="shared" si="1"/>
        <v>3.15245125417e-8</v>
      </c>
      <c r="H257" s="43">
        <f t="shared" si="2"/>
        <v>0.00000003152451254</v>
      </c>
      <c r="I257" s="43" t="str">
        <f t="shared" si="3"/>
        <v>0.00000000098e-8</v>
      </c>
      <c r="J257" s="44">
        <f t="shared" si="4"/>
        <v>0</v>
      </c>
      <c r="K257" s="43" t="b">
        <f t="shared" si="5"/>
        <v>0</v>
      </c>
      <c r="L257" s="21" t="str">
        <f>IFERROR(__xludf.DUMMYFUNCTION("if(regexmatch(B257,""e(.*)$""),regexextract(B257,""e(.*)$""),"""")"),"-8")</f>
        <v>-8</v>
      </c>
      <c r="M257" s="45"/>
      <c r="N257" s="45">
        <f>countif(Constants!F:F,F257)</f>
        <v>1</v>
      </c>
      <c r="O257" s="21" t="str">
        <f>VLOOKUP($A257,Constants!$D:$D,1,false)</f>
        <v>nuclear magneton in eV/T</v>
      </c>
    </row>
    <row r="258">
      <c r="A258" s="6" t="s">
        <v>1757</v>
      </c>
      <c r="B258" s="6" t="s">
        <v>2609</v>
      </c>
      <c r="C258" s="6" t="s">
        <v>2610</v>
      </c>
      <c r="D258" s="6" t="s">
        <v>779</v>
      </c>
      <c r="E258" s="42">
        <f>countif(Constants!F:F,F258)</f>
        <v>1</v>
      </c>
      <c r="F258" s="21" t="str">
        <f>VLOOKUP($A258,Constants!$D:$F,3,false)</f>
        <v>NuclearMagnetonInInverseMetersPerTesla</v>
      </c>
      <c r="G258" s="43" t="str">
        <f t="shared" si="1"/>
        <v>2.54262341009e-2</v>
      </c>
      <c r="H258" s="43">
        <f t="shared" si="2"/>
        <v>0.0254262341</v>
      </c>
      <c r="I258" s="43" t="str">
        <f t="shared" si="3"/>
        <v>0.00000000079e-2</v>
      </c>
      <c r="J258" s="44">
        <f t="shared" si="4"/>
        <v>0</v>
      </c>
      <c r="K258" s="43" t="b">
        <f t="shared" si="5"/>
        <v>0</v>
      </c>
      <c r="L258" s="21" t="str">
        <f>IFERROR(__xludf.DUMMYFUNCTION("if(regexmatch(B258,""e(.*)$""),regexextract(B258,""e(.*)$""),"""")"),"-2")</f>
        <v>-2</v>
      </c>
      <c r="M258" s="45"/>
      <c r="N258" s="45">
        <f>countif(Constants!F:F,F258)</f>
        <v>1</v>
      </c>
      <c r="O258" s="21" t="str">
        <f>VLOOKUP($A258,Constants!$D:$D,1,false)</f>
        <v>nuclear magneton in inverse meter per tesla</v>
      </c>
    </row>
    <row r="259">
      <c r="A259" s="6" t="s">
        <v>1760</v>
      </c>
      <c r="B259" s="6" t="s">
        <v>2611</v>
      </c>
      <c r="C259" s="6" t="s">
        <v>2612</v>
      </c>
      <c r="D259" s="6" t="s">
        <v>784</v>
      </c>
      <c r="E259" s="42">
        <f>countif(Constants!F:F,F259)</f>
        <v>1</v>
      </c>
      <c r="F259" s="21" t="str">
        <f>VLOOKUP($A259,Constants!$D:$F,3,false)</f>
        <v>NuclearMagnetonInKPerT</v>
      </c>
      <c r="G259" s="43" t="str">
        <f t="shared" si="1"/>
        <v>3.6582677706e-4</v>
      </c>
      <c r="H259" s="43">
        <f t="shared" si="2"/>
        <v>0.0003658267771</v>
      </c>
      <c r="I259" s="43" t="str">
        <f t="shared" si="3"/>
        <v>0.0000000011e-4</v>
      </c>
      <c r="J259" s="44">
        <f t="shared" si="4"/>
        <v>0</v>
      </c>
      <c r="K259" s="43" t="b">
        <f t="shared" si="5"/>
        <v>0</v>
      </c>
      <c r="L259" s="21" t="str">
        <f>IFERROR(__xludf.DUMMYFUNCTION("if(regexmatch(B259,""e(.*)$""),regexextract(B259,""e(.*)$""),"""")"),"-4")</f>
        <v>-4</v>
      </c>
      <c r="M259" s="45"/>
      <c r="N259" s="45">
        <f>countif(Constants!F:F,F259)</f>
        <v>1</v>
      </c>
      <c r="O259" s="21" t="str">
        <f>VLOOKUP($A259,Constants!$D:$D,1,false)</f>
        <v>nuclear magneton in K/T</v>
      </c>
    </row>
    <row r="260">
      <c r="A260" s="6" t="s">
        <v>1763</v>
      </c>
      <c r="B260" s="6" t="s">
        <v>2613</v>
      </c>
      <c r="C260" s="6" t="s">
        <v>2614</v>
      </c>
      <c r="D260" s="6" t="s">
        <v>969</v>
      </c>
      <c r="E260" s="42">
        <f>countif(Constants!F:F,F260)</f>
        <v>1</v>
      </c>
      <c r="F260" s="21" t="str">
        <f>VLOOKUP($A260,Constants!$D:$F,3,false)</f>
        <v>NuclearMagnetonInMHzPerT</v>
      </c>
      <c r="G260" s="43" t="str">
        <f t="shared" si="1"/>
        <v>7.6225932188</v>
      </c>
      <c r="H260" s="43">
        <f t="shared" si="2"/>
        <v>7.622593219</v>
      </c>
      <c r="I260" s="43" t="str">
        <f t="shared" si="3"/>
        <v>0.0000000024</v>
      </c>
      <c r="J260" s="44">
        <f t="shared" si="4"/>
        <v>0.0000000024</v>
      </c>
      <c r="K260" s="43" t="b">
        <f t="shared" si="5"/>
        <v>0</v>
      </c>
      <c r="L260" s="21" t="str">
        <f>IFERROR(__xludf.DUMMYFUNCTION("if(regexmatch(B260,""e(.*)$""),regexextract(B260,""e(.*)$""),"""")"),"")</f>
        <v/>
      </c>
      <c r="M260" s="45"/>
      <c r="N260" s="45">
        <f>countif(Constants!F:F,F260)</f>
        <v>1</v>
      </c>
      <c r="O260" s="21" t="str">
        <f>VLOOKUP($A260,Constants!$D:$D,1,false)</f>
        <v>nuclear magneton in MHz/T</v>
      </c>
    </row>
    <row r="261">
      <c r="A261" s="6" t="s">
        <v>1766</v>
      </c>
      <c r="B261" s="6" t="s">
        <v>2463</v>
      </c>
      <c r="C261" s="6" t="s">
        <v>2261</v>
      </c>
      <c r="D261" s="6" t="s">
        <v>1767</v>
      </c>
      <c r="E261" s="42">
        <f>countif(Constants!F:F,F261)</f>
        <v>1</v>
      </c>
      <c r="F261" s="21" t="str">
        <f>VLOOKUP($A261,Constants!$D:$F,3,false)</f>
        <v>PlanckConstant</v>
      </c>
      <c r="G261" s="43" t="str">
        <f t="shared" si="1"/>
        <v>6.62607015e-34</v>
      </c>
      <c r="H261" s="43">
        <f t="shared" si="2"/>
        <v>0</v>
      </c>
      <c r="I261" s="43" t="str">
        <f t="shared" si="3"/>
        <v>(exact)</v>
      </c>
      <c r="J261" s="44" t="str">
        <f t="shared" si="4"/>
        <v/>
      </c>
      <c r="K261" s="43" t="b">
        <f t="shared" si="5"/>
        <v>0</v>
      </c>
      <c r="L261" s="21" t="str">
        <f>IFERROR(__xludf.DUMMYFUNCTION("if(regexmatch(B261,""e(.*)$""),regexextract(B261,""e(.*)$""),"""")"),"-34")</f>
        <v>-34</v>
      </c>
      <c r="M261" s="45"/>
      <c r="N261" s="45">
        <f>countif(Constants!F:F,F261)</f>
        <v>1</v>
      </c>
      <c r="O261" s="21" t="str">
        <f>VLOOKUP($A261,Constants!$D:$D,1,false)</f>
        <v>Planck constant</v>
      </c>
    </row>
    <row r="262">
      <c r="A262" s="6" t="s">
        <v>1772</v>
      </c>
      <c r="B262" s="6" t="s">
        <v>2459</v>
      </c>
      <c r="C262" s="6" t="s">
        <v>2261</v>
      </c>
      <c r="D262" s="6" t="s">
        <v>1773</v>
      </c>
      <c r="E262" s="42">
        <f>countif(Constants!F:F,F262)</f>
        <v>1</v>
      </c>
      <c r="F262" s="21" t="str">
        <f>VLOOKUP($A262,Constants!$D:$F,3,false)</f>
        <v>PlanckConstantInEVS</v>
      </c>
      <c r="G262" s="43" t="str">
        <f t="shared" si="1"/>
        <v>4.135667696e-15</v>
      </c>
      <c r="H262" s="43">
        <f t="shared" si="2"/>
        <v>0</v>
      </c>
      <c r="I262" s="43" t="str">
        <f t="shared" si="3"/>
        <v>(exact)</v>
      </c>
      <c r="J262" s="44" t="str">
        <f t="shared" si="4"/>
        <v/>
      </c>
      <c r="K262" s="43" t="b">
        <f t="shared" si="5"/>
        <v>0</v>
      </c>
      <c r="L262" s="21" t="str">
        <f>IFERROR(__xludf.DUMMYFUNCTION("if(regexmatch(B262,""e(.*)$""),regexextract(B262,""e(.*)$""),"""")"),"-15")</f>
        <v>-15</v>
      </c>
      <c r="M262" s="45"/>
      <c r="N262" s="45">
        <f>countif(Constants!F:F,F262)</f>
        <v>1</v>
      </c>
      <c r="O262" s="21" t="str">
        <f>VLOOKUP($A262,Constants!$D:$D,1,false)</f>
        <v>Planck constant in eV/Hz</v>
      </c>
    </row>
    <row r="263">
      <c r="A263" s="6" t="s">
        <v>1777</v>
      </c>
      <c r="B263" s="6" t="s">
        <v>2615</v>
      </c>
      <c r="C263" s="6" t="s">
        <v>2616</v>
      </c>
      <c r="D263" s="6" t="s">
        <v>571</v>
      </c>
      <c r="E263" s="42">
        <f>countif(Constants!F:F,F263)</f>
        <v>1</v>
      </c>
      <c r="F263" s="21" t="str">
        <f>VLOOKUP($A263,Constants!$D:$F,3,false)</f>
        <v>PlanckLength</v>
      </c>
      <c r="G263" s="43" t="str">
        <f t="shared" si="1"/>
        <v>1.616255e-35</v>
      </c>
      <c r="H263" s="43">
        <f t="shared" si="2"/>
        <v>0</v>
      </c>
      <c r="I263" s="43" t="str">
        <f t="shared" si="3"/>
        <v>0.000018e-35</v>
      </c>
      <c r="J263" s="44">
        <f t="shared" si="4"/>
        <v>0</v>
      </c>
      <c r="K263" s="43" t="b">
        <f t="shared" si="5"/>
        <v>0</v>
      </c>
      <c r="L263" s="21" t="str">
        <f>IFERROR(__xludf.DUMMYFUNCTION("if(regexmatch(B263,""e(.*)$""),regexextract(B263,""e(.*)$""),"""")"),"-35")</f>
        <v>-35</v>
      </c>
      <c r="M263" s="45"/>
      <c r="N263" s="45">
        <f>countif(Constants!F:F,F263)</f>
        <v>1</v>
      </c>
      <c r="O263" s="21" t="str">
        <f>VLOOKUP($A263,Constants!$D:$D,1,false)</f>
        <v>Planck length</v>
      </c>
    </row>
    <row r="264">
      <c r="A264" s="6" t="s">
        <v>1781</v>
      </c>
      <c r="B264" s="6" t="s">
        <v>2617</v>
      </c>
      <c r="C264" s="6" t="s">
        <v>2618</v>
      </c>
      <c r="D264" s="6" t="s">
        <v>538</v>
      </c>
      <c r="E264" s="42">
        <f>countif(Constants!F:F,F264)</f>
        <v>1</v>
      </c>
      <c r="F264" s="21" t="str">
        <f>VLOOKUP($A264,Constants!$D:$F,3,false)</f>
        <v>PlanckMass</v>
      </c>
      <c r="G264" s="43" t="str">
        <f t="shared" si="1"/>
        <v>2.176434e-8</v>
      </c>
      <c r="H264" s="43">
        <f t="shared" si="2"/>
        <v>0.00000002176434</v>
      </c>
      <c r="I264" s="43" t="str">
        <f t="shared" si="3"/>
        <v>0.000024e-8</v>
      </c>
      <c r="J264" s="44">
        <f t="shared" si="4"/>
        <v>0</v>
      </c>
      <c r="K264" s="43" t="b">
        <f t="shared" si="5"/>
        <v>0</v>
      </c>
      <c r="L264" s="21" t="str">
        <f>IFERROR(__xludf.DUMMYFUNCTION("if(regexmatch(B264,""e(.*)$""),regexextract(B264,""e(.*)$""),"""")"),"-8")</f>
        <v>-8</v>
      </c>
      <c r="M264" s="45"/>
      <c r="N264" s="45">
        <f>countif(Constants!F:F,F264)</f>
        <v>1</v>
      </c>
      <c r="O264" s="21" t="str">
        <f>VLOOKUP($A264,Constants!$D:$D,1,false)</f>
        <v>Planck mass</v>
      </c>
    </row>
    <row r="265">
      <c r="A265" s="6" t="s">
        <v>1785</v>
      </c>
      <c r="B265" s="6" t="s">
        <v>2619</v>
      </c>
      <c r="C265" s="6" t="s">
        <v>2620</v>
      </c>
      <c r="D265" s="6" t="s">
        <v>1786</v>
      </c>
      <c r="E265" s="42">
        <f>countif(Constants!F:F,F265)</f>
        <v>1</v>
      </c>
      <c r="F265" s="21" t="str">
        <f>VLOOKUP($A265,Constants!$D:$F,3,false)</f>
        <v>PlanckMassEnergyEquivalentInGeV</v>
      </c>
      <c r="G265" s="43" t="str">
        <f t="shared" si="1"/>
        <v>1.220890e19</v>
      </c>
      <c r="H265" s="43">
        <f t="shared" si="2"/>
        <v>1.22089E+19</v>
      </c>
      <c r="I265" s="43" t="str">
        <f t="shared" si="3"/>
        <v>0.000014e19</v>
      </c>
      <c r="J265" s="44">
        <f t="shared" si="4"/>
        <v>140000000000000</v>
      </c>
      <c r="K265" s="43" t="b">
        <f t="shared" si="5"/>
        <v>0</v>
      </c>
      <c r="L265" s="21" t="str">
        <f>IFERROR(__xludf.DUMMYFUNCTION("if(regexmatch(B265,""e(.*)$""),regexextract(B265,""e(.*)$""),"""")"),"19")</f>
        <v>19</v>
      </c>
      <c r="M265" s="45"/>
      <c r="N265" s="45">
        <f>countif(Constants!F:F,F265)</f>
        <v>1</v>
      </c>
      <c r="O265" s="21" t="str">
        <f>VLOOKUP($A265,Constants!$D:$D,1,false)</f>
        <v>Planck mass energy equivalent in GeV</v>
      </c>
    </row>
    <row r="266">
      <c r="A266" s="6" t="s">
        <v>1790</v>
      </c>
      <c r="B266" s="6" t="s">
        <v>2621</v>
      </c>
      <c r="C266" s="6" t="s">
        <v>2622</v>
      </c>
      <c r="D266" s="6" t="s">
        <v>618</v>
      </c>
      <c r="E266" s="42">
        <f>countif(Constants!F:F,F266)</f>
        <v>1</v>
      </c>
      <c r="F266" s="21" t="str">
        <f>VLOOKUP($A266,Constants!$D:$F,3,false)</f>
        <v>PlanckTemperature</v>
      </c>
      <c r="G266" s="43" t="str">
        <f t="shared" si="1"/>
        <v>1.416784e32</v>
      </c>
      <c r="H266" s="43">
        <f t="shared" si="2"/>
        <v>1.41678E+32</v>
      </c>
      <c r="I266" s="43" t="str">
        <f t="shared" si="3"/>
        <v>0.000016e32</v>
      </c>
      <c r="J266" s="44">
        <f t="shared" si="4"/>
        <v>1.6E+27</v>
      </c>
      <c r="K266" s="43" t="b">
        <f t="shared" si="5"/>
        <v>0</v>
      </c>
      <c r="L266" s="21" t="str">
        <f>IFERROR(__xludf.DUMMYFUNCTION("if(regexmatch(B266,""e(.*)$""),regexextract(B266,""e(.*)$""),"""")"),"32")</f>
        <v>32</v>
      </c>
      <c r="M266" s="45"/>
      <c r="N266" s="45">
        <f>countif(Constants!F:F,F266)</f>
        <v>1</v>
      </c>
      <c r="O266" s="21" t="str">
        <f>VLOOKUP($A266,Constants!$D:$D,1,false)</f>
        <v>Planck temperature</v>
      </c>
    </row>
    <row r="267">
      <c r="A267" s="6" t="s">
        <v>1795</v>
      </c>
      <c r="B267" s="6" t="s">
        <v>2623</v>
      </c>
      <c r="C267" s="6" t="s">
        <v>2624</v>
      </c>
      <c r="D267" s="6" t="s">
        <v>749</v>
      </c>
      <c r="E267" s="42">
        <f>countif(Constants!F:F,F267)</f>
        <v>1</v>
      </c>
      <c r="F267" s="21" t="str">
        <f>VLOOKUP($A267,Constants!$D:$F,3,false)</f>
        <v>PlanckTime</v>
      </c>
      <c r="G267" s="43" t="str">
        <f t="shared" si="1"/>
        <v>5.391247e-44</v>
      </c>
      <c r="H267" s="43">
        <f t="shared" si="2"/>
        <v>0</v>
      </c>
      <c r="I267" s="43" t="str">
        <f t="shared" si="3"/>
        <v>0.000060e-44</v>
      </c>
      <c r="J267" s="44">
        <f t="shared" si="4"/>
        <v>0</v>
      </c>
      <c r="K267" s="43" t="b">
        <f t="shared" si="5"/>
        <v>0</v>
      </c>
      <c r="L267" s="21" t="str">
        <f>IFERROR(__xludf.DUMMYFUNCTION("if(regexmatch(B267,""e(.*)$""),regexextract(B267,""e(.*)$""),"""")"),"-44")</f>
        <v>-44</v>
      </c>
      <c r="M267" s="45"/>
      <c r="N267" s="45">
        <f>countif(Constants!F:F,F267)</f>
        <v>1</v>
      </c>
      <c r="O267" s="21" t="str">
        <f>VLOOKUP($A267,Constants!$D:$D,1,false)</f>
        <v>Planck time</v>
      </c>
    </row>
    <row r="268">
      <c r="A268" s="6" t="s">
        <v>1799</v>
      </c>
      <c r="B268" s="6" t="s">
        <v>2625</v>
      </c>
      <c r="C268" s="6" t="s">
        <v>2626</v>
      </c>
      <c r="D268" s="6" t="s">
        <v>941</v>
      </c>
      <c r="E268" s="42">
        <f>countif(Constants!F:F,F268)</f>
        <v>1</v>
      </c>
      <c r="F268" s="21" t="str">
        <f>VLOOKUP($A268,Constants!$D:$F,3,false)</f>
        <v>ProtonChargeToMassQuotient</v>
      </c>
      <c r="G268" s="43" t="str">
        <f t="shared" si="1"/>
        <v>9.5788331430e7</v>
      </c>
      <c r="H268" s="43">
        <f t="shared" si="2"/>
        <v>95788331.43</v>
      </c>
      <c r="I268" s="43" t="str">
        <f t="shared" si="3"/>
        <v>0.0000000030e7</v>
      </c>
      <c r="J268" s="44">
        <f t="shared" si="4"/>
        <v>0.03</v>
      </c>
      <c r="K268" s="43" t="b">
        <f t="shared" si="5"/>
        <v>0</v>
      </c>
      <c r="L268" s="21" t="str">
        <f>IFERROR(__xludf.DUMMYFUNCTION("if(regexmatch(B268,""e(.*)$""),regexextract(B268,""e(.*)$""),"""")"),"7")</f>
        <v>7</v>
      </c>
      <c r="M268" s="45"/>
      <c r="N268" s="45">
        <f>countif(Constants!F:F,F268)</f>
        <v>1</v>
      </c>
      <c r="O268" s="21" t="str">
        <f>VLOOKUP($A268,Constants!$D:$D,1,false)</f>
        <v>proton charge to mass quotient</v>
      </c>
    </row>
    <row r="269">
      <c r="A269" s="6" t="s">
        <v>1803</v>
      </c>
      <c r="B269" s="6" t="s">
        <v>2627</v>
      </c>
      <c r="C269" s="6" t="s">
        <v>2470</v>
      </c>
      <c r="D269" s="6" t="s">
        <v>571</v>
      </c>
      <c r="E269" s="42">
        <f>countif(Constants!F:F,F269)</f>
        <v>1</v>
      </c>
      <c r="F269" s="21" t="str">
        <f>VLOOKUP($A269,Constants!$D:$F,3,false)</f>
        <v>ProtonComptonWavelength</v>
      </c>
      <c r="G269" s="43" t="str">
        <f t="shared" si="1"/>
        <v>1.32140985360e-15</v>
      </c>
      <c r="H269" s="43">
        <f t="shared" si="2"/>
        <v>0</v>
      </c>
      <c r="I269" s="43" t="str">
        <f t="shared" si="3"/>
        <v>0.00000000041e-15</v>
      </c>
      <c r="J269" s="44">
        <f t="shared" si="4"/>
        <v>0</v>
      </c>
      <c r="K269" s="43" t="b">
        <f t="shared" si="5"/>
        <v>0</v>
      </c>
      <c r="L269" s="21" t="str">
        <f>IFERROR(__xludf.DUMMYFUNCTION("if(regexmatch(B269,""e(.*)$""),regexextract(B269,""e(.*)$""),"""")"),"-15")</f>
        <v>-15</v>
      </c>
      <c r="M269" s="45"/>
      <c r="N269" s="45">
        <f>countif(Constants!F:F,F269)</f>
        <v>1</v>
      </c>
      <c r="O269" s="21" t="str">
        <f>VLOOKUP($A269,Constants!$D:$D,1,false)</f>
        <v>proton Compton wavelength</v>
      </c>
    </row>
    <row r="270">
      <c r="A270" s="6" t="s">
        <v>1807</v>
      </c>
      <c r="B270" s="6" t="s">
        <v>2628</v>
      </c>
      <c r="C270" s="6" t="s">
        <v>2378</v>
      </c>
      <c r="E270" s="42">
        <f>countif(Constants!F:F,F270)</f>
        <v>1</v>
      </c>
      <c r="F270" s="21" t="str">
        <f>VLOOKUP($A270,Constants!$D:$F,3,false)</f>
        <v>ProtonElectronMassRatio</v>
      </c>
      <c r="G270" s="43" t="str">
        <f t="shared" si="1"/>
        <v>1836.152673426</v>
      </c>
      <c r="H270" s="43">
        <f t="shared" si="2"/>
        <v>1836.152673</v>
      </c>
      <c r="I270" s="43" t="str">
        <f t="shared" si="3"/>
        <v>0.000000032</v>
      </c>
      <c r="J270" s="44">
        <f t="shared" si="4"/>
        <v>0.000000032</v>
      </c>
      <c r="K270" s="43" t="b">
        <f t="shared" si="5"/>
        <v>0</v>
      </c>
      <c r="L270" s="21" t="str">
        <f>IFERROR(__xludf.DUMMYFUNCTION("if(regexmatch(B270,""e(.*)$""),regexextract(B270,""e(.*)$""),"""")"),"")</f>
        <v/>
      </c>
      <c r="M270" s="45"/>
      <c r="N270" s="45">
        <f>countif(Constants!F:F,F270)</f>
        <v>1</v>
      </c>
      <c r="O270" s="21" t="str">
        <f>VLOOKUP($A270,Constants!$D:$D,1,false)</f>
        <v>proton-electron mass ratio</v>
      </c>
    </row>
    <row r="271">
      <c r="A271" s="6" t="s">
        <v>1811</v>
      </c>
      <c r="B271" s="6" t="s">
        <v>2629</v>
      </c>
      <c r="C271" s="6" t="s">
        <v>2630</v>
      </c>
      <c r="E271" s="42">
        <f>countif(Constants!F:F,F271)</f>
        <v>1</v>
      </c>
      <c r="F271" s="21" t="str">
        <f>VLOOKUP($A271,Constants!$D:$F,3,false)</f>
        <v>ProtonGFactor</v>
      </c>
      <c r="G271" s="43" t="str">
        <f t="shared" si="1"/>
        <v>5.5856946893</v>
      </c>
      <c r="H271" s="43">
        <f t="shared" si="2"/>
        <v>5.585694689</v>
      </c>
      <c r="I271" s="43" t="str">
        <f t="shared" si="3"/>
        <v>0.0000000016</v>
      </c>
      <c r="J271" s="44">
        <f t="shared" si="4"/>
        <v>0.0000000016</v>
      </c>
      <c r="K271" s="43" t="b">
        <f t="shared" si="5"/>
        <v>0</v>
      </c>
      <c r="L271" s="21" t="str">
        <f>IFERROR(__xludf.DUMMYFUNCTION("if(regexmatch(B271,""e(.*)$""),regexextract(B271,""e(.*)$""),"""")"),"")</f>
        <v/>
      </c>
      <c r="M271" s="45"/>
      <c r="N271" s="45">
        <f>countif(Constants!F:F,F271)</f>
        <v>1</v>
      </c>
      <c r="O271" s="21" t="str">
        <f>VLOOKUP($A271,Constants!$D:$D,1,false)</f>
        <v>proton g factor</v>
      </c>
    </row>
    <row r="272">
      <c r="A272" s="6" t="s">
        <v>1815</v>
      </c>
      <c r="B272" s="6" t="s">
        <v>2631</v>
      </c>
      <c r="C272" s="6" t="s">
        <v>2632</v>
      </c>
      <c r="D272" s="6" t="s">
        <v>961</v>
      </c>
      <c r="E272" s="42">
        <f>countif(Constants!F:F,F272)</f>
        <v>1</v>
      </c>
      <c r="F272" s="21" t="str">
        <f>VLOOKUP($A272,Constants!$D:$F,3,false)</f>
        <v>ProtonGyromagneticRatio</v>
      </c>
      <c r="G272" s="43" t="str">
        <f t="shared" si="1"/>
        <v>2.6752218708e8</v>
      </c>
      <c r="H272" s="43">
        <f t="shared" si="2"/>
        <v>267522187.1</v>
      </c>
      <c r="I272" s="43" t="str">
        <f t="shared" si="3"/>
        <v>0.0000000011e8</v>
      </c>
      <c r="J272" s="44">
        <f t="shared" si="4"/>
        <v>0.11</v>
      </c>
      <c r="K272" s="43" t="b">
        <f t="shared" si="5"/>
        <v>0</v>
      </c>
      <c r="L272" s="21" t="str">
        <f>IFERROR(__xludf.DUMMYFUNCTION("if(regexmatch(B272,""e(.*)$""),regexextract(B272,""e(.*)$""),"""")"),"8")</f>
        <v>8</v>
      </c>
      <c r="M272" s="45"/>
      <c r="N272" s="45">
        <f>countif(Constants!F:F,F272)</f>
        <v>1</v>
      </c>
      <c r="O272" s="21" t="str">
        <f>VLOOKUP($A272,Constants!$D:$D,1,false)</f>
        <v>proton gyromag. ratio</v>
      </c>
    </row>
    <row r="273">
      <c r="A273" s="6" t="s">
        <v>2633</v>
      </c>
      <c r="B273" s="6" t="s">
        <v>2634</v>
      </c>
      <c r="C273" s="6" t="s">
        <v>2635</v>
      </c>
      <c r="D273" s="6" t="s">
        <v>969</v>
      </c>
      <c r="E273" s="42">
        <f>countif(Constants!F:F,F273)</f>
        <v>1</v>
      </c>
      <c r="F273" s="47" t="s">
        <v>2636</v>
      </c>
      <c r="G273" s="43" t="str">
        <f t="shared" si="1"/>
        <v>42.577478461</v>
      </c>
      <c r="H273" s="43">
        <f t="shared" si="2"/>
        <v>42.57747846</v>
      </c>
      <c r="I273" s="43" t="str">
        <f t="shared" si="3"/>
        <v>0.000000018</v>
      </c>
      <c r="J273" s="44">
        <f t="shared" si="4"/>
        <v>0.000000018</v>
      </c>
      <c r="K273" s="43" t="b">
        <f t="shared" si="5"/>
        <v>0</v>
      </c>
      <c r="L273" s="21" t="str">
        <f>IFERROR(__xludf.DUMMYFUNCTION("if(regexmatch(B273,""e(.*)$""),regexextract(B273,""e(.*)$""),"""")"),"")</f>
        <v/>
      </c>
      <c r="M273" s="45"/>
      <c r="N273" s="45">
        <f>countif(Constants!F:F,F273)</f>
        <v>1</v>
      </c>
      <c r="O273" s="21" t="str">
        <f>VLOOKUP($A273,Constants!$D:$D,1,false)</f>
        <v>#N/A</v>
      </c>
    </row>
    <row r="274">
      <c r="A274" s="6" t="s">
        <v>1824</v>
      </c>
      <c r="B274" s="6" t="s">
        <v>2637</v>
      </c>
      <c r="C274" s="6" t="s">
        <v>2638</v>
      </c>
      <c r="D274" s="6" t="s">
        <v>714</v>
      </c>
      <c r="E274" s="42">
        <f>countif(Constants!F:F,F274)</f>
        <v>1</v>
      </c>
      <c r="F274" s="21" t="str">
        <f>VLOOKUP($A274,Constants!$D:$F,3,false)</f>
        <v>ProtonMagneticMoment</v>
      </c>
      <c r="G274" s="43" t="str">
        <f t="shared" si="1"/>
        <v>1.41060679545e-26</v>
      </c>
      <c r="H274" s="43">
        <f t="shared" si="2"/>
        <v>0</v>
      </c>
      <c r="I274" s="43" t="str">
        <f t="shared" si="3"/>
        <v>0.00000000060e-26</v>
      </c>
      <c r="J274" s="44">
        <f t="shared" si="4"/>
        <v>0</v>
      </c>
      <c r="K274" s="43" t="b">
        <f t="shared" si="5"/>
        <v>0</v>
      </c>
      <c r="L274" s="21" t="str">
        <f>IFERROR(__xludf.DUMMYFUNCTION("if(regexmatch(B274,""e(.*)$""),regexextract(B274,""e(.*)$""),"""")"),"-26")</f>
        <v>-26</v>
      </c>
      <c r="M274" s="45"/>
      <c r="N274" s="45">
        <f>countif(Constants!F:F,F274)</f>
        <v>1</v>
      </c>
      <c r="O274" s="21" t="str">
        <f>VLOOKUP($A274,Constants!$D:$D,1,false)</f>
        <v>proton mag. mom.</v>
      </c>
    </row>
    <row r="275">
      <c r="A275" s="6" t="s">
        <v>1829</v>
      </c>
      <c r="B275" s="6" t="s">
        <v>2639</v>
      </c>
      <c r="C275" s="6" t="s">
        <v>2640</v>
      </c>
      <c r="E275" s="42">
        <f>countif(Constants!F:F,F275)</f>
        <v>1</v>
      </c>
      <c r="F275" s="21" t="str">
        <f>VLOOKUP($A275,Constants!$D:$F,3,false)</f>
        <v>ProtonMagneticMomentToBohrMagnetonRatio</v>
      </c>
      <c r="G275" s="43" t="str">
        <f t="shared" si="1"/>
        <v>1.52103220230e-3</v>
      </c>
      <c r="H275" s="43">
        <f t="shared" si="2"/>
        <v>0.001521032202</v>
      </c>
      <c r="I275" s="43" t="str">
        <f t="shared" si="3"/>
        <v>0.00000000045e-3</v>
      </c>
      <c r="J275" s="44">
        <f t="shared" si="4"/>
        <v>0</v>
      </c>
      <c r="K275" s="43" t="b">
        <f t="shared" si="5"/>
        <v>0</v>
      </c>
      <c r="L275" s="21" t="str">
        <f>IFERROR(__xludf.DUMMYFUNCTION("if(regexmatch(B275,""e(.*)$""),regexextract(B275,""e(.*)$""),"""")"),"-3")</f>
        <v>-3</v>
      </c>
      <c r="M275" s="45"/>
      <c r="N275" s="45">
        <f>countif(Constants!F:F,F275)</f>
        <v>1</v>
      </c>
      <c r="O275" s="21" t="str">
        <f>VLOOKUP($A275,Constants!$D:$D,1,false)</f>
        <v>proton mag. mom. to Bohr magneton ratio</v>
      </c>
    </row>
    <row r="276">
      <c r="A276" s="6" t="s">
        <v>1834</v>
      </c>
      <c r="B276" s="6" t="s">
        <v>2641</v>
      </c>
      <c r="C276" s="6" t="s">
        <v>2527</v>
      </c>
      <c r="E276" s="42">
        <f>countif(Constants!F:F,F276)</f>
        <v>1</v>
      </c>
      <c r="F276" s="21" t="str">
        <f>VLOOKUP($A276,Constants!$D:$F,3,false)</f>
        <v>ProtonMagneticMomentToNuclearMagnetonRatio</v>
      </c>
      <c r="G276" s="43" t="str">
        <f t="shared" si="1"/>
        <v>2.79284734463</v>
      </c>
      <c r="H276" s="43">
        <f t="shared" si="2"/>
        <v>2.792847345</v>
      </c>
      <c r="I276" s="43" t="str">
        <f t="shared" si="3"/>
        <v>0.00000000082</v>
      </c>
      <c r="J276" s="44">
        <f t="shared" si="4"/>
        <v>0.00000000082</v>
      </c>
      <c r="K276" s="43" t="b">
        <f t="shared" si="5"/>
        <v>0</v>
      </c>
      <c r="L276" s="21" t="str">
        <f>IFERROR(__xludf.DUMMYFUNCTION("if(regexmatch(B276,""e(.*)$""),regexextract(B276,""e(.*)$""),"""")"),"")</f>
        <v/>
      </c>
      <c r="M276" s="45"/>
      <c r="N276" s="45">
        <f>countif(Constants!F:F,F276)</f>
        <v>1</v>
      </c>
      <c r="O276" s="21" t="str">
        <f>VLOOKUP($A276,Constants!$D:$D,1,false)</f>
        <v>proton mag. mom. to nuclear magneton ratio</v>
      </c>
    </row>
    <row r="277">
      <c r="A277" s="6" t="s">
        <v>1839</v>
      </c>
      <c r="B277" s="6" t="s">
        <v>2642</v>
      </c>
      <c r="C277" s="6" t="s">
        <v>2643</v>
      </c>
      <c r="E277" s="42">
        <f>countif(Constants!F:F,F277)</f>
        <v>1</v>
      </c>
      <c r="F277" s="21" t="str">
        <f>VLOOKUP($A277,Constants!$D:$F,3,false)</f>
        <v>ProtonMagneticShieldingCorrection</v>
      </c>
      <c r="G277" s="43" t="str">
        <f t="shared" si="1"/>
        <v>2.56715e-5</v>
      </c>
      <c r="H277" s="43">
        <f t="shared" si="2"/>
        <v>0.0000256715</v>
      </c>
      <c r="I277" s="43" t="str">
        <f t="shared" si="3"/>
        <v>0.00041e-5</v>
      </c>
      <c r="J277" s="44">
        <f t="shared" si="4"/>
        <v>0.0000000041</v>
      </c>
      <c r="K277" s="43" t="b">
        <f t="shared" si="5"/>
        <v>0</v>
      </c>
      <c r="L277" s="21" t="str">
        <f>IFERROR(__xludf.DUMMYFUNCTION("if(regexmatch(B277,""e(.*)$""),regexextract(B277,""e(.*)$""),"""")"),"-5")</f>
        <v>-5</v>
      </c>
      <c r="M277" s="45"/>
      <c r="N277" s="45">
        <f>countif(Constants!F:F,F277)</f>
        <v>1</v>
      </c>
      <c r="O277" s="21" t="str">
        <f>VLOOKUP($A277,Constants!$D:$D,1,false)</f>
        <v>proton mag. shielding correction</v>
      </c>
    </row>
    <row r="278">
      <c r="A278" s="6" t="s">
        <v>1843</v>
      </c>
      <c r="B278" s="6" t="s">
        <v>2644</v>
      </c>
      <c r="C278" s="6" t="s">
        <v>2241</v>
      </c>
      <c r="D278" s="6" t="s">
        <v>538</v>
      </c>
      <c r="E278" s="42">
        <f>countif(Constants!F:F,F278)</f>
        <v>1</v>
      </c>
      <c r="F278" s="21" t="str">
        <f>VLOOKUP($A278,Constants!$D:$F,3,false)</f>
        <v>ProtonMass</v>
      </c>
      <c r="G278" s="43" t="str">
        <f t="shared" si="1"/>
        <v>1.67262192595e-27</v>
      </c>
      <c r="H278" s="43">
        <f t="shared" si="2"/>
        <v>0</v>
      </c>
      <c r="I278" s="43" t="str">
        <f t="shared" si="3"/>
        <v>0.00000000052e-27</v>
      </c>
      <c r="J278" s="44">
        <f t="shared" si="4"/>
        <v>0</v>
      </c>
      <c r="K278" s="43" t="b">
        <f t="shared" si="5"/>
        <v>0</v>
      </c>
      <c r="L278" s="21" t="str">
        <f>IFERROR(__xludf.DUMMYFUNCTION("if(regexmatch(B278,""e(.*)$""),regexextract(B278,""e(.*)$""),"""")"),"-27")</f>
        <v>-27</v>
      </c>
      <c r="M278" s="45"/>
      <c r="N278" s="45">
        <f>countif(Constants!F:F,F278)</f>
        <v>1</v>
      </c>
      <c r="O278" s="21" t="str">
        <f>VLOOKUP($A278,Constants!$D:$D,1,false)</f>
        <v>proton mass</v>
      </c>
    </row>
    <row r="279">
      <c r="A279" s="6" t="s">
        <v>1848</v>
      </c>
      <c r="B279" s="6" t="s">
        <v>2645</v>
      </c>
      <c r="C279" s="6" t="s">
        <v>2646</v>
      </c>
      <c r="D279" s="6" t="s">
        <v>543</v>
      </c>
      <c r="E279" s="42">
        <f>countif(Constants!F:F,F279)</f>
        <v>1</v>
      </c>
      <c r="F279" s="21" t="str">
        <f>VLOOKUP($A279,Constants!$D:$F,3,false)</f>
        <v>ProtonMassEnergyEquivalent</v>
      </c>
      <c r="G279" s="43" t="str">
        <f t="shared" si="1"/>
        <v>1.50327761802e-10</v>
      </c>
      <c r="H279" s="43">
        <f t="shared" si="2"/>
        <v>0.0000000001503277618</v>
      </c>
      <c r="I279" s="43" t="str">
        <f t="shared" si="3"/>
        <v>0.00000000047e-10</v>
      </c>
      <c r="J279" s="44">
        <f t="shared" si="4"/>
        <v>0</v>
      </c>
      <c r="K279" s="43" t="b">
        <f t="shared" si="5"/>
        <v>0</v>
      </c>
      <c r="L279" s="21" t="str">
        <f>IFERROR(__xludf.DUMMYFUNCTION("if(regexmatch(B279,""e(.*)$""),regexextract(B279,""e(.*)$""),"""")"),"-10")</f>
        <v>-10</v>
      </c>
      <c r="M279" s="45"/>
      <c r="N279" s="45">
        <f>countif(Constants!F:F,F279)</f>
        <v>1</v>
      </c>
      <c r="O279" s="21" t="str">
        <f>VLOOKUP($A279,Constants!$D:$D,1,false)</f>
        <v>proton mass energy equivalent</v>
      </c>
    </row>
    <row r="280">
      <c r="A280" s="6" t="s">
        <v>1852</v>
      </c>
      <c r="B280" s="6" t="s">
        <v>2647</v>
      </c>
      <c r="C280" s="6" t="s">
        <v>2245</v>
      </c>
      <c r="D280" s="6" t="s">
        <v>548</v>
      </c>
      <c r="E280" s="42">
        <f>countif(Constants!F:F,F280)</f>
        <v>1</v>
      </c>
      <c r="F280" s="21" t="str">
        <f>VLOOKUP($A280,Constants!$D:$F,3,false)</f>
        <v>ProtonMassEnergyEquivalentInMeV</v>
      </c>
      <c r="G280" s="43" t="str">
        <f t="shared" si="1"/>
        <v>938.27208943</v>
      </c>
      <c r="H280" s="43">
        <f t="shared" si="2"/>
        <v>938.2720894</v>
      </c>
      <c r="I280" s="43" t="str">
        <f t="shared" si="3"/>
        <v>0.00000029</v>
      </c>
      <c r="J280" s="44">
        <f t="shared" si="4"/>
        <v>0.00000029</v>
      </c>
      <c r="K280" s="43" t="b">
        <f t="shared" si="5"/>
        <v>0</v>
      </c>
      <c r="L280" s="21" t="str">
        <f>IFERROR(__xludf.DUMMYFUNCTION("if(regexmatch(B280,""e(.*)$""),regexextract(B280,""e(.*)$""),"""")"),"")</f>
        <v/>
      </c>
      <c r="M280" s="45"/>
      <c r="N280" s="45">
        <f>countif(Constants!F:F,F280)</f>
        <v>1</v>
      </c>
      <c r="O280" s="21" t="str">
        <f>VLOOKUP($A280,Constants!$D:$D,1,false)</f>
        <v>proton mass energy equivalent in MeV</v>
      </c>
    </row>
    <row r="281">
      <c r="A281" s="6" t="s">
        <v>1855</v>
      </c>
      <c r="B281" s="6" t="s">
        <v>2648</v>
      </c>
      <c r="C281" s="6" t="s">
        <v>2649</v>
      </c>
      <c r="D281" s="6" t="s">
        <v>553</v>
      </c>
      <c r="E281" s="42">
        <f>countif(Constants!F:F,F281)</f>
        <v>1</v>
      </c>
      <c r="F281" s="21" t="str">
        <f>VLOOKUP($A281,Constants!$D:$F,3,false)</f>
        <v>ProtonMassInAtomicMassUnit</v>
      </c>
      <c r="G281" s="43" t="str">
        <f t="shared" si="1"/>
        <v>1.0072764665789</v>
      </c>
      <c r="H281" s="43">
        <f t="shared" si="2"/>
        <v>1.007276467</v>
      </c>
      <c r="I281" s="43" t="str">
        <f t="shared" si="3"/>
        <v>0.0000000000083</v>
      </c>
      <c r="J281" s="44">
        <f t="shared" si="4"/>
        <v>0</v>
      </c>
      <c r="K281" s="43" t="b">
        <f t="shared" si="5"/>
        <v>0</v>
      </c>
      <c r="L281" s="21" t="str">
        <f>IFERROR(__xludf.DUMMYFUNCTION("if(regexmatch(B281,""e(.*)$""),regexextract(B281,""e(.*)$""),"""")"),"")</f>
        <v/>
      </c>
      <c r="M281" s="45"/>
      <c r="N281" s="45">
        <f>countif(Constants!F:F,F281)</f>
        <v>1</v>
      </c>
      <c r="O281" s="21" t="str">
        <f>VLOOKUP($A281,Constants!$D:$D,1,false)</f>
        <v>proton mass in u</v>
      </c>
    </row>
    <row r="282">
      <c r="A282" s="6" t="s">
        <v>1858</v>
      </c>
      <c r="B282" s="6" t="s">
        <v>2650</v>
      </c>
      <c r="C282" s="6" t="s">
        <v>2513</v>
      </c>
      <c r="D282" s="6" t="s">
        <v>557</v>
      </c>
      <c r="E282" s="42">
        <f>countif(Constants!F:F,F282)</f>
        <v>1</v>
      </c>
      <c r="F282" s="21" t="str">
        <f>VLOOKUP($A282,Constants!$D:$F,3,false)</f>
        <v>ProtonMolarMass</v>
      </c>
      <c r="G282" s="43" t="str">
        <f t="shared" si="1"/>
        <v>1.00727646764e-3</v>
      </c>
      <c r="H282" s="43">
        <f t="shared" si="2"/>
        <v>0.001007276468</v>
      </c>
      <c r="I282" s="43" t="str">
        <f t="shared" si="3"/>
        <v>0.00000000031e-3</v>
      </c>
      <c r="J282" s="44">
        <f t="shared" si="4"/>
        <v>0</v>
      </c>
      <c r="K282" s="43" t="b">
        <f t="shared" si="5"/>
        <v>0</v>
      </c>
      <c r="L282" s="21" t="str">
        <f>IFERROR(__xludf.DUMMYFUNCTION("if(regexmatch(B282,""e(.*)$""),regexextract(B282,""e(.*)$""),"""")"),"-3")</f>
        <v>-3</v>
      </c>
      <c r="M282" s="45"/>
      <c r="N282" s="45">
        <f>countif(Constants!F:F,F282)</f>
        <v>1</v>
      </c>
      <c r="O282" s="21" t="str">
        <f>VLOOKUP($A282,Constants!$D:$D,1,false)</f>
        <v>proton molar mass</v>
      </c>
    </row>
    <row r="283">
      <c r="A283" s="6" t="s">
        <v>1862</v>
      </c>
      <c r="B283" s="6" t="s">
        <v>2651</v>
      </c>
      <c r="C283" s="6" t="s">
        <v>2534</v>
      </c>
      <c r="E283" s="42">
        <f>countif(Constants!F:F,F283)</f>
        <v>1</v>
      </c>
      <c r="F283" s="21" t="str">
        <f>VLOOKUP($A283,Constants!$D:$F,3,false)</f>
        <v>ProtonMuonMassRatio</v>
      </c>
      <c r="G283" s="43" t="str">
        <f t="shared" si="1"/>
        <v>8.88024338</v>
      </c>
      <c r="H283" s="43">
        <f t="shared" si="2"/>
        <v>8.88024338</v>
      </c>
      <c r="I283" s="43" t="str">
        <f t="shared" si="3"/>
        <v>0.00000020</v>
      </c>
      <c r="J283" s="44">
        <f t="shared" si="4"/>
        <v>0.0000002</v>
      </c>
      <c r="K283" s="43" t="b">
        <f t="shared" si="5"/>
        <v>0</v>
      </c>
      <c r="L283" s="21" t="str">
        <f>IFERROR(__xludf.DUMMYFUNCTION("if(regexmatch(B283,""e(.*)$""),regexextract(B283,""e(.*)$""),"""")"),"")</f>
        <v/>
      </c>
      <c r="M283" s="45"/>
      <c r="N283" s="45">
        <f>countif(Constants!F:F,F283)</f>
        <v>1</v>
      </c>
      <c r="O283" s="21" t="str">
        <f>VLOOKUP($A283,Constants!$D:$D,1,false)</f>
        <v>proton-muon mass ratio</v>
      </c>
    </row>
    <row r="284">
      <c r="A284" s="6" t="s">
        <v>1867</v>
      </c>
      <c r="B284" s="6" t="s">
        <v>2652</v>
      </c>
      <c r="C284" s="6" t="s">
        <v>2653</v>
      </c>
      <c r="E284" s="42">
        <f>countif(Constants!F:F,F284)</f>
        <v>1</v>
      </c>
      <c r="F284" s="21" t="str">
        <f>VLOOKUP($A284,Constants!$D:$F,3,false)</f>
        <v>ProtonNeutronMagneticMomentRatio</v>
      </c>
      <c r="G284" s="43" t="str">
        <f t="shared" si="1"/>
        <v>-1.45989802</v>
      </c>
      <c r="H284" s="43">
        <f t="shared" si="2"/>
        <v>-1.45989802</v>
      </c>
      <c r="I284" s="43" t="str">
        <f t="shared" si="3"/>
        <v>0.00000034</v>
      </c>
      <c r="J284" s="44">
        <f t="shared" si="4"/>
        <v>0.00000034</v>
      </c>
      <c r="K284" s="43" t="b">
        <f t="shared" si="5"/>
        <v>0</v>
      </c>
      <c r="L284" s="21" t="str">
        <f>IFERROR(__xludf.DUMMYFUNCTION("if(regexmatch(B284,""e(.*)$""),regexextract(B284,""e(.*)$""),"""")"),"")</f>
        <v/>
      </c>
      <c r="M284" s="45"/>
      <c r="N284" s="45">
        <f>countif(Constants!F:F,F284)</f>
        <v>1</v>
      </c>
      <c r="O284" s="21" t="str">
        <f>VLOOKUP($A284,Constants!$D:$D,1,false)</f>
        <v>proton-neutron mag. mom. ratio</v>
      </c>
    </row>
    <row r="285">
      <c r="A285" s="6" t="s">
        <v>1872</v>
      </c>
      <c r="B285" s="6" t="s">
        <v>2654</v>
      </c>
      <c r="C285" s="6" t="s">
        <v>2585</v>
      </c>
      <c r="E285" s="42">
        <f>countif(Constants!F:F,F285)</f>
        <v>1</v>
      </c>
      <c r="F285" s="21" t="str">
        <f>VLOOKUP($A285,Constants!$D:$F,3,false)</f>
        <v>ProtonNeutronMassRatio</v>
      </c>
      <c r="G285" s="43" t="str">
        <f t="shared" si="1"/>
        <v>0.99862347797</v>
      </c>
      <c r="H285" s="43">
        <f t="shared" si="2"/>
        <v>0.998623478</v>
      </c>
      <c r="I285" s="43" t="str">
        <f t="shared" si="3"/>
        <v>0.00000000040</v>
      </c>
      <c r="J285" s="44">
        <f t="shared" si="4"/>
        <v>0.0000000004</v>
      </c>
      <c r="K285" s="43" t="b">
        <f t="shared" si="5"/>
        <v>0</v>
      </c>
      <c r="L285" s="21" t="str">
        <f>IFERROR(__xludf.DUMMYFUNCTION("if(regexmatch(B285,""e(.*)$""),regexextract(B285,""e(.*)$""),"""")"),"")</f>
        <v/>
      </c>
      <c r="M285" s="45"/>
      <c r="N285" s="45">
        <f>countif(Constants!F:F,F285)</f>
        <v>1</v>
      </c>
      <c r="O285" s="21" t="str">
        <f>VLOOKUP($A285,Constants!$D:$D,1,false)</f>
        <v>proton-neutron mass ratio</v>
      </c>
    </row>
    <row r="286">
      <c r="A286" s="6" t="s">
        <v>1877</v>
      </c>
      <c r="B286" s="6" t="s">
        <v>2648</v>
      </c>
      <c r="C286" s="6" t="s">
        <v>2649</v>
      </c>
      <c r="E286" s="42">
        <f>countif(Constants!F:F,F286)</f>
        <v>1</v>
      </c>
      <c r="F286" s="21" t="str">
        <f>VLOOKUP($A286,Constants!$D:$F,3,false)</f>
        <v>ProtonRelativeAtomicMass</v>
      </c>
      <c r="G286" s="43" t="str">
        <f t="shared" si="1"/>
        <v>1.0072764665789</v>
      </c>
      <c r="H286" s="43">
        <f t="shared" si="2"/>
        <v>1.007276467</v>
      </c>
      <c r="I286" s="43" t="str">
        <f t="shared" si="3"/>
        <v>0.0000000000083</v>
      </c>
      <c r="J286" s="44">
        <f t="shared" si="4"/>
        <v>0</v>
      </c>
      <c r="K286" s="43" t="b">
        <f t="shared" si="5"/>
        <v>0</v>
      </c>
      <c r="L286" s="21" t="str">
        <f>IFERROR(__xludf.DUMMYFUNCTION("if(regexmatch(B286,""e(.*)$""),regexextract(B286,""e(.*)$""),"""")"),"")</f>
        <v/>
      </c>
      <c r="M286" s="45"/>
      <c r="N286" s="45">
        <f>countif(Constants!F:F,F286)</f>
        <v>1</v>
      </c>
      <c r="O286" s="21" t="str">
        <f>VLOOKUP($A286,Constants!$D:$D,1,false)</f>
        <v>proton relative atomic mass</v>
      </c>
    </row>
    <row r="287">
      <c r="A287" s="6" t="s">
        <v>1880</v>
      </c>
      <c r="B287" s="46" t="s">
        <v>2655</v>
      </c>
      <c r="C287" s="46" t="s">
        <v>2656</v>
      </c>
      <c r="D287" s="6" t="s">
        <v>571</v>
      </c>
      <c r="E287" s="42">
        <f>countif(Constants!F:F,F287)</f>
        <v>1</v>
      </c>
      <c r="F287" s="21" t="str">
        <f>VLOOKUP($A287,Constants!$D:$F,3,false)</f>
        <v>ProtonRmsChargeRadius</v>
      </c>
      <c r="G287" s="43" t="str">
        <f t="shared" si="1"/>
        <v>8.4075e-16</v>
      </c>
      <c r="H287" s="43">
        <f t="shared" si="2"/>
        <v>0</v>
      </c>
      <c r="I287" s="43" t="str">
        <f t="shared" si="3"/>
        <v>0.0064e-16</v>
      </c>
      <c r="J287" s="44">
        <f t="shared" si="4"/>
        <v>0</v>
      </c>
      <c r="K287" s="43" t="b">
        <f t="shared" si="5"/>
        <v>0</v>
      </c>
      <c r="L287" s="21" t="str">
        <f>IFERROR(__xludf.DUMMYFUNCTION("if(regexmatch(B287,""e(.*)$""),regexextract(B287,""e(.*)$""),"""")"),"-16")</f>
        <v>-16</v>
      </c>
      <c r="M287" s="45"/>
      <c r="N287" s="45">
        <f>countif(Constants!F:F,F287)</f>
        <v>1</v>
      </c>
      <c r="O287" s="21" t="str">
        <f>VLOOKUP($A287,Constants!$D:$D,1,false)</f>
        <v>proton rms charge radius</v>
      </c>
    </row>
    <row r="288">
      <c r="A288" s="6" t="s">
        <v>1884</v>
      </c>
      <c r="B288" s="6" t="s">
        <v>2657</v>
      </c>
      <c r="C288" s="6" t="s">
        <v>2600</v>
      </c>
      <c r="E288" s="42">
        <f>countif(Constants!F:F,F288)</f>
        <v>1</v>
      </c>
      <c r="F288" s="21" t="str">
        <f>VLOOKUP($A288,Constants!$D:$F,3,false)</f>
        <v>ProtonTauMassRatio</v>
      </c>
      <c r="G288" s="43" t="str">
        <f t="shared" si="1"/>
        <v>0.528051</v>
      </c>
      <c r="H288" s="43">
        <f t="shared" si="2"/>
        <v>0.528051</v>
      </c>
      <c r="I288" s="43" t="str">
        <f t="shared" si="3"/>
        <v>0.000036</v>
      </c>
      <c r="J288" s="44">
        <f t="shared" si="4"/>
        <v>0.000036</v>
      </c>
      <c r="K288" s="43" t="b">
        <f t="shared" si="5"/>
        <v>0</v>
      </c>
      <c r="L288" s="21" t="str">
        <f>IFERROR(__xludf.DUMMYFUNCTION("if(regexmatch(B288,""e(.*)$""),regexextract(B288,""e(.*)$""),"""")"),"")</f>
        <v/>
      </c>
      <c r="M288" s="45"/>
      <c r="N288" s="45">
        <f>countif(Constants!F:F,F288)</f>
        <v>1</v>
      </c>
      <c r="O288" s="21" t="str">
        <f>VLOOKUP($A288,Constants!$D:$D,1,false)</f>
        <v>proton-tau mass ratio</v>
      </c>
    </row>
    <row r="289">
      <c r="A289" s="6" t="s">
        <v>1889</v>
      </c>
      <c r="B289" s="6" t="s">
        <v>2658</v>
      </c>
      <c r="C289" s="6" t="s">
        <v>2612</v>
      </c>
      <c r="D289" s="6" t="s">
        <v>1890</v>
      </c>
      <c r="E289" s="42">
        <f>countif(Constants!F:F,F289)</f>
        <v>1</v>
      </c>
      <c r="F289" s="21" t="str">
        <f>VLOOKUP($A289,Constants!$D:$F,3,false)</f>
        <v>QuantumOfCirculation</v>
      </c>
      <c r="G289" s="43" t="str">
        <f t="shared" si="1"/>
        <v>3.6369475467e-4</v>
      </c>
      <c r="H289" s="43">
        <f t="shared" si="2"/>
        <v>0.0003636947547</v>
      </c>
      <c r="I289" s="43" t="str">
        <f t="shared" si="3"/>
        <v>0.0000000011e-4</v>
      </c>
      <c r="J289" s="44">
        <f t="shared" si="4"/>
        <v>0</v>
      </c>
      <c r="K289" s="43" t="b">
        <f t="shared" si="5"/>
        <v>0</v>
      </c>
      <c r="L289" s="21" t="str">
        <f>IFERROR(__xludf.DUMMYFUNCTION("if(regexmatch(B289,""e(.*)$""),regexextract(B289,""e(.*)$""),"""")"),"-4")</f>
        <v>-4</v>
      </c>
      <c r="M289" s="45"/>
      <c r="N289" s="45">
        <f>countif(Constants!F:F,F289)</f>
        <v>1</v>
      </c>
      <c r="O289" s="21" t="str">
        <f>VLOOKUP($A289,Constants!$D:$D,1,false)</f>
        <v>quantum of circulation</v>
      </c>
    </row>
    <row r="290">
      <c r="A290" s="6" t="s">
        <v>1895</v>
      </c>
      <c r="B290" s="6" t="s">
        <v>2659</v>
      </c>
      <c r="C290" s="6" t="s">
        <v>2660</v>
      </c>
      <c r="D290" s="6" t="s">
        <v>1890</v>
      </c>
      <c r="E290" s="42">
        <f>countif(Constants!F:F,F290)</f>
        <v>1</v>
      </c>
      <c r="F290" s="21" t="str">
        <f>VLOOKUP($A290,Constants!$D:$F,3,false)</f>
        <v>QuantumOfCirculationTimes2</v>
      </c>
      <c r="G290" s="43" t="str">
        <f t="shared" si="1"/>
        <v>7.2738950934e-4</v>
      </c>
      <c r="H290" s="43">
        <f t="shared" si="2"/>
        <v>0.0007273895093</v>
      </c>
      <c r="I290" s="43" t="str">
        <f t="shared" si="3"/>
        <v>0.0000000023e-4</v>
      </c>
      <c r="J290" s="44">
        <f t="shared" si="4"/>
        <v>0</v>
      </c>
      <c r="K290" s="43" t="b">
        <f t="shared" si="5"/>
        <v>0</v>
      </c>
      <c r="L290" s="21" t="str">
        <f>IFERROR(__xludf.DUMMYFUNCTION("if(regexmatch(B290,""e(.*)$""),regexextract(B290,""e(.*)$""),"""")"),"-4")</f>
        <v>-4</v>
      </c>
      <c r="M290" s="45"/>
      <c r="N290" s="45">
        <f>countif(Constants!F:F,F290)</f>
        <v>1</v>
      </c>
      <c r="O290" s="21" t="str">
        <f>VLOOKUP($A290,Constants!$D:$D,1,false)</f>
        <v>quantum of circulation times 2</v>
      </c>
    </row>
    <row r="291">
      <c r="A291" s="6" t="s">
        <v>1899</v>
      </c>
      <c r="B291" s="6" t="s">
        <v>2552</v>
      </c>
      <c r="C291" s="6" t="s">
        <v>2553</v>
      </c>
      <c r="D291" s="6" t="s">
        <v>571</v>
      </c>
      <c r="E291" s="42">
        <f>countif(Constants!F:F,F291)</f>
        <v>2</v>
      </c>
      <c r="F291" s="21" t="str">
        <f>VLOOKUP($A291,Constants!$D:$F,3,false)</f>
        <v>ComptonWavelengthOver2Pi</v>
      </c>
      <c r="G291" s="43" t="str">
        <f t="shared" si="1"/>
        <v>3.8615926744e-13</v>
      </c>
      <c r="H291" s="43">
        <f t="shared" si="2"/>
        <v>0</v>
      </c>
      <c r="I291" s="43" t="str">
        <f t="shared" si="3"/>
        <v>0.0000000012e-13</v>
      </c>
      <c r="J291" s="44">
        <f t="shared" si="4"/>
        <v>0</v>
      </c>
      <c r="K291" s="43" t="b">
        <f t="shared" si="5"/>
        <v>0</v>
      </c>
      <c r="L291" s="21" t="str">
        <f>IFERROR(__xludf.DUMMYFUNCTION("if(regexmatch(B291,""e(.*)$""),regexextract(B291,""e(.*)$""),"""")"),"-13")</f>
        <v>-13</v>
      </c>
      <c r="M291" s="45"/>
      <c r="N291" s="45">
        <f>countif(Constants!F:F,F291)</f>
        <v>2</v>
      </c>
      <c r="O291" s="21" t="str">
        <f>VLOOKUP($A291,Constants!$D:$D,1,false)</f>
        <v>reduced Compton wavelength</v>
      </c>
    </row>
    <row r="292">
      <c r="A292" s="6" t="s">
        <v>1522</v>
      </c>
      <c r="B292" s="6" t="s">
        <v>2661</v>
      </c>
      <c r="C292" s="6" t="s">
        <v>2662</v>
      </c>
      <c r="D292" s="6" t="s">
        <v>571</v>
      </c>
      <c r="E292" s="42">
        <f>countif(Constants!F:F,F292)</f>
        <v>1</v>
      </c>
      <c r="F292" s="21" t="str">
        <f>VLOOKUP($A292,Constants!$D:$F,3,false)</f>
        <v>ReducedMuonComptonWavelength</v>
      </c>
      <c r="G292" s="43" t="str">
        <f t="shared" si="1"/>
        <v>1.867594306e-15</v>
      </c>
      <c r="H292" s="43">
        <f t="shared" si="2"/>
        <v>0</v>
      </c>
      <c r="I292" s="43" t="str">
        <f t="shared" si="3"/>
        <v>0.000000042e-15</v>
      </c>
      <c r="J292" s="44">
        <f t="shared" si="4"/>
        <v>0</v>
      </c>
      <c r="K292" s="43" t="b">
        <f t="shared" si="5"/>
        <v>0</v>
      </c>
      <c r="L292" s="21" t="str">
        <f>IFERROR(__xludf.DUMMYFUNCTION("if(regexmatch(B292,""e(.*)$""),regexextract(B292,""e(.*)$""),"""")"),"-15")</f>
        <v>-15</v>
      </c>
      <c r="M292" s="45"/>
      <c r="N292" s="45">
        <f>countif(Constants!F:F,F292)</f>
        <v>1</v>
      </c>
      <c r="O292" s="21" t="str">
        <f>VLOOKUP($A292,Constants!$D:$D,1,false)</f>
        <v>reduced muon Compton wavelength</v>
      </c>
    </row>
    <row r="293">
      <c r="A293" s="6" t="s">
        <v>1927</v>
      </c>
      <c r="B293" s="6" t="s">
        <v>2663</v>
      </c>
      <c r="C293" s="6" t="s">
        <v>2664</v>
      </c>
      <c r="D293" s="6" t="s">
        <v>571</v>
      </c>
      <c r="E293" s="42">
        <f>countif(Constants!F:F,F293)</f>
        <v>1</v>
      </c>
      <c r="F293" s="21" t="str">
        <f>VLOOKUP($A293,Constants!$D:$F,3,false)</f>
        <v>ReducedNeutronComptonWavelength</v>
      </c>
      <c r="G293" s="43" t="str">
        <f t="shared" si="1"/>
        <v>2.1001941520e-16</v>
      </c>
      <c r="H293" s="43">
        <f t="shared" si="2"/>
        <v>0</v>
      </c>
      <c r="I293" s="43" t="str">
        <f t="shared" si="3"/>
        <v>0.0000000011e-16</v>
      </c>
      <c r="J293" s="44">
        <f t="shared" si="4"/>
        <v>0</v>
      </c>
      <c r="K293" s="43" t="b">
        <f t="shared" si="5"/>
        <v>0</v>
      </c>
      <c r="L293" s="21" t="str">
        <f>IFERROR(__xludf.DUMMYFUNCTION("if(regexmatch(B293,""e(.*)$""),regexextract(B293,""e(.*)$""),"""")"),"-16")</f>
        <v>-16</v>
      </c>
      <c r="M293" s="45"/>
      <c r="N293" s="45">
        <f>countif(Constants!F:F,F293)</f>
        <v>1</v>
      </c>
      <c r="O293" s="21" t="str">
        <f>VLOOKUP($A293,Constants!$D:$D,1,false)</f>
        <v>reduced neutron Compton wavelength</v>
      </c>
    </row>
    <row r="294">
      <c r="A294" s="6" t="s">
        <v>1904</v>
      </c>
      <c r="B294" s="6" t="s">
        <v>2260</v>
      </c>
      <c r="C294" s="6" t="s">
        <v>2261</v>
      </c>
      <c r="D294" s="6" t="s">
        <v>643</v>
      </c>
      <c r="E294" s="42">
        <f>countif(Constants!F:F,F294)</f>
        <v>1</v>
      </c>
      <c r="F294" s="21" t="str">
        <f>VLOOKUP($A294,Constants!$D:$F,3,false)</f>
        <v>ReducedPlanckConstant</v>
      </c>
      <c r="G294" s="43" t="str">
        <f t="shared" si="1"/>
        <v>1.054571817e-34</v>
      </c>
      <c r="H294" s="43">
        <f t="shared" si="2"/>
        <v>0</v>
      </c>
      <c r="I294" s="43" t="str">
        <f t="shared" si="3"/>
        <v>(exact)</v>
      </c>
      <c r="J294" s="44" t="str">
        <f t="shared" si="4"/>
        <v/>
      </c>
      <c r="K294" s="43" t="b">
        <f t="shared" si="5"/>
        <v>0</v>
      </c>
      <c r="L294" s="21" t="str">
        <f>IFERROR(__xludf.DUMMYFUNCTION("if(regexmatch(B294,""e(.*)$""),regexextract(B294,""e(.*)$""),"""")"),"-34")</f>
        <v>-34</v>
      </c>
      <c r="M294" s="45"/>
      <c r="N294" s="45">
        <f>countif(Constants!F:F,F294)</f>
        <v>1</v>
      </c>
      <c r="O294" s="21" t="str">
        <f>VLOOKUP($A294,Constants!$D:$D,1,false)</f>
        <v>reduced Planck constant</v>
      </c>
    </row>
    <row r="295">
      <c r="A295" s="6" t="s">
        <v>1911</v>
      </c>
      <c r="B295" s="6" t="s">
        <v>2551</v>
      </c>
      <c r="C295" s="6" t="s">
        <v>2261</v>
      </c>
      <c r="D295" s="6" t="s">
        <v>1598</v>
      </c>
      <c r="E295" s="42">
        <f>countif(Constants!F:F,F295)</f>
        <v>1</v>
      </c>
      <c r="F295" s="21" t="str">
        <f>VLOOKUP($A295,Constants!$D:$F,3,false)</f>
        <v>ReducedPlanckConstantInEvS</v>
      </c>
      <c r="G295" s="43" t="str">
        <f t="shared" si="1"/>
        <v>6.582119569e-16</v>
      </c>
      <c r="H295" s="43">
        <f t="shared" si="2"/>
        <v>0</v>
      </c>
      <c r="I295" s="43" t="str">
        <f t="shared" si="3"/>
        <v>(exact)</v>
      </c>
      <c r="J295" s="44" t="str">
        <f t="shared" si="4"/>
        <v/>
      </c>
      <c r="K295" s="43" t="b">
        <f t="shared" si="5"/>
        <v>0</v>
      </c>
      <c r="L295" s="21" t="str">
        <f>IFERROR(__xludf.DUMMYFUNCTION("if(regexmatch(B295,""e(.*)$""),regexextract(B295,""e(.*)$""),"""")"),"-16")</f>
        <v>-16</v>
      </c>
      <c r="M295" s="45"/>
      <c r="N295" s="45">
        <f>countif(Constants!F:F,F295)</f>
        <v>1</v>
      </c>
      <c r="O295" s="21" t="str">
        <f>VLOOKUP($A295,Constants!$D:$D,1,false)</f>
        <v>reduced Planck constant in eV s</v>
      </c>
    </row>
    <row r="296">
      <c r="A296" s="6" t="s">
        <v>1915</v>
      </c>
      <c r="B296" s="6" t="s">
        <v>2665</v>
      </c>
      <c r="C296" s="6" t="s">
        <v>2261</v>
      </c>
      <c r="D296" s="6" t="s">
        <v>1916</v>
      </c>
      <c r="E296" s="42">
        <f>countif(Constants!F:F,F296)</f>
        <v>1</v>
      </c>
      <c r="F296" s="21" t="str">
        <f>VLOOKUP($A296,Constants!$D:$F,3,false)</f>
        <v>ReducedPlanckConstantTimesCInMevFm</v>
      </c>
      <c r="G296" s="43" t="str">
        <f t="shared" si="1"/>
        <v>197.3269804</v>
      </c>
      <c r="H296" s="43">
        <f t="shared" si="2"/>
        <v>197.3269804</v>
      </c>
      <c r="I296" s="43" t="str">
        <f t="shared" si="3"/>
        <v>(exact)</v>
      </c>
      <c r="J296" s="44" t="str">
        <f t="shared" si="4"/>
        <v/>
      </c>
      <c r="K296" s="43" t="b">
        <f t="shared" si="5"/>
        <v>0</v>
      </c>
      <c r="L296" s="21" t="str">
        <f>IFERROR(__xludf.DUMMYFUNCTION("if(regexmatch(B296,""e(.*)$""),regexextract(B296,""e(.*)$""),"""")"),"")</f>
        <v/>
      </c>
      <c r="M296" s="45"/>
      <c r="N296" s="45">
        <f>countif(Constants!F:F,F296)</f>
        <v>1</v>
      </c>
      <c r="O296" s="21" t="str">
        <f>VLOOKUP($A296,Constants!$D:$D,1,false)</f>
        <v>reduced Planck constant times c in MeV fm</v>
      </c>
    </row>
    <row r="297">
      <c r="A297" s="6" t="s">
        <v>1922</v>
      </c>
      <c r="B297" s="6" t="s">
        <v>2666</v>
      </c>
      <c r="C297" s="6" t="s">
        <v>2667</v>
      </c>
      <c r="D297" s="6" t="s">
        <v>571</v>
      </c>
      <c r="E297" s="42">
        <f>countif(Constants!F:F,F297)</f>
        <v>1</v>
      </c>
      <c r="F297" s="21" t="str">
        <f>VLOOKUP($A297,Constants!$D:$F,3,false)</f>
        <v>ReducedProtonComptonWavelength</v>
      </c>
      <c r="G297" s="43" t="str">
        <f t="shared" si="1"/>
        <v>2.10308910051e-16</v>
      </c>
      <c r="H297" s="43">
        <f t="shared" si="2"/>
        <v>0</v>
      </c>
      <c r="I297" s="43" t="str">
        <f t="shared" si="3"/>
        <v>0.00000000066e-16</v>
      </c>
      <c r="J297" s="44">
        <f t="shared" si="4"/>
        <v>0</v>
      </c>
      <c r="K297" s="43" t="b">
        <f t="shared" si="5"/>
        <v>0</v>
      </c>
      <c r="L297" s="21" t="str">
        <f>IFERROR(__xludf.DUMMYFUNCTION("if(regexmatch(B297,""e(.*)$""),regexextract(B297,""e(.*)$""),"""")"),"-16")</f>
        <v>-16</v>
      </c>
      <c r="M297" s="45"/>
      <c r="N297" s="45">
        <f>countif(Constants!F:F,F297)</f>
        <v>1</v>
      </c>
      <c r="O297" s="21" t="str">
        <f>VLOOKUP($A297,Constants!$D:$D,1,false)</f>
        <v>reduced proton Compton wavelength</v>
      </c>
    </row>
    <row r="298">
      <c r="A298" s="6" t="s">
        <v>2054</v>
      </c>
      <c r="B298" s="6" t="s">
        <v>2668</v>
      </c>
      <c r="C298" s="6" t="s">
        <v>2669</v>
      </c>
      <c r="D298" s="6" t="s">
        <v>571</v>
      </c>
      <c r="E298" s="42">
        <f>countif(Constants!F:F,F298)</f>
        <v>1</v>
      </c>
      <c r="F298" s="21" t="str">
        <f>VLOOKUP($A298,Constants!$D:$F,3,false)</f>
        <v>ReducedTauComptonWavelength</v>
      </c>
      <c r="G298" s="43" t="str">
        <f t="shared" si="1"/>
        <v>1.110538e-16</v>
      </c>
      <c r="H298" s="43">
        <f t="shared" si="2"/>
        <v>0</v>
      </c>
      <c r="I298" s="43" t="str">
        <f t="shared" si="3"/>
        <v>0.000075e-16</v>
      </c>
      <c r="J298" s="44">
        <f t="shared" si="4"/>
        <v>0</v>
      </c>
      <c r="K298" s="43" t="b">
        <f t="shared" si="5"/>
        <v>0</v>
      </c>
      <c r="L298" s="21" t="str">
        <f>IFERROR(__xludf.DUMMYFUNCTION("if(regexmatch(B298,""e(.*)$""),regexextract(B298,""e(.*)$""),"""")"),"-16")</f>
        <v>-16</v>
      </c>
      <c r="M298" s="45"/>
      <c r="N298" s="45">
        <f>countif(Constants!F:F,F298)</f>
        <v>1</v>
      </c>
      <c r="O298" s="21" t="str">
        <f>VLOOKUP($A298,Constants!$D:$D,1,false)</f>
        <v>reduced tau Compton wavelength</v>
      </c>
    </row>
    <row r="299">
      <c r="A299" s="6" t="s">
        <v>1933</v>
      </c>
      <c r="B299" s="6" t="s">
        <v>2670</v>
      </c>
      <c r="C299" s="6" t="s">
        <v>2671</v>
      </c>
      <c r="D299" s="6" t="s">
        <v>606</v>
      </c>
      <c r="E299" s="42">
        <f>countif(Constants!F:F,F299)</f>
        <v>1</v>
      </c>
      <c r="F299" s="21" t="str">
        <f>VLOOKUP($A299,Constants!$D:$F,3,false)</f>
        <v>RydbergConstant</v>
      </c>
      <c r="G299" s="43" t="str">
        <f t="shared" si="1"/>
        <v>10973731.568157</v>
      </c>
      <c r="H299" s="43">
        <f t="shared" si="2"/>
        <v>10973731.57</v>
      </c>
      <c r="I299" s="43" t="str">
        <f t="shared" si="3"/>
        <v>0.000012</v>
      </c>
      <c r="J299" s="44">
        <f t="shared" si="4"/>
        <v>0.000012</v>
      </c>
      <c r="K299" s="43" t="b">
        <f t="shared" si="5"/>
        <v>0</v>
      </c>
      <c r="L299" s="21" t="str">
        <f>IFERROR(__xludf.DUMMYFUNCTION("if(regexmatch(B299,""e(.*)$""),regexextract(B299,""e(.*)$""),"""")"),"")</f>
        <v/>
      </c>
      <c r="M299" s="45"/>
      <c r="N299" s="45">
        <f>countif(Constants!F:F,F299)</f>
        <v>1</v>
      </c>
      <c r="O299" s="21" t="str">
        <f>VLOOKUP($A299,Constants!$D:$D,1,false)</f>
        <v>Rydberg constant</v>
      </c>
    </row>
    <row r="300">
      <c r="A300" s="6" t="s">
        <v>1937</v>
      </c>
      <c r="B300" s="6" t="s">
        <v>2672</v>
      </c>
      <c r="C300" s="6" t="s">
        <v>2673</v>
      </c>
      <c r="D300" s="6" t="s">
        <v>600</v>
      </c>
      <c r="E300" s="42">
        <f>countif(Constants!F:F,F300)</f>
        <v>1</v>
      </c>
      <c r="F300" s="21" t="str">
        <f>VLOOKUP($A300,Constants!$D:$F,3,false)</f>
        <v>RydbergConstantTimesCInHz</v>
      </c>
      <c r="G300" s="43" t="str">
        <f t="shared" si="1"/>
        <v>3.2898419602500e15</v>
      </c>
      <c r="H300" s="43">
        <f t="shared" si="2"/>
        <v>3.28984E+15</v>
      </c>
      <c r="I300" s="43" t="str">
        <f t="shared" si="3"/>
        <v>0.0000000000036e15</v>
      </c>
      <c r="J300" s="44">
        <f t="shared" si="4"/>
        <v>3600</v>
      </c>
      <c r="K300" s="43" t="b">
        <f t="shared" si="5"/>
        <v>0</v>
      </c>
      <c r="L300" s="21" t="str">
        <f>IFERROR(__xludf.DUMMYFUNCTION("if(regexmatch(B300,""e(.*)$""),regexextract(B300,""e(.*)$""),"""")"),"15")</f>
        <v>15</v>
      </c>
      <c r="M300" s="45"/>
      <c r="N300" s="45">
        <f>countif(Constants!F:F,F300)</f>
        <v>1</v>
      </c>
      <c r="O300" s="21" t="str">
        <f>VLOOKUP($A300,Constants!$D:$D,1,false)</f>
        <v>Rydberg constant times c in Hz</v>
      </c>
    </row>
    <row r="301">
      <c r="A301" s="6" t="s">
        <v>1941</v>
      </c>
      <c r="B301" s="6" t="s">
        <v>2674</v>
      </c>
      <c r="C301" s="6" t="s">
        <v>2348</v>
      </c>
      <c r="D301" s="6" t="s">
        <v>175</v>
      </c>
      <c r="E301" s="42">
        <f>countif(Constants!F:F,F301)</f>
        <v>1</v>
      </c>
      <c r="F301" s="21" t="str">
        <f>VLOOKUP($A301,Constants!$D:$F,3,false)</f>
        <v>RydbergConstantTimesHcInEV</v>
      </c>
      <c r="G301" s="43" t="str">
        <f t="shared" si="1"/>
        <v>13.605693122990</v>
      </c>
      <c r="H301" s="43">
        <f t="shared" si="2"/>
        <v>13.60569312</v>
      </c>
      <c r="I301" s="43" t="str">
        <f t="shared" si="3"/>
        <v>0.000000000015</v>
      </c>
      <c r="J301" s="44">
        <f t="shared" si="4"/>
        <v>0</v>
      </c>
      <c r="K301" s="43" t="b">
        <f t="shared" si="5"/>
        <v>0</v>
      </c>
      <c r="L301" s="21" t="str">
        <f>IFERROR(__xludf.DUMMYFUNCTION("if(regexmatch(B301,""e(.*)$""),regexextract(B301,""e(.*)$""),"""")"),"")</f>
        <v/>
      </c>
      <c r="M301" s="45"/>
      <c r="N301" s="45">
        <f>countif(Constants!F:F,F301)</f>
        <v>1</v>
      </c>
      <c r="O301" s="21" t="str">
        <f>VLOOKUP($A301,Constants!$D:$D,1,false)</f>
        <v>Rydberg constant times hc in eV</v>
      </c>
    </row>
    <row r="302">
      <c r="A302" s="6" t="s">
        <v>1945</v>
      </c>
      <c r="B302" s="6" t="s">
        <v>2675</v>
      </c>
      <c r="C302" s="6" t="s">
        <v>2676</v>
      </c>
      <c r="D302" s="6" t="s">
        <v>543</v>
      </c>
      <c r="E302" s="42">
        <f>countif(Constants!F:F,F302)</f>
        <v>1</v>
      </c>
      <c r="F302" s="21" t="str">
        <f>VLOOKUP($A302,Constants!$D:$F,3,false)</f>
        <v>RydbergConstantTimesHcInJ</v>
      </c>
      <c r="G302" s="43" t="str">
        <f t="shared" si="1"/>
        <v>2.1798723611030e-18</v>
      </c>
      <c r="H302" s="43">
        <f t="shared" si="2"/>
        <v>0</v>
      </c>
      <c r="I302" s="43" t="str">
        <f t="shared" si="3"/>
        <v>0.0000000000024e-18</v>
      </c>
      <c r="J302" s="44">
        <f t="shared" si="4"/>
        <v>0</v>
      </c>
      <c r="K302" s="43" t="b">
        <f t="shared" si="5"/>
        <v>0</v>
      </c>
      <c r="L302" s="21" t="str">
        <f>IFERROR(__xludf.DUMMYFUNCTION("if(regexmatch(B302,""e(.*)$""),regexextract(B302,""e(.*)$""),"""")"),"-18")</f>
        <v>-18</v>
      </c>
      <c r="M302" s="45"/>
      <c r="N302" s="45">
        <f>countif(Constants!F:F,F302)</f>
        <v>1</v>
      </c>
      <c r="O302" s="21" t="str">
        <f>VLOOKUP($A302,Constants!$D:$D,1,false)</f>
        <v>Rydberg constant times hc in J</v>
      </c>
    </row>
    <row r="303">
      <c r="A303" s="6" t="s">
        <v>1948</v>
      </c>
      <c r="B303" s="6" t="s">
        <v>2677</v>
      </c>
      <c r="C303" s="6" t="s">
        <v>2678</v>
      </c>
      <c r="E303" s="42">
        <f>countif(Constants!F:F,F303)</f>
        <v>1</v>
      </c>
      <c r="F303" s="21" t="str">
        <f>VLOOKUP($A303,Constants!$D:$F,3,false)</f>
        <v>SackurTetrodeConstant</v>
      </c>
      <c r="G303" s="43" t="str">
        <f t="shared" si="1"/>
        <v>-1.15170753496</v>
      </c>
      <c r="H303" s="43">
        <f t="shared" si="2"/>
        <v>-1.151707535</v>
      </c>
      <c r="I303" s="43" t="str">
        <f t="shared" si="3"/>
        <v>0.00000000047</v>
      </c>
      <c r="J303" s="44">
        <f t="shared" si="4"/>
        <v>0.00000000047</v>
      </c>
      <c r="K303" s="43" t="b">
        <f t="shared" si="5"/>
        <v>0</v>
      </c>
      <c r="L303" s="21" t="str">
        <f>IFERROR(__xludf.DUMMYFUNCTION("if(regexmatch(B303,""e(.*)$""),regexextract(B303,""e(.*)$""),"""")"),"")</f>
        <v/>
      </c>
      <c r="M303" s="45"/>
      <c r="N303" s="45">
        <f>countif(Constants!F:F,F303)</f>
        <v>1</v>
      </c>
      <c r="O303" s="21" t="str">
        <f>VLOOKUP($A303,Constants!$D:$D,1,false)</f>
        <v>Sackur-Tetrode constant (1 K, 100 kPa)</v>
      </c>
    </row>
    <row r="304">
      <c r="A304" s="6" t="s">
        <v>1951</v>
      </c>
      <c r="B304" s="6" t="s">
        <v>2679</v>
      </c>
      <c r="C304" s="6" t="s">
        <v>2678</v>
      </c>
      <c r="E304" s="42">
        <f>countif(Constants!F:F,F304)</f>
        <v>1</v>
      </c>
      <c r="F304" s="21" t="str">
        <f>VLOOKUP($A304,Constants!$D:$F,3,false)</f>
        <v>SackurTetrodeConstant1K101KPa</v>
      </c>
      <c r="G304" s="43" t="str">
        <f t="shared" si="1"/>
        <v>-1.16487052149</v>
      </c>
      <c r="H304" s="43">
        <f t="shared" si="2"/>
        <v>-1.164870521</v>
      </c>
      <c r="I304" s="43" t="str">
        <f t="shared" si="3"/>
        <v>0.00000000047</v>
      </c>
      <c r="J304" s="44">
        <f t="shared" si="4"/>
        <v>0.00000000047</v>
      </c>
      <c r="K304" s="43" t="b">
        <f t="shared" si="5"/>
        <v>0</v>
      </c>
      <c r="L304" s="21" t="str">
        <f>IFERROR(__xludf.DUMMYFUNCTION("if(regexmatch(B304,""e(.*)$""),regexextract(B304,""e(.*)$""),"""")"),"")</f>
        <v/>
      </c>
      <c r="M304" s="45"/>
      <c r="N304" s="45">
        <f>countif(Constants!F:F,F304)</f>
        <v>1</v>
      </c>
      <c r="O304" s="21" t="str">
        <f>VLOOKUP($A304,Constants!$D:$D,1,false)</f>
        <v>Sackur-Tetrode constant (1 K, 101.325 kPa)</v>
      </c>
    </row>
    <row r="305">
      <c r="A305" s="6" t="s">
        <v>1954</v>
      </c>
      <c r="B305" s="6" t="s">
        <v>2476</v>
      </c>
      <c r="C305" s="6" t="s">
        <v>2261</v>
      </c>
      <c r="D305" s="6" t="s">
        <v>1955</v>
      </c>
      <c r="E305" s="42">
        <f>countif(Constants!F:F,F305)</f>
        <v>1</v>
      </c>
      <c r="F305" s="21" t="str">
        <f>VLOOKUP($A305,Constants!$D:$F,3,false)</f>
        <v>SecondRadiationConstant</v>
      </c>
      <c r="G305" s="43" t="str">
        <f t="shared" si="1"/>
        <v>1.438776877e-2</v>
      </c>
      <c r="H305" s="43">
        <f t="shared" si="2"/>
        <v>0.01438776877</v>
      </c>
      <c r="I305" s="43" t="str">
        <f t="shared" si="3"/>
        <v>(exact)</v>
      </c>
      <c r="J305" s="44" t="str">
        <f t="shared" si="4"/>
        <v/>
      </c>
      <c r="K305" s="43" t="b">
        <f t="shared" si="5"/>
        <v>0</v>
      </c>
      <c r="L305" s="21" t="str">
        <f>IFERROR(__xludf.DUMMYFUNCTION("if(regexmatch(B305,""e(.*)$""),regexextract(B305,""e(.*)$""),"""")"),"-2")</f>
        <v>-2</v>
      </c>
      <c r="M305" s="45"/>
      <c r="N305" s="45">
        <f>countif(Constants!F:F,F305)</f>
        <v>1</v>
      </c>
      <c r="O305" s="21" t="str">
        <f>VLOOKUP($A305,Constants!$D:$D,1,false)</f>
        <v>second radiation constant</v>
      </c>
    </row>
    <row r="306">
      <c r="A306" s="6" t="s">
        <v>1960</v>
      </c>
      <c r="B306" s="6" t="s">
        <v>2680</v>
      </c>
      <c r="C306" s="6" t="s">
        <v>2681</v>
      </c>
      <c r="D306" s="6" t="s">
        <v>961</v>
      </c>
      <c r="E306" s="42">
        <f>countif(Constants!F:F,F306)</f>
        <v>1</v>
      </c>
      <c r="F306" s="21" t="str">
        <f>VLOOKUP($A306,Constants!$D:$F,3,false)</f>
        <v>ShieldedHelionGyromagneticRatio</v>
      </c>
      <c r="G306" s="43" t="str">
        <f t="shared" si="1"/>
        <v>2.0378946078e8</v>
      </c>
      <c r="H306" s="43">
        <f t="shared" si="2"/>
        <v>203789460.8</v>
      </c>
      <c r="I306" s="43" t="str">
        <f t="shared" si="3"/>
        <v>0.0000000018e8</v>
      </c>
      <c r="J306" s="44">
        <f t="shared" si="4"/>
        <v>0.18</v>
      </c>
      <c r="K306" s="43" t="b">
        <f t="shared" si="5"/>
        <v>0</v>
      </c>
      <c r="L306" s="21" t="str">
        <f>IFERROR(__xludf.DUMMYFUNCTION("if(regexmatch(B306,""e(.*)$""),regexextract(B306,""e(.*)$""),"""")"),"8")</f>
        <v>8</v>
      </c>
      <c r="M306" s="45"/>
      <c r="N306" s="45">
        <f>countif(Constants!F:F,F306)</f>
        <v>1</v>
      </c>
      <c r="O306" s="21" t="str">
        <f>VLOOKUP($A306,Constants!$D:$D,1,false)</f>
        <v>shielded helion gyromag. ratio</v>
      </c>
    </row>
    <row r="307">
      <c r="A307" s="6" t="s">
        <v>2682</v>
      </c>
      <c r="B307" s="6" t="s">
        <v>2683</v>
      </c>
      <c r="C307" s="6" t="s">
        <v>2684</v>
      </c>
      <c r="D307" s="6" t="s">
        <v>969</v>
      </c>
      <c r="E307" s="42">
        <f>countif(Constants!F:F,F307)</f>
        <v>1</v>
      </c>
      <c r="F307" s="47" t="s">
        <v>2685</v>
      </c>
      <c r="G307" s="43" t="str">
        <f t="shared" si="1"/>
        <v>32.434100033</v>
      </c>
      <c r="H307" s="43">
        <f t="shared" si="2"/>
        <v>32.43410003</v>
      </c>
      <c r="I307" s="43" t="str">
        <f t="shared" si="3"/>
        <v>0.000000028</v>
      </c>
      <c r="J307" s="44">
        <f t="shared" si="4"/>
        <v>0.000000028</v>
      </c>
      <c r="K307" s="43" t="b">
        <f t="shared" si="5"/>
        <v>0</v>
      </c>
      <c r="L307" s="21" t="str">
        <f>IFERROR(__xludf.DUMMYFUNCTION("if(regexmatch(B307,""e(.*)$""),regexextract(B307,""e(.*)$""),"""")"),"")</f>
        <v/>
      </c>
      <c r="M307" s="45"/>
      <c r="N307" s="45">
        <f>countif(Constants!F:F,F307)</f>
        <v>1</v>
      </c>
      <c r="O307" s="21" t="str">
        <f>VLOOKUP($A307,Constants!$D:$D,1,false)</f>
        <v>#N/A</v>
      </c>
    </row>
    <row r="308">
      <c r="A308" s="6" t="s">
        <v>1969</v>
      </c>
      <c r="B308" s="6" t="s">
        <v>2686</v>
      </c>
      <c r="C308" s="6" t="s">
        <v>2440</v>
      </c>
      <c r="D308" s="6" t="s">
        <v>714</v>
      </c>
      <c r="E308" s="42">
        <f>countif(Constants!F:F,F308)</f>
        <v>1</v>
      </c>
      <c r="F308" s="21" t="str">
        <f>VLOOKUP($A308,Constants!$D:$F,3,false)</f>
        <v>ShieldedHelionMagneticMoment</v>
      </c>
      <c r="G308" s="43" t="str">
        <f t="shared" si="1"/>
        <v>-1.07455311035e-26</v>
      </c>
      <c r="H308" s="43">
        <f t="shared" si="2"/>
        <v>0</v>
      </c>
      <c r="I308" s="43" t="str">
        <f t="shared" si="3"/>
        <v>0.00000000093e-26</v>
      </c>
      <c r="J308" s="44">
        <f t="shared" si="4"/>
        <v>0</v>
      </c>
      <c r="K308" s="43" t="b">
        <f t="shared" si="5"/>
        <v>0</v>
      </c>
      <c r="L308" s="21" t="str">
        <f>IFERROR(__xludf.DUMMYFUNCTION("if(regexmatch(B308,""e(.*)$""),regexextract(B308,""e(.*)$""),"""")"),"-26")</f>
        <v>-26</v>
      </c>
      <c r="M308" s="45"/>
      <c r="N308" s="45">
        <f>countif(Constants!F:F,F308)</f>
        <v>1</v>
      </c>
      <c r="O308" s="21" t="str">
        <f>VLOOKUP($A308,Constants!$D:$D,1,false)</f>
        <v>shielded helion mag. mom.</v>
      </c>
    </row>
    <row r="309">
      <c r="A309" s="6" t="s">
        <v>1974</v>
      </c>
      <c r="B309" s="6" t="s">
        <v>2687</v>
      </c>
      <c r="C309" s="6" t="s">
        <v>2442</v>
      </c>
      <c r="E309" s="42">
        <f>countif(Constants!F:F,F309)</f>
        <v>1</v>
      </c>
      <c r="F309" s="21" t="str">
        <f>VLOOKUP($A309,Constants!$D:$F,3,false)</f>
        <v>ShieldedHelionMagneticMomentToBohrMagnetonRatio</v>
      </c>
      <c r="G309" s="43" t="str">
        <f t="shared" si="1"/>
        <v>-1.15867149457e-3</v>
      </c>
      <c r="H309" s="43">
        <f t="shared" si="2"/>
        <v>-0.001158671495</v>
      </c>
      <c r="I309" s="43" t="str">
        <f t="shared" si="3"/>
        <v>0.00000000094e-3</v>
      </c>
      <c r="J309" s="44">
        <f t="shared" si="4"/>
        <v>0</v>
      </c>
      <c r="K309" s="43" t="b">
        <f t="shared" si="5"/>
        <v>0</v>
      </c>
      <c r="L309" s="21" t="str">
        <f>IFERROR(__xludf.DUMMYFUNCTION("if(regexmatch(B309,""e(.*)$""),regexextract(B309,""e(.*)$""),"""")"),"-3")</f>
        <v>-3</v>
      </c>
      <c r="M309" s="45"/>
      <c r="N309" s="45">
        <f>countif(Constants!F:F,F309)</f>
        <v>1</v>
      </c>
      <c r="O309" s="21" t="str">
        <f>VLOOKUP($A309,Constants!$D:$D,1,false)</f>
        <v>shielded helion mag. mom. to Bohr magneton ratio</v>
      </c>
    </row>
    <row r="310">
      <c r="A310" s="6" t="s">
        <v>1979</v>
      </c>
      <c r="B310" s="6" t="s">
        <v>2688</v>
      </c>
      <c r="C310" s="6" t="s">
        <v>2444</v>
      </c>
      <c r="E310" s="42">
        <f>countif(Constants!F:F,F310)</f>
        <v>1</v>
      </c>
      <c r="F310" s="21" t="str">
        <f>VLOOKUP($A310,Constants!$D:$F,3,false)</f>
        <v>ShieldedHelionMagneticMomentToNuclearMagnetonRatio</v>
      </c>
      <c r="G310" s="43" t="str">
        <f t="shared" si="1"/>
        <v>-2.1274977624</v>
      </c>
      <c r="H310" s="43">
        <f t="shared" si="2"/>
        <v>-2.127497762</v>
      </c>
      <c r="I310" s="43" t="str">
        <f t="shared" si="3"/>
        <v>0.0000000017</v>
      </c>
      <c r="J310" s="44">
        <f t="shared" si="4"/>
        <v>0.0000000017</v>
      </c>
      <c r="K310" s="43" t="b">
        <f t="shared" si="5"/>
        <v>0</v>
      </c>
      <c r="L310" s="21" t="str">
        <f>IFERROR(__xludf.DUMMYFUNCTION("if(regexmatch(B310,""e(.*)$""),regexextract(B310,""e(.*)$""),"""")"),"")</f>
        <v/>
      </c>
      <c r="M310" s="45"/>
      <c r="N310" s="45">
        <f>countif(Constants!F:F,F310)</f>
        <v>1</v>
      </c>
      <c r="O310" s="21" t="str">
        <f>VLOOKUP($A310,Constants!$D:$D,1,false)</f>
        <v>shielded helion mag. mom. to nuclear magneton ratio</v>
      </c>
    </row>
    <row r="311">
      <c r="A311" s="6" t="s">
        <v>1984</v>
      </c>
      <c r="B311" s="6" t="s">
        <v>2689</v>
      </c>
      <c r="C311" s="6" t="s">
        <v>2690</v>
      </c>
      <c r="E311" s="42">
        <f>countif(Constants!F:F,F311)</f>
        <v>1</v>
      </c>
      <c r="F311" s="21" t="str">
        <f>VLOOKUP($A311,Constants!$D:$F,3,false)</f>
        <v>ShieldedHelionToProtonMagneticMomentRatio</v>
      </c>
      <c r="G311" s="43" t="str">
        <f t="shared" si="1"/>
        <v>-0.76176657721</v>
      </c>
      <c r="H311" s="43">
        <f t="shared" si="2"/>
        <v>-0.7617665772</v>
      </c>
      <c r="I311" s="43" t="str">
        <f t="shared" si="3"/>
        <v>0.00000000066</v>
      </c>
      <c r="J311" s="44">
        <f t="shared" si="4"/>
        <v>0.00000000066</v>
      </c>
      <c r="K311" s="43" t="b">
        <f t="shared" si="5"/>
        <v>0</v>
      </c>
      <c r="L311" s="21" t="str">
        <f>IFERROR(__xludf.DUMMYFUNCTION("if(regexmatch(B311,""e(.*)$""),regexextract(B311,""e(.*)$""),"""")"),"")</f>
        <v/>
      </c>
      <c r="M311" s="45"/>
      <c r="N311" s="45">
        <f>countif(Constants!F:F,F311)</f>
        <v>1</v>
      </c>
      <c r="O311" s="21" t="str">
        <f>VLOOKUP($A311,Constants!$D:$D,1,false)</f>
        <v>shielded helion to proton mag. mom. ratio</v>
      </c>
    </row>
    <row r="312">
      <c r="A312" s="6" t="s">
        <v>1989</v>
      </c>
      <c r="B312" s="6" t="s">
        <v>2691</v>
      </c>
      <c r="C312" s="6" t="s">
        <v>2692</v>
      </c>
      <c r="E312" s="42">
        <f>countif(Constants!F:F,F312)</f>
        <v>1</v>
      </c>
      <c r="F312" s="21" t="str">
        <f>VLOOKUP($A312,Constants!$D:$F,3,false)</f>
        <v>ShieldedHelionToShieldedProtonMagneticMomentRatio</v>
      </c>
      <c r="G312" s="43" t="str">
        <f t="shared" si="1"/>
        <v>-0.7617861334</v>
      </c>
      <c r="H312" s="43">
        <f t="shared" si="2"/>
        <v>-0.7617861334</v>
      </c>
      <c r="I312" s="43" t="str">
        <f t="shared" si="3"/>
        <v>0.0000000031</v>
      </c>
      <c r="J312" s="44">
        <f t="shared" si="4"/>
        <v>0.0000000031</v>
      </c>
      <c r="K312" s="43" t="b">
        <f t="shared" si="5"/>
        <v>0</v>
      </c>
      <c r="L312" s="21" t="str">
        <f>IFERROR(__xludf.DUMMYFUNCTION("if(regexmatch(B312,""e(.*)$""),regexextract(B312,""e(.*)$""),"""")"),"")</f>
        <v/>
      </c>
      <c r="M312" s="45"/>
      <c r="N312" s="45">
        <f>countif(Constants!F:F,F312)</f>
        <v>1</v>
      </c>
      <c r="O312" s="21" t="str">
        <f>VLOOKUP($A312,Constants!$D:$D,1,false)</f>
        <v>shielded helion to shielded proton mag. mom. ratio</v>
      </c>
    </row>
    <row r="313">
      <c r="A313" s="6" t="s">
        <v>1994</v>
      </c>
      <c r="B313" s="6" t="s">
        <v>2693</v>
      </c>
      <c r="C313" s="6" t="s">
        <v>2694</v>
      </c>
      <c r="D313" s="6" t="s">
        <v>961</v>
      </c>
      <c r="E313" s="42">
        <f>countif(Constants!F:F,F313)</f>
        <v>1</v>
      </c>
      <c r="F313" s="21" t="str">
        <f>VLOOKUP($A313,Constants!$D:$F,3,false)</f>
        <v>ShieldedProtonGyromagneticRatio</v>
      </c>
      <c r="G313" s="43" t="str">
        <f t="shared" si="1"/>
        <v>2.675153194e8</v>
      </c>
      <c r="H313" s="43">
        <f t="shared" si="2"/>
        <v>267515319.4</v>
      </c>
      <c r="I313" s="43" t="str">
        <f t="shared" si="3"/>
        <v>0.000000011e8</v>
      </c>
      <c r="J313" s="44">
        <f t="shared" si="4"/>
        <v>1.1</v>
      </c>
      <c r="K313" s="43" t="b">
        <f t="shared" si="5"/>
        <v>0</v>
      </c>
      <c r="L313" s="21" t="str">
        <f>IFERROR(__xludf.DUMMYFUNCTION("if(regexmatch(B313,""e(.*)$""),regexextract(B313,""e(.*)$""),"""")"),"8")</f>
        <v>8</v>
      </c>
      <c r="M313" s="45"/>
      <c r="N313" s="45">
        <f>countif(Constants!F:F,F313)</f>
        <v>1</v>
      </c>
      <c r="O313" s="21" t="str">
        <f>VLOOKUP($A313,Constants!$D:$D,1,false)</f>
        <v>shielded proton gyromag. ratio</v>
      </c>
    </row>
    <row r="314">
      <c r="A314" s="6" t="s">
        <v>1999</v>
      </c>
      <c r="B314" s="6" t="s">
        <v>2695</v>
      </c>
      <c r="C314" s="6" t="s">
        <v>2223</v>
      </c>
      <c r="D314" s="6" t="s">
        <v>969</v>
      </c>
      <c r="E314" s="42">
        <f>countif(Constants!F:F,F314)</f>
        <v>1</v>
      </c>
      <c r="F314" s="21" t="str">
        <f>VLOOKUP($A314,Constants!$D:$F,3,false)</f>
        <v>ShieldedProtonGyromagneticRatioOver2Pi</v>
      </c>
      <c r="G314" s="43" t="str">
        <f t="shared" si="1"/>
        <v>42.57638543</v>
      </c>
      <c r="H314" s="43">
        <f t="shared" si="2"/>
        <v>42.57638543</v>
      </c>
      <c r="I314" s="43" t="str">
        <f t="shared" si="3"/>
        <v>0.00000017</v>
      </c>
      <c r="J314" s="44">
        <f t="shared" si="4"/>
        <v>0.00000017</v>
      </c>
      <c r="K314" s="43" t="b">
        <f t="shared" si="5"/>
        <v>0</v>
      </c>
      <c r="L314" s="21" t="str">
        <f>IFERROR(__xludf.DUMMYFUNCTION("if(regexmatch(B314,""e(.*)$""),regexextract(B314,""e(.*)$""),"""")"),"")</f>
        <v/>
      </c>
      <c r="M314" s="45"/>
      <c r="N314" s="45">
        <f>countif(Constants!F:F,F314)</f>
        <v>1</v>
      </c>
      <c r="O314" s="21" t="str">
        <f>VLOOKUP($A314,Constants!$D:$D,1,false)</f>
        <v>shielded proton gyromag. ratio in MHz/T</v>
      </c>
    </row>
    <row r="315">
      <c r="A315" s="6" t="s">
        <v>2003</v>
      </c>
      <c r="B315" s="6" t="s">
        <v>2696</v>
      </c>
      <c r="C315" s="6" t="s">
        <v>2697</v>
      </c>
      <c r="D315" s="6" t="s">
        <v>714</v>
      </c>
      <c r="E315" s="42">
        <f>countif(Constants!F:F,F315)</f>
        <v>1</v>
      </c>
      <c r="F315" s="21" t="str">
        <f>VLOOKUP($A315,Constants!$D:$F,3,false)</f>
        <v>ShieldedProtonMagneticMoment</v>
      </c>
      <c r="G315" s="43" t="str">
        <f t="shared" si="1"/>
        <v>1.4105705830e-26</v>
      </c>
      <c r="H315" s="43">
        <f t="shared" si="2"/>
        <v>0</v>
      </c>
      <c r="I315" s="43" t="str">
        <f t="shared" si="3"/>
        <v>0.0000000058e-26</v>
      </c>
      <c r="J315" s="44">
        <f t="shared" si="4"/>
        <v>0</v>
      </c>
      <c r="K315" s="43" t="b">
        <f t="shared" si="5"/>
        <v>0</v>
      </c>
      <c r="L315" s="21" t="str">
        <f>IFERROR(__xludf.DUMMYFUNCTION("if(regexmatch(B315,""e(.*)$""),regexextract(B315,""e(.*)$""),"""")"),"-26")</f>
        <v>-26</v>
      </c>
      <c r="M315" s="45"/>
      <c r="N315" s="45">
        <f>countif(Constants!F:F,F315)</f>
        <v>1</v>
      </c>
      <c r="O315" s="21" t="str">
        <f>VLOOKUP($A315,Constants!$D:$D,1,false)</f>
        <v>shielded proton mag. mom.</v>
      </c>
    </row>
    <row r="316">
      <c r="A316" s="6" t="s">
        <v>2008</v>
      </c>
      <c r="B316" s="6" t="s">
        <v>2698</v>
      </c>
      <c r="C316" s="6" t="s">
        <v>2699</v>
      </c>
      <c r="E316" s="42">
        <f>countif(Constants!F:F,F316)</f>
        <v>1</v>
      </c>
      <c r="F316" s="21" t="str">
        <f>VLOOKUP($A316,Constants!$D:$F,3,false)</f>
        <v>ShieldedProtonMagneticMomentToBohrMagnetonRatio</v>
      </c>
      <c r="G316" s="43" t="str">
        <f t="shared" si="1"/>
        <v>1.5209931551e-3</v>
      </c>
      <c r="H316" s="43">
        <f t="shared" si="2"/>
        <v>0.001520993155</v>
      </c>
      <c r="I316" s="43" t="str">
        <f t="shared" si="3"/>
        <v>0.0000000062e-3</v>
      </c>
      <c r="J316" s="44">
        <f t="shared" si="4"/>
        <v>0</v>
      </c>
      <c r="K316" s="43" t="b">
        <f t="shared" si="5"/>
        <v>0</v>
      </c>
      <c r="L316" s="21" t="str">
        <f>IFERROR(__xludf.DUMMYFUNCTION("if(regexmatch(B316,""e(.*)$""),regexextract(B316,""e(.*)$""),"""")"),"-3")</f>
        <v>-3</v>
      </c>
      <c r="M316" s="45"/>
      <c r="N316" s="45">
        <f>countif(Constants!F:F,F316)</f>
        <v>1</v>
      </c>
      <c r="O316" s="21" t="str">
        <f>VLOOKUP($A316,Constants!$D:$D,1,false)</f>
        <v>shielded proton mag. mom. to Bohr magneton ratio</v>
      </c>
    </row>
    <row r="317">
      <c r="A317" s="6" t="s">
        <v>2013</v>
      </c>
      <c r="B317" s="6" t="s">
        <v>2700</v>
      </c>
      <c r="C317" s="6" t="s">
        <v>2701</v>
      </c>
      <c r="E317" s="42">
        <f>countif(Constants!F:F,F317)</f>
        <v>1</v>
      </c>
      <c r="F317" s="21" t="str">
        <f>VLOOKUP($A317,Constants!$D:$F,3,false)</f>
        <v>ShieldedProtonMagneticMomentToNuclearMagnetonRatio</v>
      </c>
      <c r="G317" s="43" t="str">
        <f t="shared" si="1"/>
        <v>2.792775648</v>
      </c>
      <c r="H317" s="43">
        <f t="shared" si="2"/>
        <v>2.792775648</v>
      </c>
      <c r="I317" s="43" t="str">
        <f t="shared" si="3"/>
        <v>0.000000011</v>
      </c>
      <c r="J317" s="44">
        <f t="shared" si="4"/>
        <v>0.000000011</v>
      </c>
      <c r="K317" s="43" t="b">
        <f t="shared" si="5"/>
        <v>0</v>
      </c>
      <c r="L317" s="21" t="str">
        <f>IFERROR(__xludf.DUMMYFUNCTION("if(regexmatch(B317,""e(.*)$""),regexextract(B317,""e(.*)$""),"""")"),"")</f>
        <v/>
      </c>
      <c r="M317" s="45"/>
      <c r="N317" s="45">
        <f>countif(Constants!F:F,F317)</f>
        <v>1</v>
      </c>
      <c r="O317" s="21" t="str">
        <f>VLOOKUP($A317,Constants!$D:$D,1,false)</f>
        <v>shielded proton mag. mom. to nuclear magneton ratio</v>
      </c>
    </row>
    <row r="318">
      <c r="A318" s="6" t="s">
        <v>2018</v>
      </c>
      <c r="B318" s="6" t="s">
        <v>2702</v>
      </c>
      <c r="C318" s="6" t="s">
        <v>2703</v>
      </c>
      <c r="E318" s="42">
        <f>countif(Constants!F:F,F318)</f>
        <v>1</v>
      </c>
      <c r="F318" s="21" t="str">
        <f>VLOOKUP($A318,Constants!$D:$F,3,false)</f>
        <v>ShieldingDifferenceOfDAndP</v>
      </c>
      <c r="G318" s="43" t="str">
        <f t="shared" si="1"/>
        <v>1.98770e-8</v>
      </c>
      <c r="H318" s="43">
        <f t="shared" si="2"/>
        <v>0.000000019877</v>
      </c>
      <c r="I318" s="43" t="str">
        <f t="shared" si="3"/>
        <v>0.00010e-8</v>
      </c>
      <c r="J318" s="44">
        <f t="shared" si="4"/>
        <v>0</v>
      </c>
      <c r="K318" s="43" t="b">
        <f t="shared" si="5"/>
        <v>0</v>
      </c>
      <c r="L318" s="21" t="str">
        <f>IFERROR(__xludf.DUMMYFUNCTION("if(regexmatch(B318,""e(.*)$""),regexextract(B318,""e(.*)$""),"""")"),"-8")</f>
        <v>-8</v>
      </c>
      <c r="M318" s="45"/>
      <c r="N318" s="45">
        <f>countif(Constants!F:F,F318)</f>
        <v>1</v>
      </c>
      <c r="O318" s="21" t="str">
        <f>VLOOKUP($A318,Constants!$D:$D,1,false)</f>
        <v>shielding difference of d and p in HD</v>
      </c>
    </row>
    <row r="319">
      <c r="A319" s="6" t="s">
        <v>2020</v>
      </c>
      <c r="B319" s="6" t="s">
        <v>2704</v>
      </c>
      <c r="C319" s="6" t="s">
        <v>2705</v>
      </c>
      <c r="E319" s="42">
        <f>countif(Constants!F:F,F319)</f>
        <v>1</v>
      </c>
      <c r="F319" s="21" t="str">
        <f>VLOOKUP($A319,Constants!$D:$F,3,false)</f>
        <v>ShieldingDifferenceOfTAndP</v>
      </c>
      <c r="G319" s="43" t="str">
        <f t="shared" si="1"/>
        <v>2.39450e-8</v>
      </c>
      <c r="H319" s="43">
        <f t="shared" si="2"/>
        <v>0.000000023945</v>
      </c>
      <c r="I319" s="43" t="str">
        <f t="shared" si="3"/>
        <v>0.00020e-8</v>
      </c>
      <c r="J319" s="44">
        <f t="shared" si="4"/>
        <v>0</v>
      </c>
      <c r="K319" s="43" t="b">
        <f t="shared" si="5"/>
        <v>0</v>
      </c>
      <c r="L319" s="21" t="str">
        <f>IFERROR(__xludf.DUMMYFUNCTION("if(regexmatch(B319,""e(.*)$""),regexextract(B319,""e(.*)$""),"""")"),"-8")</f>
        <v>-8</v>
      </c>
      <c r="M319" s="45"/>
      <c r="N319" s="45">
        <f>countif(Constants!F:F,F319)</f>
        <v>1</v>
      </c>
      <c r="O319" s="21" t="str">
        <f>VLOOKUP($A319,Constants!$D:$D,1,false)</f>
        <v>shielding difference of t and p in HT</v>
      </c>
    </row>
    <row r="320">
      <c r="A320" s="6" t="s">
        <v>2021</v>
      </c>
      <c r="B320" s="6" t="s">
        <v>2474</v>
      </c>
      <c r="C320" s="6" t="s">
        <v>2261</v>
      </c>
      <c r="D320" s="6" t="s">
        <v>754</v>
      </c>
      <c r="E320" s="42">
        <f>countif(Constants!F:F,F320)</f>
        <v>1</v>
      </c>
      <c r="F320" s="21" t="str">
        <f>VLOOKUP($A320,Constants!$D:$F,3,false)</f>
        <v>SpeedOfLight_Vacuum</v>
      </c>
      <c r="G320" s="43" t="str">
        <f t="shared" si="1"/>
        <v>299792458</v>
      </c>
      <c r="H320" s="43">
        <f t="shared" si="2"/>
        <v>299792458</v>
      </c>
      <c r="I320" s="43" t="str">
        <f t="shared" si="3"/>
        <v>(exact)</v>
      </c>
      <c r="J320" s="44" t="str">
        <f t="shared" si="4"/>
        <v/>
      </c>
      <c r="K320" s="43" t="b">
        <f t="shared" si="5"/>
        <v>0</v>
      </c>
      <c r="L320" s="21" t="str">
        <f>IFERROR(__xludf.DUMMYFUNCTION("if(regexmatch(B320,""e(.*)$""),regexextract(B320,""e(.*)$""),"""")"),"")</f>
        <v/>
      </c>
      <c r="M320" s="45"/>
      <c r="N320" s="45">
        <f>countif(Constants!F:F,F320)</f>
        <v>1</v>
      </c>
      <c r="O320" s="21" t="str">
        <f>VLOOKUP($A320,Constants!$D:$D,1,false)</f>
        <v>speed of light in vacuum</v>
      </c>
    </row>
    <row r="321">
      <c r="A321" s="6" t="s">
        <v>2026</v>
      </c>
      <c r="B321" s="6" t="s">
        <v>2706</v>
      </c>
      <c r="C321" s="6" t="s">
        <v>2261</v>
      </c>
      <c r="D321" s="6" t="s">
        <v>2027</v>
      </c>
      <c r="E321" s="42">
        <f>countif(Constants!F:F,F321)</f>
        <v>1</v>
      </c>
      <c r="F321" s="21" t="str">
        <f>VLOOKUP($A321,Constants!$D:$F,3,false)</f>
        <v>StandardAccelerationOfGravity</v>
      </c>
      <c r="G321" s="43" t="str">
        <f t="shared" si="1"/>
        <v>9.80665</v>
      </c>
      <c r="H321" s="43">
        <f t="shared" si="2"/>
        <v>9.80665</v>
      </c>
      <c r="I321" s="43" t="str">
        <f t="shared" si="3"/>
        <v>(exact)</v>
      </c>
      <c r="J321" s="44" t="str">
        <f t="shared" si="4"/>
        <v/>
      </c>
      <c r="K321" s="43" t="b">
        <f t="shared" si="5"/>
        <v>0</v>
      </c>
      <c r="L321" s="21" t="str">
        <f>IFERROR(__xludf.DUMMYFUNCTION("if(regexmatch(B321,""e(.*)$""),regexextract(B321,""e(.*)$""),"""")"),"")</f>
        <v/>
      </c>
      <c r="M321" s="45"/>
      <c r="N321" s="45">
        <f>countif(Constants!F:F,F321)</f>
        <v>1</v>
      </c>
      <c r="O321" s="21" t="str">
        <f>VLOOKUP($A321,Constants!$D:$D,1,false)</f>
        <v>standard acceleration of gravity</v>
      </c>
    </row>
    <row r="322">
      <c r="A322" s="6" t="s">
        <v>2033</v>
      </c>
      <c r="B322" s="6" t="s">
        <v>2707</v>
      </c>
      <c r="C322" s="6" t="s">
        <v>2261</v>
      </c>
      <c r="D322" s="6" t="s">
        <v>2034</v>
      </c>
      <c r="E322" s="42">
        <f>countif(Constants!F:F,F322)</f>
        <v>1</v>
      </c>
      <c r="F322" s="21" t="str">
        <f>VLOOKUP($A322,Constants!$D:$F,3,false)</f>
        <v>StandardAtmosphere</v>
      </c>
      <c r="G322" s="43" t="str">
        <f t="shared" si="1"/>
        <v>101325</v>
      </c>
      <c r="H322" s="43">
        <f t="shared" si="2"/>
        <v>101325</v>
      </c>
      <c r="I322" s="43" t="str">
        <f t="shared" si="3"/>
        <v>(exact)</v>
      </c>
      <c r="J322" s="44" t="str">
        <f t="shared" si="4"/>
        <v/>
      </c>
      <c r="K322" s="43" t="b">
        <f t="shared" si="5"/>
        <v>0</v>
      </c>
      <c r="L322" s="21" t="str">
        <f>IFERROR(__xludf.DUMMYFUNCTION("if(regexmatch(B322,""e(.*)$""),regexextract(B322,""e(.*)$""),"""")"),"")</f>
        <v/>
      </c>
      <c r="M322" s="45"/>
      <c r="N322" s="45">
        <f>countif(Constants!F:F,F322)</f>
        <v>1</v>
      </c>
      <c r="O322" s="21" t="str">
        <f>VLOOKUP($A322,Constants!$D:$D,1,false)</f>
        <v>standard atmosphere</v>
      </c>
    </row>
    <row r="323">
      <c r="A323" s="6" t="s">
        <v>2039</v>
      </c>
      <c r="B323" s="6" t="s">
        <v>2708</v>
      </c>
      <c r="C323" s="6" t="s">
        <v>2261</v>
      </c>
      <c r="D323" s="6" t="s">
        <v>2034</v>
      </c>
      <c r="E323" s="42">
        <f>countif(Constants!F:F,F323)</f>
        <v>1</v>
      </c>
      <c r="F323" s="21" t="str">
        <f>VLOOKUP($A323,Constants!$D:$F,3,false)</f>
        <v>Standard-StatePressure</v>
      </c>
      <c r="G323" s="43" t="str">
        <f t="shared" si="1"/>
        <v>100000</v>
      </c>
      <c r="H323" s="43">
        <f t="shared" si="2"/>
        <v>100000</v>
      </c>
      <c r="I323" s="43" t="str">
        <f t="shared" si="3"/>
        <v>(exact)</v>
      </c>
      <c r="J323" s="44" t="str">
        <f t="shared" si="4"/>
        <v/>
      </c>
      <c r="K323" s="43" t="b">
        <f t="shared" si="5"/>
        <v>0</v>
      </c>
      <c r="L323" s="21" t="str">
        <f>IFERROR(__xludf.DUMMYFUNCTION("if(regexmatch(B323,""e(.*)$""),regexextract(B323,""e(.*)$""),"""")"),"")</f>
        <v/>
      </c>
      <c r="M323" s="45"/>
      <c r="N323" s="45">
        <f>countif(Constants!F:F,F323)</f>
        <v>1</v>
      </c>
      <c r="O323" s="21" t="str">
        <f>VLOOKUP($A323,Constants!$D:$D,1,false)</f>
        <v>standard-state pressure</v>
      </c>
    </row>
    <row r="324">
      <c r="A324" s="6" t="s">
        <v>2041</v>
      </c>
      <c r="B324" s="6" t="s">
        <v>2709</v>
      </c>
      <c r="C324" s="6" t="s">
        <v>2261</v>
      </c>
      <c r="D324" s="6" t="s">
        <v>2042</v>
      </c>
      <c r="E324" s="42">
        <f>countif(Constants!F:F,F324)</f>
        <v>1</v>
      </c>
      <c r="F324" s="21" t="str">
        <f>VLOOKUP($A324,Constants!$D:$F,3,false)</f>
        <v>StefanBoltzmannConstant</v>
      </c>
      <c r="G324" s="43" t="str">
        <f t="shared" si="1"/>
        <v>5.670374419e-8</v>
      </c>
      <c r="H324" s="43">
        <f t="shared" si="2"/>
        <v>0.00000005670374419</v>
      </c>
      <c r="I324" s="43" t="str">
        <f t="shared" si="3"/>
        <v>(exact)</v>
      </c>
      <c r="J324" s="44" t="str">
        <f t="shared" si="4"/>
        <v/>
      </c>
      <c r="K324" s="43" t="b">
        <f t="shared" si="5"/>
        <v>0</v>
      </c>
      <c r="L324" s="21" t="str">
        <f>IFERROR(__xludf.DUMMYFUNCTION("if(regexmatch(B324,""e(.*)$""),regexextract(B324,""e(.*)$""),"""")"),"-8")</f>
        <v>-8</v>
      </c>
      <c r="M324" s="45"/>
      <c r="N324" s="45">
        <f>countif(Constants!F:F,F324)</f>
        <v>1</v>
      </c>
      <c r="O324" s="21" t="str">
        <f>VLOOKUP($A324,Constants!$D:$D,1,false)</f>
        <v>Stefan-Boltzmann constant</v>
      </c>
    </row>
    <row r="325">
      <c r="A325" s="6" t="s">
        <v>2047</v>
      </c>
      <c r="B325" s="6" t="s">
        <v>2710</v>
      </c>
      <c r="C325" s="6" t="s">
        <v>2711</v>
      </c>
      <c r="D325" s="6" t="s">
        <v>571</v>
      </c>
      <c r="E325" s="42">
        <f>countif(Constants!F:F,F325)</f>
        <v>1</v>
      </c>
      <c r="F325" s="21" t="str">
        <f>VLOOKUP($A325,Constants!$D:$F,3,false)</f>
        <v>TauComptonWavelength</v>
      </c>
      <c r="G325" s="43" t="str">
        <f t="shared" si="1"/>
        <v>6.97771e-16</v>
      </c>
      <c r="H325" s="43">
        <f t="shared" si="2"/>
        <v>0</v>
      </c>
      <c r="I325" s="43" t="str">
        <f t="shared" si="3"/>
        <v>0.00047e-16</v>
      </c>
      <c r="J325" s="44">
        <f t="shared" si="4"/>
        <v>0</v>
      </c>
      <c r="K325" s="43" t="b">
        <f t="shared" si="5"/>
        <v>0</v>
      </c>
      <c r="L325" s="21" t="str">
        <f>IFERROR(__xludf.DUMMYFUNCTION("if(regexmatch(B325,""e(.*)$""),regexextract(B325,""e(.*)$""),"""")"),"-16")</f>
        <v>-16</v>
      </c>
      <c r="M325" s="45"/>
      <c r="N325" s="45">
        <f>countif(Constants!F:F,F325)</f>
        <v>1</v>
      </c>
      <c r="O325" s="21" t="str">
        <f>VLOOKUP($A325,Constants!$D:$D,1,false)</f>
        <v>tau Compton wavelength</v>
      </c>
    </row>
    <row r="326">
      <c r="A326" s="6" t="s">
        <v>2057</v>
      </c>
      <c r="B326" s="46" t="s">
        <v>2712</v>
      </c>
      <c r="C326" s="46" t="s">
        <v>2713</v>
      </c>
      <c r="E326" s="42">
        <f>countif(Constants!F:F,F326)</f>
        <v>1</v>
      </c>
      <c r="F326" s="21" t="str">
        <f>VLOOKUP($A326,Constants!$D:$F,3,false)</f>
        <v>TauElectronMassRatio</v>
      </c>
      <c r="G326" s="43" t="str">
        <f t="shared" si="1"/>
        <v>3477.23</v>
      </c>
      <c r="H326" s="43">
        <f t="shared" si="2"/>
        <v>3477.23</v>
      </c>
      <c r="I326" s="43" t="str">
        <f t="shared" si="3"/>
        <v>0.23</v>
      </c>
      <c r="J326" s="44">
        <f t="shared" si="4"/>
        <v>0.23</v>
      </c>
      <c r="K326" s="43" t="b">
        <f t="shared" si="5"/>
        <v>0</v>
      </c>
      <c r="L326" s="21" t="str">
        <f>IFERROR(__xludf.DUMMYFUNCTION("if(regexmatch(B326,""e(.*)$""),regexextract(B326,""e(.*)$""),"""")"),"")</f>
        <v/>
      </c>
      <c r="M326" s="45"/>
      <c r="N326" s="45">
        <f>countif(Constants!F:F,F326)</f>
        <v>1</v>
      </c>
      <c r="O326" s="21" t="str">
        <f>VLOOKUP($A326,Constants!$D:$D,1,false)</f>
        <v>tau-electron mass ratio</v>
      </c>
    </row>
    <row r="327">
      <c r="A327" s="6" t="s">
        <v>2071</v>
      </c>
      <c r="B327" s="46" t="s">
        <v>2714</v>
      </c>
      <c r="C327" s="46" t="s">
        <v>2715</v>
      </c>
      <c r="D327" s="6" t="s">
        <v>548</v>
      </c>
      <c r="E327" s="42">
        <f>countif(Constants!F:F,F327)</f>
        <v>1</v>
      </c>
      <c r="F327" s="21" t="str">
        <f>VLOOKUP($A327,Constants!$D:$F,3,false)</f>
        <v>TauMassEnergyEquivalentInMeV</v>
      </c>
      <c r="G327" s="43" t="str">
        <f t="shared" si="1"/>
        <v>1776.86</v>
      </c>
      <c r="H327" s="43">
        <f t="shared" si="2"/>
        <v>1776.86</v>
      </c>
      <c r="I327" s="43" t="str">
        <f t="shared" si="3"/>
        <v>0.12</v>
      </c>
      <c r="J327" s="44">
        <f t="shared" si="4"/>
        <v>0.12</v>
      </c>
      <c r="K327" s="43" t="b">
        <f t="shared" si="5"/>
        <v>0</v>
      </c>
      <c r="L327" s="21" t="str">
        <f>IFERROR(__xludf.DUMMYFUNCTION("if(regexmatch(B327,""e(.*)$""),regexextract(B327,""e(.*)$""),"""")"),"")</f>
        <v/>
      </c>
      <c r="M327" s="45"/>
      <c r="N327" s="45">
        <f>countif(Constants!F:F,F327)</f>
        <v>1</v>
      </c>
      <c r="O327" s="21" t="str">
        <f>VLOOKUP($A327,Constants!$D:$D,1,false)</f>
        <v>tau energy equivalent</v>
      </c>
    </row>
    <row r="328">
      <c r="A328" s="6" t="s">
        <v>2062</v>
      </c>
      <c r="B328" s="6" t="s">
        <v>2716</v>
      </c>
      <c r="C328" s="6" t="s">
        <v>2717</v>
      </c>
      <c r="D328" s="6" t="s">
        <v>538</v>
      </c>
      <c r="E328" s="42">
        <f>countif(Constants!F:F,F328)</f>
        <v>1</v>
      </c>
      <c r="F328" s="21" t="str">
        <f>VLOOKUP($A328,Constants!$D:$F,3,false)</f>
        <v>TauMass</v>
      </c>
      <c r="G328" s="43" t="str">
        <f t="shared" si="1"/>
        <v>3.16754e-27</v>
      </c>
      <c r="H328" s="43">
        <f t="shared" si="2"/>
        <v>0</v>
      </c>
      <c r="I328" s="43" t="str">
        <f t="shared" si="3"/>
        <v>0.00021e-27</v>
      </c>
      <c r="J328" s="44">
        <f t="shared" si="4"/>
        <v>0</v>
      </c>
      <c r="K328" s="43" t="b">
        <f t="shared" si="5"/>
        <v>0</v>
      </c>
      <c r="L328" s="21" t="str">
        <f>IFERROR(__xludf.DUMMYFUNCTION("if(regexmatch(B328,""e(.*)$""),regexextract(B328,""e(.*)$""),"""")"),"-27")</f>
        <v>-27</v>
      </c>
      <c r="M328" s="45"/>
      <c r="N328" s="45">
        <f>countif(Constants!F:F,F328)</f>
        <v>1</v>
      </c>
      <c r="O328" s="21" t="str">
        <f>VLOOKUP($A328,Constants!$D:$D,1,false)</f>
        <v>tau mass</v>
      </c>
    </row>
    <row r="329">
      <c r="A329" s="6" t="s">
        <v>2066</v>
      </c>
      <c r="B329" s="6" t="s">
        <v>2718</v>
      </c>
      <c r="C329" s="6" t="s">
        <v>2719</v>
      </c>
      <c r="D329" s="6" t="s">
        <v>543</v>
      </c>
      <c r="E329" s="42">
        <f>countif(Constants!F:F,F329)</f>
        <v>1</v>
      </c>
      <c r="F329" s="21" t="str">
        <f>VLOOKUP($A329,Constants!$D:$F,3,false)</f>
        <v>TauMassEnergyEquivalent</v>
      </c>
      <c r="G329" s="43" t="str">
        <f t="shared" si="1"/>
        <v>2.84684e-10</v>
      </c>
      <c r="H329" s="43">
        <f t="shared" si="2"/>
        <v>0.000000000284684</v>
      </c>
      <c r="I329" s="43" t="str">
        <f t="shared" si="3"/>
        <v>0.00019e-10</v>
      </c>
      <c r="J329" s="44">
        <f t="shared" si="4"/>
        <v>0</v>
      </c>
      <c r="K329" s="43" t="b">
        <f t="shared" si="5"/>
        <v>0</v>
      </c>
      <c r="L329" s="21" t="str">
        <f>IFERROR(__xludf.DUMMYFUNCTION("if(regexmatch(B329,""e(.*)$""),regexextract(B329,""e(.*)$""),"""")"),"-10")</f>
        <v>-10</v>
      </c>
      <c r="M329" s="45"/>
      <c r="N329" s="45">
        <f>countif(Constants!F:F,F329)</f>
        <v>1</v>
      </c>
      <c r="O329" s="21" t="str">
        <f>VLOOKUP($A329,Constants!$D:$D,1,false)</f>
        <v>tau mass energy equivalent</v>
      </c>
    </row>
    <row r="330">
      <c r="A330" s="6" t="s">
        <v>2074</v>
      </c>
      <c r="B330" s="6" t="s">
        <v>2720</v>
      </c>
      <c r="C330" s="6" t="s">
        <v>2721</v>
      </c>
      <c r="D330" s="6" t="s">
        <v>553</v>
      </c>
      <c r="E330" s="42">
        <f>countif(Constants!F:F,F330)</f>
        <v>1</v>
      </c>
      <c r="F330" s="21" t="str">
        <f>VLOOKUP($A330,Constants!$D:$F,3,false)</f>
        <v>TauMassInAtomicMassUnit</v>
      </c>
      <c r="G330" s="43" t="str">
        <f t="shared" si="1"/>
        <v>1.90754</v>
      </c>
      <c r="H330" s="43">
        <f t="shared" si="2"/>
        <v>1.90754</v>
      </c>
      <c r="I330" s="43" t="str">
        <f t="shared" si="3"/>
        <v>0.00013</v>
      </c>
      <c r="J330" s="44">
        <f t="shared" si="4"/>
        <v>0.00013</v>
      </c>
      <c r="K330" s="43" t="b">
        <f t="shared" si="5"/>
        <v>0</v>
      </c>
      <c r="L330" s="21" t="str">
        <f>IFERROR(__xludf.DUMMYFUNCTION("if(regexmatch(B330,""e(.*)$""),regexextract(B330,""e(.*)$""),"""")"),"")</f>
        <v/>
      </c>
      <c r="M330" s="45"/>
      <c r="N330" s="45">
        <f>countif(Constants!F:F,F330)</f>
        <v>1</v>
      </c>
      <c r="O330" s="21" t="str">
        <f>VLOOKUP($A330,Constants!$D:$D,1,false)</f>
        <v>tau mass in u</v>
      </c>
    </row>
    <row r="331">
      <c r="A331" s="6" t="s">
        <v>2077</v>
      </c>
      <c r="B331" s="6" t="s">
        <v>2722</v>
      </c>
      <c r="C331" s="6" t="s">
        <v>2723</v>
      </c>
      <c r="D331" s="6" t="s">
        <v>557</v>
      </c>
      <c r="E331" s="42">
        <f>countif(Constants!F:F,F331)</f>
        <v>1</v>
      </c>
      <c r="F331" s="21" t="str">
        <f>VLOOKUP($A331,Constants!$D:$F,3,false)</f>
        <v>TauMolarMass</v>
      </c>
      <c r="G331" s="43" t="str">
        <f t="shared" si="1"/>
        <v>1.90754e-3</v>
      </c>
      <c r="H331" s="43">
        <f t="shared" si="2"/>
        <v>0.00190754</v>
      </c>
      <c r="I331" s="43" t="str">
        <f t="shared" si="3"/>
        <v>0.00013e-3</v>
      </c>
      <c r="J331" s="44">
        <f t="shared" si="4"/>
        <v>0.00000013</v>
      </c>
      <c r="K331" s="43" t="b">
        <f t="shared" si="5"/>
        <v>0</v>
      </c>
      <c r="L331" s="21" t="str">
        <f>IFERROR(__xludf.DUMMYFUNCTION("if(regexmatch(B331,""e(.*)$""),regexextract(B331,""e(.*)$""),"""")"),"-3")</f>
        <v>-3</v>
      </c>
      <c r="M331" s="45"/>
      <c r="N331" s="45">
        <f>countif(Constants!F:F,F331)</f>
        <v>1</v>
      </c>
      <c r="O331" s="21" t="str">
        <f>VLOOKUP($A331,Constants!$D:$D,1,false)</f>
        <v>tau molar mass</v>
      </c>
    </row>
    <row r="332">
      <c r="A332" s="6" t="s">
        <v>2081</v>
      </c>
      <c r="B332" s="46" t="s">
        <v>2724</v>
      </c>
      <c r="C332" s="46" t="s">
        <v>2725</v>
      </c>
      <c r="E332" s="42">
        <f>countif(Constants!F:F,F332)</f>
        <v>1</v>
      </c>
      <c r="F332" s="21" t="str">
        <f>VLOOKUP($A332,Constants!$D:$F,3,false)</f>
        <v>TauMuonMassRatio</v>
      </c>
      <c r="G332" s="43" t="str">
        <f t="shared" si="1"/>
        <v>16.8170</v>
      </c>
      <c r="H332" s="43">
        <f t="shared" si="2"/>
        <v>16.817</v>
      </c>
      <c r="I332" s="43" t="str">
        <f t="shared" si="3"/>
        <v>0.0011</v>
      </c>
      <c r="J332" s="44">
        <f t="shared" si="4"/>
        <v>0.0011</v>
      </c>
      <c r="K332" s="43" t="b">
        <f t="shared" si="5"/>
        <v>0</v>
      </c>
      <c r="L332" s="21" t="str">
        <f>IFERROR(__xludf.DUMMYFUNCTION("if(regexmatch(B332,""e(.*)$""),regexextract(B332,""e(.*)$""),"""")"),"")</f>
        <v/>
      </c>
      <c r="M332" s="45"/>
      <c r="N332" s="45">
        <f>countif(Constants!F:F,F332)</f>
        <v>1</v>
      </c>
      <c r="O332" s="21" t="str">
        <f>VLOOKUP($A332,Constants!$D:$D,1,false)</f>
        <v>tau-muon mass ratio</v>
      </c>
    </row>
    <row r="333">
      <c r="A333" s="6" t="s">
        <v>2086</v>
      </c>
      <c r="B333" s="6" t="s">
        <v>2726</v>
      </c>
      <c r="C333" s="6" t="s">
        <v>2721</v>
      </c>
      <c r="E333" s="42">
        <f>countif(Constants!F:F,F333)</f>
        <v>1</v>
      </c>
      <c r="F333" s="21" t="str">
        <f>VLOOKUP($A333,Constants!$D:$F,3,false)</f>
        <v>TauNeutronMassRatio</v>
      </c>
      <c r="G333" s="43" t="str">
        <f t="shared" si="1"/>
        <v>1.89115</v>
      </c>
      <c r="H333" s="43">
        <f t="shared" si="2"/>
        <v>1.89115</v>
      </c>
      <c r="I333" s="43" t="str">
        <f t="shared" si="3"/>
        <v>0.00013</v>
      </c>
      <c r="J333" s="44">
        <f t="shared" si="4"/>
        <v>0.00013</v>
      </c>
      <c r="K333" s="43" t="b">
        <f t="shared" si="5"/>
        <v>0</v>
      </c>
      <c r="L333" s="21" t="str">
        <f>IFERROR(__xludf.DUMMYFUNCTION("if(regexmatch(B333,""e(.*)$""),regexextract(B333,""e(.*)$""),"""")"),"")</f>
        <v/>
      </c>
      <c r="M333" s="45"/>
      <c r="N333" s="45">
        <f>countif(Constants!F:F,F333)</f>
        <v>1</v>
      </c>
      <c r="O333" s="21" t="str">
        <f>VLOOKUP($A333,Constants!$D:$D,1,false)</f>
        <v>tau-neutron mass ratio</v>
      </c>
    </row>
    <row r="334">
      <c r="A334" s="6" t="s">
        <v>2091</v>
      </c>
      <c r="B334" s="6" t="s">
        <v>2727</v>
      </c>
      <c r="C334" s="6" t="s">
        <v>2721</v>
      </c>
      <c r="E334" s="42">
        <f>countif(Constants!F:F,F334)</f>
        <v>1</v>
      </c>
      <c r="F334" s="21" t="str">
        <f>VLOOKUP($A334,Constants!$D:$F,3,false)</f>
        <v>TauProtonMassRatio</v>
      </c>
      <c r="G334" s="43" t="str">
        <f t="shared" si="1"/>
        <v>1.89376</v>
      </c>
      <c r="H334" s="43">
        <f t="shared" si="2"/>
        <v>1.89376</v>
      </c>
      <c r="I334" s="43" t="str">
        <f t="shared" si="3"/>
        <v>0.00013</v>
      </c>
      <c r="J334" s="44">
        <f t="shared" si="4"/>
        <v>0.00013</v>
      </c>
      <c r="K334" s="43" t="b">
        <f t="shared" si="5"/>
        <v>0</v>
      </c>
      <c r="L334" s="21" t="str">
        <f>IFERROR(__xludf.DUMMYFUNCTION("if(regexmatch(B334,""e(.*)$""),regexextract(B334,""e(.*)$""),"""")"),"")</f>
        <v/>
      </c>
      <c r="M334" s="45"/>
      <c r="N334" s="45">
        <f>countif(Constants!F:F,F334)</f>
        <v>1</v>
      </c>
      <c r="O334" s="21" t="str">
        <f>VLOOKUP($A334,Constants!$D:$D,1,false)</f>
        <v>tau-proton mass ratio</v>
      </c>
    </row>
    <row r="335">
      <c r="A335" s="6" t="s">
        <v>2096</v>
      </c>
      <c r="B335" s="6" t="s">
        <v>2728</v>
      </c>
      <c r="C335" s="6" t="s">
        <v>2729</v>
      </c>
      <c r="D335" s="6" t="s">
        <v>2097</v>
      </c>
      <c r="E335" s="42">
        <f>countif(Constants!F:F,F335)</f>
        <v>1</v>
      </c>
      <c r="F335" s="21" t="str">
        <f>VLOOKUP($A335,Constants!$D:$F,3,false)</f>
        <v>ThomsonCrossSection</v>
      </c>
      <c r="G335" s="43" t="str">
        <f t="shared" si="1"/>
        <v>6.6524587051e-29</v>
      </c>
      <c r="H335" s="43">
        <f t="shared" si="2"/>
        <v>0</v>
      </c>
      <c r="I335" s="43" t="str">
        <f t="shared" si="3"/>
        <v>0.0000000062e-29</v>
      </c>
      <c r="J335" s="44">
        <f t="shared" si="4"/>
        <v>0</v>
      </c>
      <c r="K335" s="43" t="b">
        <f t="shared" si="5"/>
        <v>0</v>
      </c>
      <c r="L335" s="21" t="str">
        <f>IFERROR(__xludf.DUMMYFUNCTION("if(regexmatch(B335,""e(.*)$""),regexextract(B335,""e(.*)$""),"""")"),"-29")</f>
        <v>-29</v>
      </c>
      <c r="M335" s="45"/>
      <c r="N335" s="45">
        <f>countif(Constants!F:F,F335)</f>
        <v>1</v>
      </c>
      <c r="O335" s="21" t="str">
        <f>VLOOKUP($A335,Constants!$D:$D,1,false)</f>
        <v>Thomson cross section</v>
      </c>
    </row>
    <row r="336">
      <c r="A336" s="6" t="s">
        <v>2108</v>
      </c>
      <c r="B336" s="6" t="s">
        <v>2730</v>
      </c>
      <c r="C336" s="6" t="s">
        <v>2731</v>
      </c>
      <c r="E336" s="42">
        <f>countif(Constants!F:F,F336)</f>
        <v>1</v>
      </c>
      <c r="F336" s="21" t="str">
        <f>VLOOKUP($A336,Constants!$D:$F,3,false)</f>
        <v>TritonElectronMassRatio</v>
      </c>
      <c r="G336" s="43" t="str">
        <f t="shared" si="1"/>
        <v>5496.92153551</v>
      </c>
      <c r="H336" s="43">
        <f t="shared" si="2"/>
        <v>5496.921536</v>
      </c>
      <c r="I336" s="43" t="str">
        <f t="shared" si="3"/>
        <v>0.00000021</v>
      </c>
      <c r="J336" s="44">
        <f t="shared" si="4"/>
        <v>0.00000021</v>
      </c>
      <c r="K336" s="43" t="b">
        <f t="shared" si="5"/>
        <v>0</v>
      </c>
      <c r="L336" s="21" t="str">
        <f>IFERROR(__xludf.DUMMYFUNCTION("if(regexmatch(B336,""e(.*)$""),regexextract(B336,""e(.*)$""),"""")"),"")</f>
        <v/>
      </c>
      <c r="M336" s="45"/>
      <c r="N336" s="45">
        <f>countif(Constants!F:F,F336)</f>
        <v>1</v>
      </c>
      <c r="O336" s="21" t="str">
        <f>VLOOKUP($A336,Constants!$D:$D,1,false)</f>
        <v>triton-electron mass ratio</v>
      </c>
    </row>
    <row r="337">
      <c r="A337" s="6" t="s">
        <v>2113</v>
      </c>
      <c r="B337" s="6" t="s">
        <v>2732</v>
      </c>
      <c r="C337" s="6" t="s">
        <v>2733</v>
      </c>
      <c r="E337" s="42">
        <f>countif(Constants!F:F,F337)</f>
        <v>1</v>
      </c>
      <c r="F337" s="21" t="str">
        <f>VLOOKUP($A337,Constants!$D:$F,3,false)</f>
        <v>TritonGFactor</v>
      </c>
      <c r="G337" s="43" t="str">
        <f t="shared" si="1"/>
        <v>5.957924930</v>
      </c>
      <c r="H337" s="43">
        <f t="shared" si="2"/>
        <v>5.95792493</v>
      </c>
      <c r="I337" s="43" t="str">
        <f t="shared" si="3"/>
        <v>0.000000012</v>
      </c>
      <c r="J337" s="44">
        <f t="shared" si="4"/>
        <v>0.000000012</v>
      </c>
      <c r="K337" s="43" t="b">
        <f t="shared" si="5"/>
        <v>0</v>
      </c>
      <c r="L337" s="21" t="str">
        <f>IFERROR(__xludf.DUMMYFUNCTION("if(regexmatch(B337,""e(.*)$""),regexextract(B337,""e(.*)$""),"""")"),"")</f>
        <v/>
      </c>
      <c r="M337" s="45"/>
      <c r="N337" s="45">
        <f>countif(Constants!F:F,F337)</f>
        <v>1</v>
      </c>
      <c r="O337" s="21" t="str">
        <f>VLOOKUP($A337,Constants!$D:$D,1,false)</f>
        <v>triton g factor</v>
      </c>
    </row>
    <row r="338">
      <c r="A338" s="6" t="s">
        <v>2117</v>
      </c>
      <c r="B338" s="6" t="s">
        <v>2734</v>
      </c>
      <c r="C338" s="6" t="s">
        <v>2735</v>
      </c>
      <c r="D338" s="6" t="s">
        <v>714</v>
      </c>
      <c r="E338" s="42">
        <f>countif(Constants!F:F,F338)</f>
        <v>1</v>
      </c>
      <c r="F338" s="21" t="str">
        <f>VLOOKUP($A338,Constants!$D:$F,3,false)</f>
        <v>TritonMagneticMoment</v>
      </c>
      <c r="G338" s="43" t="str">
        <f t="shared" si="1"/>
        <v>1.5046095178e-26</v>
      </c>
      <c r="H338" s="43">
        <f t="shared" si="2"/>
        <v>0</v>
      </c>
      <c r="I338" s="43" t="str">
        <f t="shared" si="3"/>
        <v>0.0000000030e-26</v>
      </c>
      <c r="J338" s="44">
        <f t="shared" si="4"/>
        <v>0</v>
      </c>
      <c r="K338" s="43" t="b">
        <f t="shared" si="5"/>
        <v>0</v>
      </c>
      <c r="L338" s="21" t="str">
        <f>IFERROR(__xludf.DUMMYFUNCTION("if(regexmatch(B338,""e(.*)$""),regexextract(B338,""e(.*)$""),"""")"),"-26")</f>
        <v>-26</v>
      </c>
      <c r="M338" s="45"/>
      <c r="N338" s="45">
        <f>countif(Constants!F:F,F338)</f>
        <v>1</v>
      </c>
      <c r="O338" s="21" t="str">
        <f>VLOOKUP($A338,Constants!$D:$D,1,false)</f>
        <v>triton mag. mom.</v>
      </c>
    </row>
    <row r="339">
      <c r="A339" s="6" t="s">
        <v>2122</v>
      </c>
      <c r="B339" s="6" t="s">
        <v>2736</v>
      </c>
      <c r="C339" s="6" t="s">
        <v>2737</v>
      </c>
      <c r="E339" s="42">
        <f>countif(Constants!F:F,F339)</f>
        <v>1</v>
      </c>
      <c r="F339" s="21" t="str">
        <f>VLOOKUP($A339,Constants!$D:$F,3,false)</f>
        <v>TritonMagneticMomentToBohrMagnetonRatio</v>
      </c>
      <c r="G339" s="43" t="str">
        <f t="shared" si="1"/>
        <v>1.6223936648e-3</v>
      </c>
      <c r="H339" s="43">
        <f t="shared" si="2"/>
        <v>0.001622393665</v>
      </c>
      <c r="I339" s="43" t="str">
        <f t="shared" si="3"/>
        <v>0.0000000032e-3</v>
      </c>
      <c r="J339" s="44">
        <f t="shared" si="4"/>
        <v>0</v>
      </c>
      <c r="K339" s="43" t="b">
        <f t="shared" si="5"/>
        <v>0</v>
      </c>
      <c r="L339" s="21" t="str">
        <f>IFERROR(__xludf.DUMMYFUNCTION("if(regexmatch(B339,""e(.*)$""),regexextract(B339,""e(.*)$""),"""")"),"-3")</f>
        <v>-3</v>
      </c>
      <c r="M339" s="45"/>
      <c r="N339" s="45">
        <f>countif(Constants!F:F,F339)</f>
        <v>1</v>
      </c>
      <c r="O339" s="21" t="str">
        <f>VLOOKUP($A339,Constants!$D:$D,1,false)</f>
        <v>triton mag. mom. to Bohr magneton ratio</v>
      </c>
    </row>
    <row r="340">
      <c r="A340" s="6" t="s">
        <v>2127</v>
      </c>
      <c r="B340" s="6" t="s">
        <v>2738</v>
      </c>
      <c r="C340" s="6" t="s">
        <v>2739</v>
      </c>
      <c r="E340" s="42">
        <f>countif(Constants!F:F,F340)</f>
        <v>1</v>
      </c>
      <c r="F340" s="21" t="str">
        <f>VLOOKUP($A340,Constants!$D:$F,3,false)</f>
        <v>TritonMagneticMomentToNuclearMagnetonRatio</v>
      </c>
      <c r="G340" s="43" t="str">
        <f t="shared" si="1"/>
        <v>2.9789624650</v>
      </c>
      <c r="H340" s="43">
        <f t="shared" si="2"/>
        <v>2.978962465</v>
      </c>
      <c r="I340" s="43" t="str">
        <f t="shared" si="3"/>
        <v>0.0000000059</v>
      </c>
      <c r="J340" s="44">
        <f t="shared" si="4"/>
        <v>0.0000000059</v>
      </c>
      <c r="K340" s="43" t="b">
        <f t="shared" si="5"/>
        <v>0</v>
      </c>
      <c r="L340" s="21" t="str">
        <f>IFERROR(__xludf.DUMMYFUNCTION("if(regexmatch(B340,""e(.*)$""),regexextract(B340,""e(.*)$""),"""")"),"")</f>
        <v/>
      </c>
      <c r="M340" s="45"/>
      <c r="N340" s="45">
        <f>countif(Constants!F:F,F340)</f>
        <v>1</v>
      </c>
      <c r="O340" s="21" t="str">
        <f>VLOOKUP($A340,Constants!$D:$D,1,false)</f>
        <v>triton mag. mom. to nuclear magneton ratio</v>
      </c>
    </row>
    <row r="341">
      <c r="A341" s="6" t="s">
        <v>2132</v>
      </c>
      <c r="B341" s="6" t="s">
        <v>2740</v>
      </c>
      <c r="C341" s="6" t="s">
        <v>2446</v>
      </c>
      <c r="D341" s="6" t="s">
        <v>538</v>
      </c>
      <c r="E341" s="42">
        <f>countif(Constants!F:F,F341)</f>
        <v>1</v>
      </c>
      <c r="F341" s="21" t="str">
        <f>VLOOKUP($A341,Constants!$D:$F,3,false)</f>
        <v>TritonMass</v>
      </c>
      <c r="G341" s="43" t="str">
        <f t="shared" si="1"/>
        <v>5.0073567512e-27</v>
      </c>
      <c r="H341" s="43">
        <f t="shared" si="2"/>
        <v>0</v>
      </c>
      <c r="I341" s="43" t="str">
        <f t="shared" si="3"/>
        <v>0.0000000016e-27</v>
      </c>
      <c r="J341" s="44">
        <f t="shared" si="4"/>
        <v>0</v>
      </c>
      <c r="K341" s="43" t="b">
        <f t="shared" si="5"/>
        <v>0</v>
      </c>
      <c r="L341" s="21" t="str">
        <f>IFERROR(__xludf.DUMMYFUNCTION("if(regexmatch(B341,""e(.*)$""),regexextract(B341,""e(.*)$""),"""")"),"-27")</f>
        <v>-27</v>
      </c>
      <c r="M341" s="45"/>
      <c r="N341" s="45">
        <f>countif(Constants!F:F,F341)</f>
        <v>1</v>
      </c>
      <c r="O341" s="21" t="str">
        <f>VLOOKUP($A341,Constants!$D:$D,1,false)</f>
        <v>triton mass</v>
      </c>
    </row>
    <row r="342">
      <c r="A342" s="6" t="s">
        <v>2136</v>
      </c>
      <c r="B342" s="6" t="s">
        <v>2741</v>
      </c>
      <c r="C342" s="6" t="s">
        <v>2448</v>
      </c>
      <c r="D342" s="6" t="s">
        <v>543</v>
      </c>
      <c r="E342" s="42">
        <f>countif(Constants!F:F,F342)</f>
        <v>1</v>
      </c>
      <c r="F342" s="21" t="str">
        <f>VLOOKUP($A342,Constants!$D:$F,3,false)</f>
        <v>TritonMassEnergyEquivalent</v>
      </c>
      <c r="G342" s="43" t="str">
        <f t="shared" si="1"/>
        <v>4.5003878119e-10</v>
      </c>
      <c r="H342" s="43">
        <f t="shared" si="2"/>
        <v>0.0000000004500387812</v>
      </c>
      <c r="I342" s="43" t="str">
        <f t="shared" si="3"/>
        <v>0.0000000014e-10</v>
      </c>
      <c r="J342" s="44">
        <f t="shared" si="4"/>
        <v>0</v>
      </c>
      <c r="K342" s="43" t="b">
        <f t="shared" si="5"/>
        <v>0</v>
      </c>
      <c r="L342" s="21" t="str">
        <f>IFERROR(__xludf.DUMMYFUNCTION("if(regexmatch(B342,""e(.*)$""),regexextract(B342,""e(.*)$""),"""")"),"-10")</f>
        <v>-10</v>
      </c>
      <c r="M342" s="45"/>
      <c r="N342" s="45">
        <f>countif(Constants!F:F,F342)</f>
        <v>1</v>
      </c>
      <c r="O342" s="21" t="str">
        <f>VLOOKUP($A342,Constants!$D:$D,1,false)</f>
        <v>triton mass energy equivalent</v>
      </c>
    </row>
    <row r="343">
      <c r="A343" s="6" t="s">
        <v>2140</v>
      </c>
      <c r="B343" s="6" t="s">
        <v>2742</v>
      </c>
      <c r="C343" s="6" t="s">
        <v>2450</v>
      </c>
      <c r="D343" s="6" t="s">
        <v>548</v>
      </c>
      <c r="E343" s="42">
        <f>countif(Constants!F:F,F343)</f>
        <v>1</v>
      </c>
      <c r="F343" s="21" t="str">
        <f>VLOOKUP($A343,Constants!$D:$F,3,false)</f>
        <v>TritonMassEnergyEquivalentInMeV</v>
      </c>
      <c r="G343" s="43" t="str">
        <f t="shared" si="1"/>
        <v>2808.92113668</v>
      </c>
      <c r="H343" s="43">
        <f t="shared" si="2"/>
        <v>2808.921137</v>
      </c>
      <c r="I343" s="43" t="str">
        <f t="shared" si="3"/>
        <v>0.00000088</v>
      </c>
      <c r="J343" s="44">
        <f t="shared" si="4"/>
        <v>0.00000088</v>
      </c>
      <c r="K343" s="43" t="b">
        <f t="shared" si="5"/>
        <v>0</v>
      </c>
      <c r="L343" s="21" t="str">
        <f>IFERROR(__xludf.DUMMYFUNCTION("if(regexmatch(B343,""e(.*)$""),regexextract(B343,""e(.*)$""),"""")"),"")</f>
        <v/>
      </c>
      <c r="M343" s="45"/>
      <c r="N343" s="45">
        <f>countif(Constants!F:F,F343)</f>
        <v>1</v>
      </c>
      <c r="O343" s="21" t="str">
        <f>VLOOKUP($A343,Constants!$D:$D,1,false)</f>
        <v>triton mass energy equivalent in MeV</v>
      </c>
    </row>
    <row r="344">
      <c r="A344" s="6" t="s">
        <v>2143</v>
      </c>
      <c r="B344" s="6" t="s">
        <v>2743</v>
      </c>
      <c r="C344" s="6" t="s">
        <v>2744</v>
      </c>
      <c r="D344" s="6" t="s">
        <v>553</v>
      </c>
      <c r="E344" s="42">
        <f>countif(Constants!F:F,F344)</f>
        <v>1</v>
      </c>
      <c r="F344" s="21" t="str">
        <f>VLOOKUP($A344,Constants!$D:$F,3,false)</f>
        <v>TritonMassInAtomicMassUnit</v>
      </c>
      <c r="G344" s="43" t="str">
        <f t="shared" si="1"/>
        <v>3.01550071597</v>
      </c>
      <c r="H344" s="43">
        <f t="shared" si="2"/>
        <v>3.015500716</v>
      </c>
      <c r="I344" s="43" t="str">
        <f t="shared" si="3"/>
        <v>0.00000000010</v>
      </c>
      <c r="J344" s="44">
        <f t="shared" si="4"/>
        <v>0.0000000001</v>
      </c>
      <c r="K344" s="43" t="b">
        <f t="shared" si="5"/>
        <v>0</v>
      </c>
      <c r="L344" s="21" t="str">
        <f>IFERROR(__xludf.DUMMYFUNCTION("if(regexmatch(B344,""e(.*)$""),regexextract(B344,""e(.*)$""),"""")"),"")</f>
        <v/>
      </c>
      <c r="M344" s="45"/>
      <c r="N344" s="45">
        <f>countif(Constants!F:F,F344)</f>
        <v>1</v>
      </c>
      <c r="O344" s="21" t="str">
        <f>VLOOKUP($A344,Constants!$D:$D,1,false)</f>
        <v>triton mass in u</v>
      </c>
    </row>
    <row r="345">
      <c r="A345" s="6" t="s">
        <v>2146</v>
      </c>
      <c r="B345" s="6" t="s">
        <v>2745</v>
      </c>
      <c r="C345" s="6" t="s">
        <v>2442</v>
      </c>
      <c r="D345" s="6" t="s">
        <v>557</v>
      </c>
      <c r="E345" s="42">
        <f>countif(Constants!F:F,F345)</f>
        <v>1</v>
      </c>
      <c r="F345" s="21" t="str">
        <f>VLOOKUP($A345,Constants!$D:$F,3,false)</f>
        <v>TritonMolarMass</v>
      </c>
      <c r="G345" s="43" t="str">
        <f t="shared" si="1"/>
        <v>3.01550071913e-3</v>
      </c>
      <c r="H345" s="43">
        <f t="shared" si="2"/>
        <v>0.003015500719</v>
      </c>
      <c r="I345" s="43" t="str">
        <f t="shared" si="3"/>
        <v>0.00000000094e-3</v>
      </c>
      <c r="J345" s="44">
        <f t="shared" si="4"/>
        <v>0</v>
      </c>
      <c r="K345" s="43" t="b">
        <f t="shared" si="5"/>
        <v>0</v>
      </c>
      <c r="L345" s="21" t="str">
        <f>IFERROR(__xludf.DUMMYFUNCTION("if(regexmatch(B345,""e(.*)$""),regexextract(B345,""e(.*)$""),"""")"),"-3")</f>
        <v>-3</v>
      </c>
      <c r="M345" s="45"/>
      <c r="N345" s="45">
        <f>countif(Constants!F:F,F345)</f>
        <v>1</v>
      </c>
      <c r="O345" s="21" t="str">
        <f>VLOOKUP($A345,Constants!$D:$D,1,false)</f>
        <v>triton molar mass</v>
      </c>
    </row>
    <row r="346">
      <c r="A346" s="6" t="s">
        <v>2155</v>
      </c>
      <c r="B346" s="6" t="s">
        <v>2746</v>
      </c>
      <c r="C346" s="6" t="s">
        <v>2744</v>
      </c>
      <c r="E346" s="42">
        <f>countif(Constants!F:F,F346)</f>
        <v>1</v>
      </c>
      <c r="F346" s="21" t="str">
        <f>VLOOKUP($A346,Constants!$D:$F,3,false)</f>
        <v>TritonProtonMassRatio</v>
      </c>
      <c r="G346" s="43" t="str">
        <f t="shared" si="1"/>
        <v>2.99371703403</v>
      </c>
      <c r="H346" s="43">
        <f t="shared" si="2"/>
        <v>2.993717034</v>
      </c>
      <c r="I346" s="43" t="str">
        <f t="shared" si="3"/>
        <v>0.00000000010</v>
      </c>
      <c r="J346" s="44">
        <f t="shared" si="4"/>
        <v>0.0000000001</v>
      </c>
      <c r="K346" s="43" t="b">
        <f t="shared" si="5"/>
        <v>0</v>
      </c>
      <c r="L346" s="21" t="str">
        <f>IFERROR(__xludf.DUMMYFUNCTION("if(regexmatch(B346,""e(.*)$""),regexextract(B346,""e(.*)$""),"""")"),"")</f>
        <v/>
      </c>
      <c r="M346" s="45"/>
      <c r="N346" s="45">
        <f>countif(Constants!F:F,F346)</f>
        <v>1</v>
      </c>
      <c r="O346" s="21" t="str">
        <f>VLOOKUP($A346,Constants!$D:$D,1,false)</f>
        <v>triton-proton mass ratio</v>
      </c>
    </row>
    <row r="347">
      <c r="A347" s="6" t="s">
        <v>2160</v>
      </c>
      <c r="B347" s="6" t="s">
        <v>2743</v>
      </c>
      <c r="C347" s="6" t="s">
        <v>2744</v>
      </c>
      <c r="E347" s="42">
        <f>countif(Constants!F:F,F347)</f>
        <v>1</v>
      </c>
      <c r="F347" s="21" t="str">
        <f>VLOOKUP($A347,Constants!$D:$F,3,false)</f>
        <v>TritonRelativeAtomicMass</v>
      </c>
      <c r="G347" s="43" t="str">
        <f t="shared" si="1"/>
        <v>3.01550071597</v>
      </c>
      <c r="H347" s="43">
        <f t="shared" si="2"/>
        <v>3.015500716</v>
      </c>
      <c r="I347" s="43" t="str">
        <f t="shared" si="3"/>
        <v>0.00000000010</v>
      </c>
      <c r="J347" s="44">
        <f t="shared" si="4"/>
        <v>0.0000000001</v>
      </c>
      <c r="K347" s="43" t="b">
        <f t="shared" si="5"/>
        <v>0</v>
      </c>
      <c r="L347" s="21" t="str">
        <f>IFERROR(__xludf.DUMMYFUNCTION("if(regexmatch(B347,""e(.*)$""),regexextract(B347,""e(.*)$""),"""")"),"")</f>
        <v/>
      </c>
      <c r="M347" s="45"/>
      <c r="N347" s="45">
        <f>countif(Constants!F:F,F347)</f>
        <v>1</v>
      </c>
      <c r="O347" s="21" t="str">
        <f>VLOOKUP($A347,Constants!$D:$D,1,false)</f>
        <v>triton relative atomic mass</v>
      </c>
    </row>
    <row r="348">
      <c r="A348" s="6" t="s">
        <v>2163</v>
      </c>
      <c r="B348" s="6" t="s">
        <v>2747</v>
      </c>
      <c r="C348" s="6" t="s">
        <v>2748</v>
      </c>
      <c r="E348" s="42">
        <f>countif(Constants!F:F,F348)</f>
        <v>1</v>
      </c>
      <c r="F348" s="21" t="str">
        <f>VLOOKUP($A348,Constants!$D:$F,3,false)</f>
        <v>TritonProtonMagneticMomentRatio</v>
      </c>
      <c r="G348" s="43" t="str">
        <f t="shared" si="1"/>
        <v>1.0666399189</v>
      </c>
      <c r="H348" s="43">
        <f t="shared" si="2"/>
        <v>1.066639919</v>
      </c>
      <c r="I348" s="43" t="str">
        <f t="shared" si="3"/>
        <v>0.0000000021</v>
      </c>
      <c r="J348" s="44">
        <f t="shared" si="4"/>
        <v>0.0000000021</v>
      </c>
      <c r="K348" s="43" t="b">
        <f t="shared" si="5"/>
        <v>0</v>
      </c>
      <c r="L348" s="21" t="str">
        <f>IFERROR(__xludf.DUMMYFUNCTION("if(regexmatch(B348,""e(.*)$""),regexextract(B348,""e(.*)$""),"""")"),"")</f>
        <v/>
      </c>
      <c r="M348" s="45"/>
      <c r="N348" s="45">
        <f>countif(Constants!F:F,F348)</f>
        <v>1</v>
      </c>
      <c r="O348" s="21" t="str">
        <f>VLOOKUP($A348,Constants!$D:$D,1,false)</f>
        <v>triton to proton mag. mom. ratio</v>
      </c>
    </row>
    <row r="349">
      <c r="A349" s="6" t="s">
        <v>2168</v>
      </c>
      <c r="B349" s="6" t="s">
        <v>2240</v>
      </c>
      <c r="C349" s="6" t="s">
        <v>2241</v>
      </c>
      <c r="D349" s="6" t="s">
        <v>538</v>
      </c>
      <c r="E349" s="42">
        <f>countif(Constants!F:F,F349)</f>
        <v>1</v>
      </c>
      <c r="F349" s="21" t="str">
        <f>VLOOKUP($A349,Constants!$D:$F,3,false)</f>
        <v>UnifiedAtomicMassUnit</v>
      </c>
      <c r="G349" s="43" t="str">
        <f t="shared" si="1"/>
        <v>1.66053906892e-27</v>
      </c>
      <c r="H349" s="43">
        <f t="shared" si="2"/>
        <v>0</v>
      </c>
      <c r="I349" s="43" t="str">
        <f t="shared" si="3"/>
        <v>0.00000000052e-27</v>
      </c>
      <c r="J349" s="44">
        <f t="shared" si="4"/>
        <v>0</v>
      </c>
      <c r="K349" s="43" t="b">
        <f t="shared" si="5"/>
        <v>0</v>
      </c>
      <c r="L349" s="21" t="str">
        <f>IFERROR(__xludf.DUMMYFUNCTION("if(regexmatch(B349,""e(.*)$""),regexextract(B349,""e(.*)$""),"""")"),"-27")</f>
        <v>-27</v>
      </c>
      <c r="M349" s="45"/>
      <c r="N349" s="45">
        <f>countif(Constants!F:F,F349)</f>
        <v>1</v>
      </c>
      <c r="O349" s="21" t="str">
        <f>VLOOKUP($A349,Constants!$D:$D,1,false)</f>
        <v>unified atomic mass unit</v>
      </c>
    </row>
    <row r="350">
      <c r="A350" s="6" t="s">
        <v>2172</v>
      </c>
      <c r="B350" s="6" t="s">
        <v>2749</v>
      </c>
      <c r="C350" s="6" t="s">
        <v>2750</v>
      </c>
      <c r="D350" s="6" t="s">
        <v>743</v>
      </c>
      <c r="E350" s="42">
        <f>countif(Constants!F:F,F350)</f>
        <v>1</v>
      </c>
      <c r="F350" s="21" t="str">
        <f>VLOOKUP($A350,Constants!$D:$F,3,false)</f>
        <v>PermittivityOfVacuum</v>
      </c>
      <c r="G350" s="43" t="str">
        <f t="shared" si="1"/>
        <v>8.8541878188e-12</v>
      </c>
      <c r="H350" s="43">
        <f t="shared" si="2"/>
        <v>0</v>
      </c>
      <c r="I350" s="43" t="str">
        <f t="shared" si="3"/>
        <v>0.0000000014e-12</v>
      </c>
      <c r="J350" s="44">
        <f t="shared" si="4"/>
        <v>0</v>
      </c>
      <c r="K350" s="43" t="b">
        <f t="shared" si="5"/>
        <v>0</v>
      </c>
      <c r="L350" s="21" t="str">
        <f>IFERROR(__xludf.DUMMYFUNCTION("if(regexmatch(B350,""e(.*)$""),regexextract(B350,""e(.*)$""),"""")"),"-12")</f>
        <v>-12</v>
      </c>
      <c r="M350" s="45"/>
      <c r="N350" s="45">
        <f>countif(Constants!F:F,F350)</f>
        <v>1</v>
      </c>
      <c r="O350" s="21" t="str">
        <f>VLOOKUP($A350,Constants!$D:$D,1,false)</f>
        <v>vacuum electric permittivity</v>
      </c>
    </row>
    <row r="351">
      <c r="A351" s="6" t="s">
        <v>2181</v>
      </c>
      <c r="B351" s="6" t="s">
        <v>2751</v>
      </c>
      <c r="C351" s="6" t="s">
        <v>2752</v>
      </c>
      <c r="D351" s="6" t="s">
        <v>2182</v>
      </c>
      <c r="E351" s="42">
        <f>countif(Constants!F:F,F351)</f>
        <v>1</v>
      </c>
      <c r="F351" s="21" t="str">
        <f>VLOOKUP($A351,Constants!$D:$F,3,false)</f>
        <v>ElectromagneticPermeabilityOfVacuum</v>
      </c>
      <c r="G351" s="43" t="str">
        <f t="shared" si="1"/>
        <v>1.25663706127e-6</v>
      </c>
      <c r="H351" s="43">
        <f t="shared" si="2"/>
        <v>0.000001256637061</v>
      </c>
      <c r="I351" s="43" t="str">
        <f t="shared" si="3"/>
        <v>0.00000000020e-6</v>
      </c>
      <c r="J351" s="44">
        <f t="shared" si="4"/>
        <v>0</v>
      </c>
      <c r="K351" s="43" t="b">
        <f t="shared" si="5"/>
        <v>0</v>
      </c>
      <c r="L351" s="21" t="str">
        <f>IFERROR(__xludf.DUMMYFUNCTION("if(regexmatch(B351,""e(.*)$""),regexextract(B351,""e(.*)$""),"""")"),"-6")</f>
        <v>-6</v>
      </c>
      <c r="M351" s="45"/>
      <c r="N351" s="45">
        <f>countif(Constants!F:F,F351)</f>
        <v>1</v>
      </c>
      <c r="O351" s="21" t="str">
        <f>VLOOKUP($A351,Constants!$D:$D,1,false)</f>
        <v>vacuum mag. permeability</v>
      </c>
    </row>
    <row r="352">
      <c r="A352" s="6" t="s">
        <v>2192</v>
      </c>
      <c r="B352" s="6" t="s">
        <v>2753</v>
      </c>
      <c r="C352" s="6" t="s">
        <v>2261</v>
      </c>
      <c r="D352" s="6" t="s">
        <v>814</v>
      </c>
      <c r="E352" s="42">
        <f>countif(Constants!F:F,F352)</f>
        <v>1</v>
      </c>
      <c r="F352" s="21" t="str">
        <f>VLOOKUP($A352,Constants!$D:$F,3,false)</f>
        <v>VonKlitzingConstant</v>
      </c>
      <c r="G352" s="43" t="str">
        <f t="shared" si="1"/>
        <v>25812.80745</v>
      </c>
      <c r="H352" s="43">
        <f t="shared" si="2"/>
        <v>25812.80745</v>
      </c>
      <c r="I352" s="43" t="str">
        <f t="shared" si="3"/>
        <v>(exact)</v>
      </c>
      <c r="J352" s="44" t="str">
        <f t="shared" si="4"/>
        <v/>
      </c>
      <c r="K352" s="43" t="b">
        <f t="shared" si="5"/>
        <v>0</v>
      </c>
      <c r="L352" s="21" t="str">
        <f>IFERROR(__xludf.DUMMYFUNCTION("if(regexmatch(B352,""e(.*)$""),regexextract(B352,""e(.*)$""),"""")"),"")</f>
        <v/>
      </c>
      <c r="M352" s="45"/>
      <c r="N352" s="45">
        <f>countif(Constants!F:F,F352)</f>
        <v>1</v>
      </c>
      <c r="O352" s="21" t="str">
        <f>VLOOKUP($A352,Constants!$D:$D,1,false)</f>
        <v>von Klitzing constant</v>
      </c>
    </row>
    <row r="353">
      <c r="A353" s="6" t="s">
        <v>2197</v>
      </c>
      <c r="B353" s="6" t="s">
        <v>2754</v>
      </c>
      <c r="C353" s="6" t="s">
        <v>2392</v>
      </c>
      <c r="E353" s="42">
        <f>countif(Constants!F:F,F353)</f>
        <v>1</v>
      </c>
      <c r="F353" s="21" t="str">
        <f>VLOOKUP($A353,Constants!$D:$F,3,false)</f>
        <v>WeakMixingAngle</v>
      </c>
      <c r="G353" s="43" t="str">
        <f t="shared" si="1"/>
        <v>0.22305</v>
      </c>
      <c r="H353" s="43">
        <f t="shared" si="2"/>
        <v>0.22305</v>
      </c>
      <c r="I353" s="43" t="str">
        <f t="shared" si="3"/>
        <v>0.00023</v>
      </c>
      <c r="J353" s="44">
        <f t="shared" si="4"/>
        <v>0.00023</v>
      </c>
      <c r="K353" s="43" t="b">
        <f t="shared" si="5"/>
        <v>0</v>
      </c>
      <c r="L353" s="21" t="str">
        <f>IFERROR(__xludf.DUMMYFUNCTION("if(regexmatch(B353,""e(.*)$""),regexextract(B353,""e(.*)$""),"""")"),"")</f>
        <v/>
      </c>
      <c r="M353" s="45"/>
      <c r="N353" s="45">
        <f>countif(Constants!F:F,F353)</f>
        <v>1</v>
      </c>
      <c r="O353" s="21" t="str">
        <f>VLOOKUP($A353,Constants!$D:$D,1,false)</f>
        <v>weak mixing angle</v>
      </c>
    </row>
    <row r="354">
      <c r="A354" s="6" t="s">
        <v>2200</v>
      </c>
      <c r="B354" s="6" t="s">
        <v>2755</v>
      </c>
      <c r="C354" s="6" t="s">
        <v>2261</v>
      </c>
      <c r="D354" s="6" t="s">
        <v>804</v>
      </c>
      <c r="E354" s="42">
        <f>countif(Constants!F:F,F354)</f>
        <v>1</v>
      </c>
      <c r="F354" s="21" t="str">
        <f>VLOOKUP($A354,Constants!$D:$F,3,false)</f>
        <v>WienFrequencyDisplacementLawConstant</v>
      </c>
      <c r="G354" s="43" t="str">
        <f t="shared" si="1"/>
        <v>5.878925757e10</v>
      </c>
      <c r="H354" s="43">
        <f t="shared" si="2"/>
        <v>58789257570</v>
      </c>
      <c r="I354" s="43" t="str">
        <f t="shared" si="3"/>
        <v>(exact)</v>
      </c>
      <c r="J354" s="44" t="str">
        <f t="shared" si="4"/>
        <v/>
      </c>
      <c r="K354" s="43" t="b">
        <f t="shared" si="5"/>
        <v>0</v>
      </c>
      <c r="L354" s="21" t="str">
        <f>IFERROR(__xludf.DUMMYFUNCTION("if(regexmatch(B354,""e(.*)$""),regexextract(B354,""e(.*)$""),"""")"),"10")</f>
        <v>10</v>
      </c>
      <c r="M354" s="45"/>
      <c r="N354" s="45">
        <f>countif(Constants!F:F,F354)</f>
        <v>1</v>
      </c>
      <c r="O354" s="21" t="str">
        <f>VLOOKUP($A354,Constants!$D:$D,1,false)</f>
        <v>Wien frequency displacement law constant</v>
      </c>
    </row>
    <row r="355">
      <c r="A355" s="6" t="s">
        <v>2204</v>
      </c>
      <c r="B355" s="6" t="s">
        <v>2756</v>
      </c>
      <c r="C355" s="6" t="s">
        <v>2261</v>
      </c>
      <c r="D355" s="6" t="s">
        <v>1955</v>
      </c>
      <c r="E355" s="42">
        <f>countif(Constants!F:F,F355)</f>
        <v>1</v>
      </c>
      <c r="F355" s="21" t="str">
        <f>VLOOKUP($A355,Constants!$D:$F,3,false)</f>
        <v>WienWavelengthDisplacementLawConstant</v>
      </c>
      <c r="G355" s="43" t="str">
        <f t="shared" si="1"/>
        <v>2.897771955e-3</v>
      </c>
      <c r="H355" s="43">
        <f t="shared" si="2"/>
        <v>0.002897771955</v>
      </c>
      <c r="I355" s="43" t="str">
        <f t="shared" si="3"/>
        <v>(exact)</v>
      </c>
      <c r="J355" s="44" t="str">
        <f t="shared" si="4"/>
        <v/>
      </c>
      <c r="K355" s="43" t="b">
        <f t="shared" si="5"/>
        <v>0</v>
      </c>
      <c r="L355" s="21" t="str">
        <f>IFERROR(__xludf.DUMMYFUNCTION("if(regexmatch(B355,""e(.*)$""),regexextract(B355,""e(.*)$""),"""")"),"-3")</f>
        <v>-3</v>
      </c>
      <c r="M355" s="45"/>
      <c r="N355" s="45">
        <f>countif(Constants!F:F,F355)</f>
        <v>1</v>
      </c>
      <c r="O355" s="21" t="str">
        <f>VLOOKUP($A355,Constants!$D:$D,1,false)</f>
        <v>Wien wavelength displacement law constant</v>
      </c>
    </row>
    <row r="356">
      <c r="A356" s="6" t="s">
        <v>2208</v>
      </c>
      <c r="B356" s="6" t="s">
        <v>2757</v>
      </c>
      <c r="C356" s="6" t="s">
        <v>2721</v>
      </c>
      <c r="E356" s="42">
        <f>countif(Constants!F:F,F356)</f>
        <v>1</v>
      </c>
      <c r="F356" s="21" t="str">
        <f>VLOOKUP($A356,Constants!$D:$F,3,false)</f>
        <v>WToZMassRatio</v>
      </c>
      <c r="G356" s="43" t="str">
        <f t="shared" si="1"/>
        <v>0.88145</v>
      </c>
      <c r="H356" s="43">
        <f t="shared" si="2"/>
        <v>0.88145</v>
      </c>
      <c r="I356" s="43" t="str">
        <f t="shared" si="3"/>
        <v>0.00013</v>
      </c>
      <c r="J356" s="44">
        <f t="shared" si="4"/>
        <v>0.00013</v>
      </c>
      <c r="K356" s="43" t="b">
        <f t="shared" si="5"/>
        <v>0</v>
      </c>
      <c r="L356" s="21" t="str">
        <f>IFERROR(__xludf.DUMMYFUNCTION("if(regexmatch(B356,""e(.*)$""),regexextract(B356,""e(.*)$""),"""")"),"")</f>
        <v/>
      </c>
      <c r="M356" s="45"/>
      <c r="N356" s="45">
        <f>countif(Constants!F:F,F356)</f>
        <v>1</v>
      </c>
      <c r="O356" s="21" t="str">
        <f>VLOOKUP($A356,Constants!$D:$D,1,false)</f>
        <v>W to Z mass ratio</v>
      </c>
    </row>
  </sheetData>
  <conditionalFormatting sqref="E2:E356">
    <cfRule type="cellIs" dxfId="0" priority="1" operator="notEqual">
      <formula>1</formula>
    </cfRule>
  </conditionalFormatting>
  <conditionalFormatting sqref="M1:N356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1.88"/>
    <col customWidth="1" min="11" max="11" width="8.0"/>
    <col customWidth="1" min="12" max="12" width="8.38"/>
    <col customWidth="1" min="13" max="14" width="8.88"/>
    <col customWidth="1" min="15" max="15" width="43.38"/>
  </cols>
  <sheetData>
    <row r="1">
      <c r="A1" s="10" t="s">
        <v>249</v>
      </c>
      <c r="B1" s="10" t="s">
        <v>2210</v>
      </c>
      <c r="C1" s="10" t="s">
        <v>2211</v>
      </c>
      <c r="D1" s="10" t="s">
        <v>2212</v>
      </c>
      <c r="E1" s="38" t="s">
        <v>2213</v>
      </c>
      <c r="F1" s="20" t="s">
        <v>0</v>
      </c>
      <c r="G1" s="39" t="s">
        <v>2214</v>
      </c>
      <c r="H1" s="39" t="s">
        <v>2215</v>
      </c>
      <c r="I1" s="39" t="s">
        <v>2216</v>
      </c>
      <c r="J1" s="40" t="s">
        <v>2217</v>
      </c>
      <c r="K1" s="39" t="s">
        <v>2218</v>
      </c>
      <c r="L1" s="39" t="s">
        <v>2219</v>
      </c>
      <c r="M1" s="41"/>
      <c r="N1" s="41" t="s">
        <v>2220</v>
      </c>
      <c r="O1" s="39" t="s">
        <v>2221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6" t="s">
        <v>531</v>
      </c>
      <c r="B2" s="6" t="s">
        <v>2758</v>
      </c>
      <c r="C2" s="6" t="s">
        <v>2759</v>
      </c>
      <c r="E2" s="42">
        <f>countif(Constants!F:F,F2)</f>
        <v>1</v>
      </c>
      <c r="F2" s="21" t="str">
        <f>VLOOKUP($A2,Constants!$D:$F,3,false)</f>
        <v>AlphaParticleElectronMassRatio</v>
      </c>
      <c r="G2" s="43" t="str">
        <f t="shared" ref="G2:G355" si="1">SUBSTITUTE(SUBSTITUTE(B2," ",""),"...","")</f>
        <v>7294.29954142</v>
      </c>
      <c r="H2" s="43">
        <f t="shared" ref="H2:H355" si="2">value(G2)</f>
        <v>7294.299541</v>
      </c>
      <c r="I2" s="43" t="str">
        <f t="shared" ref="I2:I355" si="3">SUBSTITUTE(C2," ","")</f>
        <v>0.00000024</v>
      </c>
      <c r="J2" s="44">
        <f t="shared" ref="J2:J355" si="4">if(I2="(exact)","",value(I2))</f>
        <v>0.00000024</v>
      </c>
      <c r="K2" s="43" t="b">
        <f t="shared" ref="K2:K355" si="5">ISNUMBER(search("...",B2))</f>
        <v>0</v>
      </c>
      <c r="L2" s="21" t="str">
        <f>IFERROR(__xludf.DUMMYFUNCTION("if(regexmatch(B2,""e(.*)$""),regexextract(B2,""e(.*)$""),"""")"),"")</f>
        <v/>
      </c>
      <c r="M2" s="45"/>
      <c r="N2" s="45">
        <f>countif(Constants!F:F,F2)</f>
        <v>1</v>
      </c>
      <c r="O2" s="21" t="str">
        <f>VLOOKUP($A2,Constants!$D:$D,1,false)</f>
        <v>alpha particle-electron mass ratio</v>
      </c>
    </row>
    <row r="3">
      <c r="A3" s="6" t="s">
        <v>537</v>
      </c>
      <c r="B3" s="6" t="s">
        <v>2760</v>
      </c>
      <c r="C3" s="6" t="s">
        <v>2761</v>
      </c>
      <c r="D3" s="6" t="s">
        <v>538</v>
      </c>
      <c r="E3" s="42">
        <f>countif(Constants!F:F,F3)</f>
        <v>1</v>
      </c>
      <c r="F3" s="21" t="str">
        <f>VLOOKUP($A3,Constants!$D:$F,3,false)</f>
        <v>AlphaParticleMass</v>
      </c>
      <c r="G3" s="43" t="str">
        <f t="shared" si="1"/>
        <v>6.6446573357e-27</v>
      </c>
      <c r="H3" s="43">
        <f t="shared" si="2"/>
        <v>0</v>
      </c>
      <c r="I3" s="43" t="str">
        <f t="shared" si="3"/>
        <v>0.0000000020e-27</v>
      </c>
      <c r="J3" s="44">
        <f t="shared" si="4"/>
        <v>0</v>
      </c>
      <c r="K3" s="43" t="b">
        <f t="shared" si="5"/>
        <v>0</v>
      </c>
      <c r="L3" s="21" t="str">
        <f>IFERROR(__xludf.DUMMYFUNCTION("if(regexmatch(B3,""e(.*)$""),regexextract(B3,""e(.*)$""),"""")"),"-27")</f>
        <v>-27</v>
      </c>
      <c r="M3" s="45"/>
      <c r="N3" s="45">
        <f>countif(Constants!F:F,F3)</f>
        <v>1</v>
      </c>
      <c r="O3" s="21" t="str">
        <f>VLOOKUP($A3,Constants!$D:$D,1,false)</f>
        <v>alpha particle mass</v>
      </c>
    </row>
    <row r="4">
      <c r="A4" s="6" t="s">
        <v>542</v>
      </c>
      <c r="B4" s="6" t="s">
        <v>2762</v>
      </c>
      <c r="C4" s="6" t="s">
        <v>2763</v>
      </c>
      <c r="D4" s="6" t="s">
        <v>543</v>
      </c>
      <c r="E4" s="42">
        <f>countif(Constants!F:F,F4)</f>
        <v>1</v>
      </c>
      <c r="F4" s="21" t="str">
        <f>VLOOKUP($A4,Constants!$D:$F,3,false)</f>
        <v>AlphaParticleMassEnergyEquivalent</v>
      </c>
      <c r="G4" s="43" t="str">
        <f t="shared" si="1"/>
        <v>5.9719201914e-10</v>
      </c>
      <c r="H4" s="43">
        <f t="shared" si="2"/>
        <v>0.0000000005971920191</v>
      </c>
      <c r="I4" s="43" t="str">
        <f t="shared" si="3"/>
        <v>0.0000000018e-10</v>
      </c>
      <c r="J4" s="44">
        <f t="shared" si="4"/>
        <v>0</v>
      </c>
      <c r="K4" s="43" t="b">
        <f t="shared" si="5"/>
        <v>0</v>
      </c>
      <c r="L4" s="21" t="str">
        <f>IFERROR(__xludf.DUMMYFUNCTION("if(regexmatch(B4,""e(.*)$""),regexextract(B4,""e(.*)$""),"""")"),"-10")</f>
        <v>-10</v>
      </c>
      <c r="M4" s="45"/>
      <c r="N4" s="45">
        <f>countif(Constants!F:F,F4)</f>
        <v>1</v>
      </c>
      <c r="O4" s="21" t="str">
        <f>VLOOKUP($A4,Constants!$D:$D,1,false)</f>
        <v>alpha particle mass energy equivalent</v>
      </c>
    </row>
    <row r="5">
      <c r="A5" s="6" t="s">
        <v>547</v>
      </c>
      <c r="B5" s="6" t="s">
        <v>2764</v>
      </c>
      <c r="C5" s="6" t="s">
        <v>2765</v>
      </c>
      <c r="D5" s="6" t="s">
        <v>548</v>
      </c>
      <c r="E5" s="42">
        <f>countif(Constants!F:F,F5)</f>
        <v>1</v>
      </c>
      <c r="F5" s="21" t="str">
        <f>VLOOKUP($A5,Constants!$D:$F,3,false)</f>
        <v>AlphaParticleMassEnergyEquivalentInMeV</v>
      </c>
      <c r="G5" s="43" t="str">
        <f t="shared" si="1"/>
        <v>3727.3794066</v>
      </c>
      <c r="H5" s="43">
        <f t="shared" si="2"/>
        <v>3727.379407</v>
      </c>
      <c r="I5" s="43" t="str">
        <f t="shared" si="3"/>
        <v>0.0000011</v>
      </c>
      <c r="J5" s="44">
        <f t="shared" si="4"/>
        <v>0.0000011</v>
      </c>
      <c r="K5" s="43" t="b">
        <f t="shared" si="5"/>
        <v>0</v>
      </c>
      <c r="L5" s="21" t="str">
        <f>IFERROR(__xludf.DUMMYFUNCTION("if(regexmatch(B5,""e(.*)$""),regexextract(B5,""e(.*)$""),"""")"),"")</f>
        <v/>
      </c>
      <c r="M5" s="45"/>
      <c r="N5" s="45">
        <f>countif(Constants!F:F,F5)</f>
        <v>1</v>
      </c>
      <c r="O5" s="21" t="str">
        <f>VLOOKUP($A5,Constants!$D:$D,1,false)</f>
        <v>alpha particle mass energy equivalent in MeV</v>
      </c>
    </row>
    <row r="6">
      <c r="A6" s="6" t="s">
        <v>552</v>
      </c>
      <c r="B6" s="6" t="s">
        <v>2766</v>
      </c>
      <c r="C6" s="6" t="s">
        <v>2767</v>
      </c>
      <c r="D6" s="6" t="s">
        <v>553</v>
      </c>
      <c r="E6" s="42">
        <f>countif(Constants!F:F,F6)</f>
        <v>1</v>
      </c>
      <c r="F6" s="21" t="str">
        <f>VLOOKUP($A6,Constants!$D:$F,3,false)</f>
        <v>AlphaParticleMassInAtomicMassUnit</v>
      </c>
      <c r="G6" s="43" t="str">
        <f t="shared" si="1"/>
        <v>4.001506179127</v>
      </c>
      <c r="H6" s="43">
        <f t="shared" si="2"/>
        <v>4.001506179</v>
      </c>
      <c r="I6" s="43" t="str">
        <f t="shared" si="3"/>
        <v>0.000000000063</v>
      </c>
      <c r="J6" s="44">
        <f t="shared" si="4"/>
        <v>0</v>
      </c>
      <c r="K6" s="43" t="b">
        <f t="shared" si="5"/>
        <v>0</v>
      </c>
      <c r="L6" s="21" t="str">
        <f>IFERROR(__xludf.DUMMYFUNCTION("if(regexmatch(B6,""e(.*)$""),regexextract(B6,""e(.*)$""),"""")"),"")</f>
        <v/>
      </c>
      <c r="M6" s="45"/>
      <c r="N6" s="45">
        <f>countif(Constants!F:F,F6)</f>
        <v>1</v>
      </c>
      <c r="O6" s="21" t="str">
        <f>VLOOKUP($A6,Constants!$D:$D,1,false)</f>
        <v>alpha particle mass in u</v>
      </c>
    </row>
    <row r="7">
      <c r="A7" s="6" t="s">
        <v>556</v>
      </c>
      <c r="B7" s="6" t="s">
        <v>2768</v>
      </c>
      <c r="C7" s="6" t="s">
        <v>2233</v>
      </c>
      <c r="D7" s="6" t="s">
        <v>557</v>
      </c>
      <c r="E7" s="42">
        <f>countif(Constants!F:F,F7)</f>
        <v>1</v>
      </c>
      <c r="F7" s="21" t="str">
        <f>VLOOKUP($A7,Constants!$D:$F,3,false)</f>
        <v>AlphaParticleMolarMass</v>
      </c>
      <c r="G7" s="43" t="str">
        <f t="shared" si="1"/>
        <v>4.0015061777e-3</v>
      </c>
      <c r="H7" s="43">
        <f t="shared" si="2"/>
        <v>0.004001506178</v>
      </c>
      <c r="I7" s="43" t="str">
        <f t="shared" si="3"/>
        <v>0.0000000012e-3</v>
      </c>
      <c r="J7" s="44">
        <f t="shared" si="4"/>
        <v>0</v>
      </c>
      <c r="K7" s="43" t="b">
        <f t="shared" si="5"/>
        <v>0</v>
      </c>
      <c r="L7" s="21" t="str">
        <f>IFERROR(__xludf.DUMMYFUNCTION("if(regexmatch(B7,""e(.*)$""),regexextract(B7,""e(.*)$""),"""")"),"-3")</f>
        <v>-3</v>
      </c>
      <c r="M7" s="45"/>
      <c r="N7" s="45">
        <f>countif(Constants!F:F,F7)</f>
        <v>1</v>
      </c>
      <c r="O7" s="21" t="str">
        <f>VLOOKUP($A7,Constants!$D:$D,1,false)</f>
        <v>alpha particle molar mass</v>
      </c>
    </row>
    <row r="8">
      <c r="A8" s="6" t="s">
        <v>562</v>
      </c>
      <c r="B8" s="6" t="s">
        <v>2769</v>
      </c>
      <c r="C8" s="6" t="s">
        <v>2770</v>
      </c>
      <c r="E8" s="42">
        <f>countif(Constants!F:F,F8)</f>
        <v>1</v>
      </c>
      <c r="F8" s="21" t="str">
        <f>VLOOKUP($A8,Constants!$D:$F,3,false)</f>
        <v>AlphaParticleProtonMassRatio</v>
      </c>
      <c r="G8" s="43" t="str">
        <f t="shared" si="1"/>
        <v>3.97259969009</v>
      </c>
      <c r="H8" s="43">
        <f t="shared" si="2"/>
        <v>3.97259969</v>
      </c>
      <c r="I8" s="43" t="str">
        <f t="shared" si="3"/>
        <v>0.00000000022</v>
      </c>
      <c r="J8" s="44">
        <f t="shared" si="4"/>
        <v>0.00000000022</v>
      </c>
      <c r="K8" s="43" t="b">
        <f t="shared" si="5"/>
        <v>0</v>
      </c>
      <c r="L8" s="21" t="str">
        <f>IFERROR(__xludf.DUMMYFUNCTION("if(regexmatch(B8,""e(.*)$""),regexextract(B8,""e(.*)$""),"""")"),"")</f>
        <v/>
      </c>
      <c r="M8" s="45"/>
      <c r="N8" s="45">
        <f>countif(Constants!F:F,F8)</f>
        <v>1</v>
      </c>
      <c r="O8" s="21" t="str">
        <f>VLOOKUP($A8,Constants!$D:$D,1,false)</f>
        <v>alpha particle-proton mass ratio</v>
      </c>
    </row>
    <row r="9">
      <c r="A9" s="6" t="s">
        <v>567</v>
      </c>
      <c r="B9" s="6" t="s">
        <v>2766</v>
      </c>
      <c r="C9" s="6" t="s">
        <v>2767</v>
      </c>
      <c r="E9" s="42">
        <f>countif(Constants!F:F,F9)</f>
        <v>1</v>
      </c>
      <c r="F9" s="21" t="str">
        <f>VLOOKUP($A9,Constants!$D:$F,3,false)</f>
        <v>AlphaParticleRelativeAtomicMass</v>
      </c>
      <c r="G9" s="43" t="str">
        <f t="shared" si="1"/>
        <v>4.001506179127</v>
      </c>
      <c r="H9" s="43">
        <f t="shared" si="2"/>
        <v>4.001506179</v>
      </c>
      <c r="I9" s="43" t="str">
        <f t="shared" si="3"/>
        <v>0.000000000063</v>
      </c>
      <c r="J9" s="44">
        <f t="shared" si="4"/>
        <v>0</v>
      </c>
      <c r="K9" s="43" t="b">
        <f t="shared" si="5"/>
        <v>0</v>
      </c>
      <c r="L9" s="21" t="str">
        <f>IFERROR(__xludf.DUMMYFUNCTION("if(regexmatch(B9,""e(.*)$""),regexextract(B9,""e(.*)$""),"""")"),"")</f>
        <v/>
      </c>
      <c r="M9" s="45"/>
      <c r="N9" s="45">
        <f>countif(Constants!F:F,F9)</f>
        <v>1</v>
      </c>
      <c r="O9" s="21" t="str">
        <f>VLOOKUP($A9,Constants!$D:$D,1,false)</f>
        <v>alpha particle relative atomic mass</v>
      </c>
    </row>
    <row r="10">
      <c r="A10" s="6" t="s">
        <v>573</v>
      </c>
      <c r="B10" s="6" t="s">
        <v>2771</v>
      </c>
      <c r="C10" s="6" t="s">
        <v>2239</v>
      </c>
      <c r="D10" s="6" t="s">
        <v>571</v>
      </c>
      <c r="E10" s="42">
        <f>countif(Constants!F:F,F10)</f>
        <v>1</v>
      </c>
      <c r="F10" s="21" t="str">
        <f>VLOOKUP($A10,Constants!$D:$F,3,false)</f>
        <v>AngstromStar</v>
      </c>
      <c r="G10" s="43" t="str">
        <f t="shared" si="1"/>
        <v>1.00001495e-10</v>
      </c>
      <c r="H10" s="43">
        <f t="shared" si="2"/>
        <v>0.000000000100001495</v>
      </c>
      <c r="I10" s="43" t="str">
        <f t="shared" si="3"/>
        <v>0.00000090e-10</v>
      </c>
      <c r="J10" s="44">
        <f t="shared" si="4"/>
        <v>0</v>
      </c>
      <c r="K10" s="43" t="b">
        <f t="shared" si="5"/>
        <v>0</v>
      </c>
      <c r="L10" s="21" t="str">
        <f>IFERROR(__xludf.DUMMYFUNCTION("if(regexmatch(B10,""e(.*)$""),regexextract(B10,""e(.*)$""),"""")"),"-10")</f>
        <v>-10</v>
      </c>
      <c r="M10" s="45"/>
      <c r="N10" s="45">
        <f>countif(Constants!F:F,F10)</f>
        <v>1</v>
      </c>
      <c r="O10" s="21" t="str">
        <f>VLOOKUP($A10,Constants!$D:$D,1,false)</f>
        <v>Angstrom star</v>
      </c>
    </row>
    <row r="11">
      <c r="A11" s="6" t="s">
        <v>575</v>
      </c>
      <c r="B11" s="6" t="s">
        <v>2772</v>
      </c>
      <c r="C11" s="6" t="s">
        <v>2773</v>
      </c>
      <c r="D11" s="6" t="s">
        <v>538</v>
      </c>
      <c r="E11" s="42">
        <f>countif(Constants!F:F,F11)</f>
        <v>1</v>
      </c>
      <c r="F11" s="21" t="str">
        <f>VLOOKUP($A11,Constants!$D:$F,3,false)</f>
        <v>AtomicMassConstant</v>
      </c>
      <c r="G11" s="43" t="str">
        <f t="shared" si="1"/>
        <v>1.66053906660e-27</v>
      </c>
      <c r="H11" s="43">
        <f t="shared" si="2"/>
        <v>0</v>
      </c>
      <c r="I11" s="43" t="str">
        <f t="shared" si="3"/>
        <v>0.00000000050e-27</v>
      </c>
      <c r="J11" s="44">
        <f t="shared" si="4"/>
        <v>0</v>
      </c>
      <c r="K11" s="43" t="b">
        <f t="shared" si="5"/>
        <v>0</v>
      </c>
      <c r="L11" s="21" t="str">
        <f>IFERROR(__xludf.DUMMYFUNCTION("if(regexmatch(B11,""e(.*)$""),regexextract(B11,""e(.*)$""),"""")"),"-27")</f>
        <v>-27</v>
      </c>
      <c r="M11" s="45"/>
      <c r="N11" s="45">
        <f>countif(Constants!F:F,F11)</f>
        <v>1</v>
      </c>
      <c r="O11" s="21" t="str">
        <f>VLOOKUP($A11,Constants!$D:$D,1,false)</f>
        <v>atomic mass constant</v>
      </c>
    </row>
    <row r="12">
      <c r="A12" s="6" t="s">
        <v>579</v>
      </c>
      <c r="B12" s="6" t="s">
        <v>2774</v>
      </c>
      <c r="C12" s="6" t="s">
        <v>2775</v>
      </c>
      <c r="D12" s="6" t="s">
        <v>543</v>
      </c>
      <c r="E12" s="42">
        <f>countif(Constants!F:F,F12)</f>
        <v>1</v>
      </c>
      <c r="F12" s="21" t="str">
        <f>VLOOKUP($A12,Constants!$D:$F,3,false)</f>
        <v>AtomicMassConstantEnergyEquivalent</v>
      </c>
      <c r="G12" s="43" t="str">
        <f t="shared" si="1"/>
        <v>1.49241808560e-10</v>
      </c>
      <c r="H12" s="43">
        <f t="shared" si="2"/>
        <v>0.0000000001492418086</v>
      </c>
      <c r="I12" s="43" t="str">
        <f t="shared" si="3"/>
        <v>0.00000000045e-10</v>
      </c>
      <c r="J12" s="44">
        <f t="shared" si="4"/>
        <v>0</v>
      </c>
      <c r="K12" s="43" t="b">
        <f t="shared" si="5"/>
        <v>0</v>
      </c>
      <c r="L12" s="21" t="str">
        <f>IFERROR(__xludf.DUMMYFUNCTION("if(regexmatch(B12,""e(.*)$""),regexextract(B12,""e(.*)$""),"""")"),"-10")</f>
        <v>-10</v>
      </c>
      <c r="M12" s="45"/>
      <c r="N12" s="45">
        <f>countif(Constants!F:F,F12)</f>
        <v>1</v>
      </c>
      <c r="O12" s="21" t="str">
        <f>VLOOKUP($A12,Constants!$D:$D,1,false)</f>
        <v>atomic mass constant energy equivalent</v>
      </c>
    </row>
    <row r="13">
      <c r="A13" s="6" t="s">
        <v>583</v>
      </c>
      <c r="B13" s="6" t="s">
        <v>2776</v>
      </c>
      <c r="C13" s="6" t="s">
        <v>2777</v>
      </c>
      <c r="D13" s="6" t="s">
        <v>548</v>
      </c>
      <c r="E13" s="42">
        <f>countif(Constants!F:F,F13)</f>
        <v>1</v>
      </c>
      <c r="F13" s="21" t="str">
        <f>VLOOKUP($A13,Constants!$D:$F,3,false)</f>
        <v>AtomicMassConstantEnergyEquivalentInMeV</v>
      </c>
      <c r="G13" s="43" t="str">
        <f t="shared" si="1"/>
        <v>931.49410242</v>
      </c>
      <c r="H13" s="43">
        <f t="shared" si="2"/>
        <v>931.4941024</v>
      </c>
      <c r="I13" s="43" t="str">
        <f t="shared" si="3"/>
        <v>0.00000028</v>
      </c>
      <c r="J13" s="44">
        <f t="shared" si="4"/>
        <v>0.00000028</v>
      </c>
      <c r="K13" s="43" t="b">
        <f t="shared" si="5"/>
        <v>0</v>
      </c>
      <c r="L13" s="21" t="str">
        <f>IFERROR(__xludf.DUMMYFUNCTION("if(regexmatch(B13,""e(.*)$""),regexextract(B13,""e(.*)$""),"""")"),"")</f>
        <v/>
      </c>
      <c r="M13" s="45"/>
      <c r="N13" s="45">
        <f>countif(Constants!F:F,F13)</f>
        <v>1</v>
      </c>
      <c r="O13" s="21" t="str">
        <f>VLOOKUP($A13,Constants!$D:$D,1,false)</f>
        <v>atomic mass constant energy equivalent in MeV</v>
      </c>
    </row>
    <row r="14">
      <c r="A14" s="6" t="s">
        <v>587</v>
      </c>
      <c r="B14" s="6" t="s">
        <v>2778</v>
      </c>
      <c r="C14" s="6" t="s">
        <v>2779</v>
      </c>
      <c r="D14" s="6" t="s">
        <v>175</v>
      </c>
      <c r="E14" s="42">
        <f>countif(Constants!F:F,F14)</f>
        <v>1</v>
      </c>
      <c r="F14" s="21" t="str">
        <f>VLOOKUP($A14,Constants!$D:$F,3,false)</f>
        <v>AtomicMassUnitElectronVoltRelationship</v>
      </c>
      <c r="G14" s="43" t="str">
        <f t="shared" si="1"/>
        <v>9.3149410242e8</v>
      </c>
      <c r="H14" s="43">
        <f t="shared" si="2"/>
        <v>931494102.4</v>
      </c>
      <c r="I14" s="43" t="str">
        <f t="shared" si="3"/>
        <v>0.0000000028e8</v>
      </c>
      <c r="J14" s="44">
        <f t="shared" si="4"/>
        <v>0.28</v>
      </c>
      <c r="K14" s="43" t="b">
        <f t="shared" si="5"/>
        <v>0</v>
      </c>
      <c r="L14" s="21" t="str">
        <f>IFERROR(__xludf.DUMMYFUNCTION("if(regexmatch(B14,""e(.*)$""),regexextract(B14,""e(.*)$""),"""")"),"8")</f>
        <v>8</v>
      </c>
      <c r="M14" s="45"/>
      <c r="N14" s="45">
        <f>countif(Constants!F:F,F14)</f>
        <v>1</v>
      </c>
      <c r="O14" s="21" t="str">
        <f>VLOOKUP($A14,Constants!$D:$D,1,false)</f>
        <v>atomic mass unit-electron volt relationship</v>
      </c>
    </row>
    <row r="15">
      <c r="A15" s="6" t="s">
        <v>592</v>
      </c>
      <c r="B15" s="6" t="s">
        <v>2780</v>
      </c>
      <c r="C15" s="6" t="s">
        <v>2781</v>
      </c>
      <c r="D15" s="6" t="s">
        <v>593</v>
      </c>
      <c r="E15" s="42">
        <f>countif(Constants!F:F,F15)</f>
        <v>1</v>
      </c>
      <c r="F15" s="21" t="str">
        <f>VLOOKUP($A15,Constants!$D:$F,3,false)</f>
        <v>AtomicMassUnitHartreeRelationship</v>
      </c>
      <c r="G15" s="43" t="str">
        <f t="shared" si="1"/>
        <v>3.4231776874e7</v>
      </c>
      <c r="H15" s="43">
        <f t="shared" si="2"/>
        <v>34231776.87</v>
      </c>
      <c r="I15" s="43" t="str">
        <f t="shared" si="3"/>
        <v>0.0000000010e7</v>
      </c>
      <c r="J15" s="44">
        <f t="shared" si="4"/>
        <v>0.01</v>
      </c>
      <c r="K15" s="43" t="b">
        <f t="shared" si="5"/>
        <v>0</v>
      </c>
      <c r="L15" s="21" t="str">
        <f>IFERROR(__xludf.DUMMYFUNCTION("if(regexmatch(B15,""e(.*)$""),regexextract(B15,""e(.*)$""),"""")"),"7")</f>
        <v>7</v>
      </c>
      <c r="M15" s="45"/>
      <c r="N15" s="45">
        <f>countif(Constants!F:F,F15)</f>
        <v>1</v>
      </c>
      <c r="O15" s="21" t="str">
        <f>VLOOKUP($A15,Constants!$D:$D,1,false)</f>
        <v>atomic mass unit-hartree relationship</v>
      </c>
    </row>
    <row r="16">
      <c r="A16" s="6" t="s">
        <v>599</v>
      </c>
      <c r="B16" s="6" t="s">
        <v>2782</v>
      </c>
      <c r="C16" s="6" t="s">
        <v>2783</v>
      </c>
      <c r="D16" s="6" t="s">
        <v>600</v>
      </c>
      <c r="E16" s="42">
        <f>countif(Constants!F:F,F16)</f>
        <v>1</v>
      </c>
      <c r="F16" s="21" t="str">
        <f>VLOOKUP($A16,Constants!$D:$F,3,false)</f>
        <v>AtomicMassUnitHertzRelationship</v>
      </c>
      <c r="G16" s="43" t="str">
        <f t="shared" si="1"/>
        <v>2.25234271871e23</v>
      </c>
      <c r="H16" s="43">
        <f t="shared" si="2"/>
        <v>2.25234E+23</v>
      </c>
      <c r="I16" s="43" t="str">
        <f t="shared" si="3"/>
        <v>0.00000000068e23</v>
      </c>
      <c r="J16" s="44">
        <f t="shared" si="4"/>
        <v>68000000000000</v>
      </c>
      <c r="K16" s="43" t="b">
        <f t="shared" si="5"/>
        <v>0</v>
      </c>
      <c r="L16" s="21" t="str">
        <f>IFERROR(__xludf.DUMMYFUNCTION("if(regexmatch(B16,""e(.*)$""),regexextract(B16,""e(.*)$""),"""")"),"23")</f>
        <v>23</v>
      </c>
      <c r="M16" s="45"/>
      <c r="N16" s="45">
        <f>countif(Constants!F:F,F16)</f>
        <v>1</v>
      </c>
      <c r="O16" s="21" t="str">
        <f>VLOOKUP($A16,Constants!$D:$D,1,false)</f>
        <v>atomic mass unit-hertz relationship</v>
      </c>
    </row>
    <row r="17">
      <c r="A17" s="6" t="s">
        <v>605</v>
      </c>
      <c r="B17" s="6" t="s">
        <v>2784</v>
      </c>
      <c r="C17" s="6" t="s">
        <v>2253</v>
      </c>
      <c r="D17" s="6" t="s">
        <v>606</v>
      </c>
      <c r="E17" s="42">
        <f>countif(Constants!F:F,F17)</f>
        <v>1</v>
      </c>
      <c r="F17" s="21" t="str">
        <f>VLOOKUP($A17,Constants!$D:$F,3,false)</f>
        <v>AtomicMassUnitInverseMeterRelationship</v>
      </c>
      <c r="G17" s="43" t="str">
        <f t="shared" si="1"/>
        <v>7.5130066104e14</v>
      </c>
      <c r="H17" s="43">
        <f t="shared" si="2"/>
        <v>751300661040000</v>
      </c>
      <c r="I17" s="43" t="str">
        <f t="shared" si="3"/>
        <v>0.0000000023e14</v>
      </c>
      <c r="J17" s="44">
        <f t="shared" si="4"/>
        <v>230000</v>
      </c>
      <c r="K17" s="43" t="b">
        <f t="shared" si="5"/>
        <v>0</v>
      </c>
      <c r="L17" s="21" t="str">
        <f>IFERROR(__xludf.DUMMYFUNCTION("if(regexmatch(B17,""e(.*)$""),regexextract(B17,""e(.*)$""),"""")"),"14")</f>
        <v>14</v>
      </c>
      <c r="M17" s="45"/>
      <c r="N17" s="45">
        <f>countif(Constants!F:F,F17)</f>
        <v>1</v>
      </c>
      <c r="O17" s="21" t="str">
        <f>VLOOKUP($A17,Constants!$D:$D,1,false)</f>
        <v>atomic mass unit-inverse meter relationship</v>
      </c>
    </row>
    <row r="18">
      <c r="A18" s="6" t="s">
        <v>612</v>
      </c>
      <c r="B18" s="6" t="s">
        <v>2774</v>
      </c>
      <c r="C18" s="6" t="s">
        <v>2775</v>
      </c>
      <c r="D18" s="6" t="s">
        <v>543</v>
      </c>
      <c r="E18" s="42">
        <f>countif(Constants!F:F,F18)</f>
        <v>1</v>
      </c>
      <c r="F18" s="21" t="str">
        <f>VLOOKUP($A18,Constants!$D:$F,3,false)</f>
        <v>AtomicMassUnitJouleRelationship</v>
      </c>
      <c r="G18" s="43" t="str">
        <f t="shared" si="1"/>
        <v>1.49241808560e-10</v>
      </c>
      <c r="H18" s="43">
        <f t="shared" si="2"/>
        <v>0.0000000001492418086</v>
      </c>
      <c r="I18" s="43" t="str">
        <f t="shared" si="3"/>
        <v>0.00000000045e-10</v>
      </c>
      <c r="J18" s="44">
        <f t="shared" si="4"/>
        <v>0</v>
      </c>
      <c r="K18" s="43" t="b">
        <f t="shared" si="5"/>
        <v>0</v>
      </c>
      <c r="L18" s="21" t="str">
        <f>IFERROR(__xludf.DUMMYFUNCTION("if(regexmatch(B18,""e(.*)$""),regexextract(B18,""e(.*)$""),"""")"),"-10")</f>
        <v>-10</v>
      </c>
      <c r="M18" s="45"/>
      <c r="N18" s="45">
        <f>countif(Constants!F:F,F18)</f>
        <v>1</v>
      </c>
      <c r="O18" s="21" t="str">
        <f>VLOOKUP($A18,Constants!$D:$D,1,false)</f>
        <v>atomic mass unit-joule relationship</v>
      </c>
    </row>
    <row r="19">
      <c r="A19" s="6" t="s">
        <v>617</v>
      </c>
      <c r="B19" s="6" t="s">
        <v>2785</v>
      </c>
      <c r="C19" s="6" t="s">
        <v>2786</v>
      </c>
      <c r="D19" s="6" t="s">
        <v>618</v>
      </c>
      <c r="E19" s="42">
        <f>countif(Constants!F:F,F19)</f>
        <v>1</v>
      </c>
      <c r="F19" s="21" t="str">
        <f>VLOOKUP($A19,Constants!$D:$F,3,false)</f>
        <v>AtomicMassUnitKelvinRelationship</v>
      </c>
      <c r="G19" s="43" t="str">
        <f t="shared" si="1"/>
        <v>1.08095401916e13</v>
      </c>
      <c r="H19" s="43">
        <f t="shared" si="2"/>
        <v>10809540191600</v>
      </c>
      <c r="I19" s="43" t="str">
        <f t="shared" si="3"/>
        <v>0.00000000033e13</v>
      </c>
      <c r="J19" s="44">
        <f t="shared" si="4"/>
        <v>3300</v>
      </c>
      <c r="K19" s="43" t="b">
        <f t="shared" si="5"/>
        <v>0</v>
      </c>
      <c r="L19" s="21" t="str">
        <f>IFERROR(__xludf.DUMMYFUNCTION("if(regexmatch(B19,""e(.*)$""),regexextract(B19,""e(.*)$""),"""")"),"13")</f>
        <v>13</v>
      </c>
      <c r="M19" s="45"/>
      <c r="N19" s="45">
        <f>countif(Constants!F:F,F19)</f>
        <v>1</v>
      </c>
      <c r="O19" s="21" t="str">
        <f>VLOOKUP($A19,Constants!$D:$D,1,false)</f>
        <v>atomic mass unit-kelvin relationship</v>
      </c>
    </row>
    <row r="20">
      <c r="A20" s="6" t="s">
        <v>623</v>
      </c>
      <c r="B20" s="6" t="s">
        <v>2772</v>
      </c>
      <c r="C20" s="6" t="s">
        <v>2773</v>
      </c>
      <c r="D20" s="6" t="s">
        <v>538</v>
      </c>
      <c r="E20" s="42">
        <f>countif(Constants!F:F,F20)</f>
        <v>1</v>
      </c>
      <c r="F20" s="21" t="str">
        <f>VLOOKUP($A20,Constants!$D:$F,3,false)</f>
        <v>AtomicMassUnitKilogramRelationship</v>
      </c>
      <c r="G20" s="43" t="str">
        <f t="shared" si="1"/>
        <v>1.66053906660e-27</v>
      </c>
      <c r="H20" s="43">
        <f t="shared" si="2"/>
        <v>0</v>
      </c>
      <c r="I20" s="43" t="str">
        <f t="shared" si="3"/>
        <v>0.00000000050e-27</v>
      </c>
      <c r="J20" s="44">
        <f t="shared" si="4"/>
        <v>0</v>
      </c>
      <c r="K20" s="43" t="b">
        <f t="shared" si="5"/>
        <v>0</v>
      </c>
      <c r="L20" s="21" t="str">
        <f>IFERROR(__xludf.DUMMYFUNCTION("if(regexmatch(B20,""e(.*)$""),regexextract(B20,""e(.*)$""),"""")"),"-27")</f>
        <v>-27</v>
      </c>
      <c r="M20" s="45"/>
      <c r="N20" s="45">
        <f>countif(Constants!F:F,F20)</f>
        <v>1</v>
      </c>
      <c r="O20" s="21" t="str">
        <f>VLOOKUP($A20,Constants!$D:$D,1,false)</f>
        <v>atomic mass unit-kilogram relationship</v>
      </c>
    </row>
    <row r="21">
      <c r="A21" s="6" t="s">
        <v>628</v>
      </c>
      <c r="B21" s="6" t="s">
        <v>2787</v>
      </c>
      <c r="C21" s="6" t="s">
        <v>2257</v>
      </c>
      <c r="D21" s="6" t="s">
        <v>629</v>
      </c>
      <c r="E21" s="42">
        <f>countif(Constants!F:F,F21)</f>
        <v>1</v>
      </c>
      <c r="F21" s="21" t="str">
        <f>VLOOKUP($A21,Constants!$D:$F,3,false)</f>
        <v>AtomicUnitOf1stHyperpolarizablity</v>
      </c>
      <c r="G21" s="43" t="str">
        <f t="shared" si="1"/>
        <v>3.2063613061e-53</v>
      </c>
      <c r="H21" s="43">
        <f t="shared" si="2"/>
        <v>0</v>
      </c>
      <c r="I21" s="43" t="str">
        <f t="shared" si="3"/>
        <v>0.0000000015e-53</v>
      </c>
      <c r="J21" s="44">
        <f t="shared" si="4"/>
        <v>0</v>
      </c>
      <c r="K21" s="43" t="b">
        <f t="shared" si="5"/>
        <v>0</v>
      </c>
      <c r="L21" s="21" t="str">
        <f>IFERROR(__xludf.DUMMYFUNCTION("if(regexmatch(B21,""e(.*)$""),regexextract(B21,""e(.*)$""),"""")"),"-53")</f>
        <v>-53</v>
      </c>
      <c r="M21" s="45"/>
      <c r="N21" s="45">
        <f>countif(Constants!F:F,F21)</f>
        <v>1</v>
      </c>
      <c r="O21" s="21" t="str">
        <f>VLOOKUP($A21,Constants!$D:$D,1,false)</f>
        <v>atomic unit of 1st hyperpolarizability</v>
      </c>
    </row>
    <row r="22">
      <c r="A22" s="6" t="s">
        <v>635</v>
      </c>
      <c r="B22" s="6" t="s">
        <v>2788</v>
      </c>
      <c r="C22" s="6" t="s">
        <v>2789</v>
      </c>
      <c r="D22" s="6" t="s">
        <v>636</v>
      </c>
      <c r="E22" s="42">
        <f>countif(Constants!F:F,F22)</f>
        <v>1</v>
      </c>
      <c r="F22" s="21" t="str">
        <f>VLOOKUP($A22,Constants!$D:$F,3,false)</f>
        <v>AtomicUnitOf2ndHyperpolarizablity</v>
      </c>
      <c r="G22" s="43" t="str">
        <f t="shared" si="1"/>
        <v>6.2353799905e-65</v>
      </c>
      <c r="H22" s="43">
        <f t="shared" si="2"/>
        <v>0</v>
      </c>
      <c r="I22" s="43" t="str">
        <f t="shared" si="3"/>
        <v>0.0000000038e-65</v>
      </c>
      <c r="J22" s="44">
        <f t="shared" si="4"/>
        <v>0</v>
      </c>
      <c r="K22" s="43" t="b">
        <f t="shared" si="5"/>
        <v>0</v>
      </c>
      <c r="L22" s="21" t="str">
        <f>IFERROR(__xludf.DUMMYFUNCTION("if(regexmatch(B22,""e(.*)$""),regexextract(B22,""e(.*)$""),"""")"),"-65")</f>
        <v>-65</v>
      </c>
      <c r="M22" s="45"/>
      <c r="N22" s="45">
        <f>countif(Constants!F:F,F22)</f>
        <v>1</v>
      </c>
      <c r="O22" s="21" t="str">
        <f>VLOOKUP($A22,Constants!$D:$D,1,false)</f>
        <v>atomic unit of 2nd hyperpolarizability</v>
      </c>
    </row>
    <row r="23">
      <c r="A23" s="6" t="s">
        <v>642</v>
      </c>
      <c r="B23" s="6" t="s">
        <v>2790</v>
      </c>
      <c r="C23" s="6" t="s">
        <v>2261</v>
      </c>
      <c r="D23" s="6" t="s">
        <v>643</v>
      </c>
      <c r="E23" s="42">
        <f>countif(Constants!F:F,F23)</f>
        <v>1</v>
      </c>
      <c r="F23" s="21" t="str">
        <f>VLOOKUP($A23,Constants!$D:$F,3,false)</f>
        <v>AtomicUnitOfAction</v>
      </c>
      <c r="G23" s="43" t="str">
        <f t="shared" si="1"/>
        <v>1.054571817e-34</v>
      </c>
      <c r="H23" s="43">
        <f t="shared" si="2"/>
        <v>0</v>
      </c>
      <c r="I23" s="43" t="str">
        <f t="shared" si="3"/>
        <v>(exact)</v>
      </c>
      <c r="J23" s="44" t="str">
        <f t="shared" si="4"/>
        <v/>
      </c>
      <c r="K23" s="43" t="b">
        <f t="shared" si="5"/>
        <v>1</v>
      </c>
      <c r="L23" s="21" t="str">
        <f>IFERROR(__xludf.DUMMYFUNCTION("if(regexmatch(B23,""e(.*)$""),regexextract(B23,""e(.*)$""),"""")"),"-34")</f>
        <v>-34</v>
      </c>
      <c r="M23" s="45"/>
      <c r="N23" s="45">
        <f>countif(Constants!F:F,F23)</f>
        <v>1</v>
      </c>
      <c r="O23" s="21" t="str">
        <f>VLOOKUP($A23,Constants!$D:$D,1,false)</f>
        <v>atomic unit of action</v>
      </c>
    </row>
    <row r="24">
      <c r="A24" s="6" t="s">
        <v>648</v>
      </c>
      <c r="B24" s="6" t="s">
        <v>2791</v>
      </c>
      <c r="C24" s="6" t="s">
        <v>2261</v>
      </c>
      <c r="D24" s="6" t="s">
        <v>649</v>
      </c>
      <c r="E24" s="42">
        <f>countif(Constants!F:F,F24)</f>
        <v>1</v>
      </c>
      <c r="F24" s="21" t="str">
        <f>VLOOKUP($A24,Constants!$D:$F,3,false)</f>
        <v>AtomicUnitOfCharge</v>
      </c>
      <c r="G24" s="43" t="str">
        <f t="shared" si="1"/>
        <v>1.602176634e-19</v>
      </c>
      <c r="H24" s="43">
        <f t="shared" si="2"/>
        <v>0</v>
      </c>
      <c r="I24" s="43" t="str">
        <f t="shared" si="3"/>
        <v>(exact)</v>
      </c>
      <c r="J24" s="44" t="str">
        <f t="shared" si="4"/>
        <v/>
      </c>
      <c r="K24" s="43" t="b">
        <f t="shared" si="5"/>
        <v>0</v>
      </c>
      <c r="L24" s="21" t="str">
        <f>IFERROR(__xludf.DUMMYFUNCTION("if(regexmatch(B24,""e(.*)$""),regexextract(B24,""e(.*)$""),"""")"),"-19")</f>
        <v>-19</v>
      </c>
      <c r="M24" s="45"/>
      <c r="N24" s="45">
        <f>countif(Constants!F:F,F24)</f>
        <v>1</v>
      </c>
      <c r="O24" s="21" t="str">
        <f>VLOOKUP($A24,Constants!$D:$D,1,false)</f>
        <v>atomic unit of charge</v>
      </c>
    </row>
    <row r="25">
      <c r="A25" s="6" t="s">
        <v>654</v>
      </c>
      <c r="B25" s="6" t="s">
        <v>2792</v>
      </c>
      <c r="C25" s="6" t="s">
        <v>2793</v>
      </c>
      <c r="D25" s="6" t="s">
        <v>655</v>
      </c>
      <c r="E25" s="42">
        <f>countif(Constants!F:F,F25)</f>
        <v>1</v>
      </c>
      <c r="F25" s="21" t="str">
        <f>VLOOKUP($A25,Constants!$D:$F,3,false)</f>
        <v>AtomicUnitOfChargeDensity</v>
      </c>
      <c r="G25" s="43" t="str">
        <f t="shared" si="1"/>
        <v>1.08120238457e12</v>
      </c>
      <c r="H25" s="43">
        <f t="shared" si="2"/>
        <v>1081202384570</v>
      </c>
      <c r="I25" s="43" t="str">
        <f t="shared" si="3"/>
        <v>0.00000000049e12</v>
      </c>
      <c r="J25" s="44">
        <f t="shared" si="4"/>
        <v>490</v>
      </c>
      <c r="K25" s="43" t="b">
        <f t="shared" si="5"/>
        <v>0</v>
      </c>
      <c r="L25" s="21" t="str">
        <f>IFERROR(__xludf.DUMMYFUNCTION("if(regexmatch(B25,""e(.*)$""),regexextract(B25,""e(.*)$""),"""")"),"12")</f>
        <v>12</v>
      </c>
      <c r="M25" s="45"/>
      <c r="N25" s="45">
        <f>countif(Constants!F:F,F25)</f>
        <v>1</v>
      </c>
      <c r="O25" s="21" t="str">
        <f>VLOOKUP($A25,Constants!$D:$D,1,false)</f>
        <v>atomic unit of charge density</v>
      </c>
    </row>
    <row r="26">
      <c r="A26" s="6" t="s">
        <v>660</v>
      </c>
      <c r="B26" s="6" t="s">
        <v>2794</v>
      </c>
      <c r="C26" s="6" t="s">
        <v>2795</v>
      </c>
      <c r="D26" s="6" t="s">
        <v>661</v>
      </c>
      <c r="E26" s="42">
        <f>countif(Constants!F:F,F26)</f>
        <v>1</v>
      </c>
      <c r="F26" s="21" t="str">
        <f>VLOOKUP($A26,Constants!$D:$F,3,false)</f>
        <v>AtomicUnitOfCurrent</v>
      </c>
      <c r="G26" s="43" t="str">
        <f t="shared" si="1"/>
        <v>6.623618237510e-3</v>
      </c>
      <c r="H26" s="43">
        <f t="shared" si="2"/>
        <v>0.006623618238</v>
      </c>
      <c r="I26" s="43" t="str">
        <f t="shared" si="3"/>
        <v>0.000000000013e-3</v>
      </c>
      <c r="J26" s="44">
        <f t="shared" si="4"/>
        <v>0</v>
      </c>
      <c r="K26" s="43" t="b">
        <f t="shared" si="5"/>
        <v>0</v>
      </c>
      <c r="L26" s="21" t="str">
        <f>IFERROR(__xludf.DUMMYFUNCTION("if(regexmatch(B26,""e(.*)$""),regexextract(B26,""e(.*)$""),"""")"),"-3")</f>
        <v>-3</v>
      </c>
      <c r="M26" s="45"/>
      <c r="N26" s="45">
        <f>countif(Constants!F:F,F26)</f>
        <v>1</v>
      </c>
      <c r="O26" s="21" t="str">
        <f>VLOOKUP($A26,Constants!$D:$D,1,false)</f>
        <v>atomic unit of current</v>
      </c>
    </row>
    <row r="27">
      <c r="A27" s="6" t="s">
        <v>665</v>
      </c>
      <c r="B27" s="6" t="s">
        <v>2796</v>
      </c>
      <c r="C27" s="6" t="s">
        <v>2268</v>
      </c>
      <c r="D27" s="6" t="s">
        <v>666</v>
      </c>
      <c r="E27" s="42">
        <f>countif(Constants!F:F,F27)</f>
        <v>1</v>
      </c>
      <c r="F27" s="21" t="str">
        <f>VLOOKUP($A27,Constants!$D:$F,3,false)</f>
        <v>AtomicUnitOfElectricDipoleMoment</v>
      </c>
      <c r="G27" s="43" t="str">
        <f t="shared" si="1"/>
        <v>8.4783536255e-30</v>
      </c>
      <c r="H27" s="43">
        <f t="shared" si="2"/>
        <v>0</v>
      </c>
      <c r="I27" s="43" t="str">
        <f t="shared" si="3"/>
        <v>0.0000000013e-30</v>
      </c>
      <c r="J27" s="44">
        <f t="shared" si="4"/>
        <v>0</v>
      </c>
      <c r="K27" s="43" t="b">
        <f t="shared" si="5"/>
        <v>0</v>
      </c>
      <c r="L27" s="21" t="str">
        <f>IFERROR(__xludf.DUMMYFUNCTION("if(regexmatch(B27,""e(.*)$""),regexextract(B27,""e(.*)$""),"""")"),"-30")</f>
        <v>-30</v>
      </c>
      <c r="M27" s="45"/>
      <c r="N27" s="45">
        <f>countif(Constants!F:F,F27)</f>
        <v>1</v>
      </c>
      <c r="O27" s="21" t="str">
        <f>VLOOKUP($A27,Constants!$D:$D,1,false)</f>
        <v>atomic unit of electric dipole mom.</v>
      </c>
    </row>
    <row r="28">
      <c r="A28" s="6" t="s">
        <v>671</v>
      </c>
      <c r="B28" s="6" t="s">
        <v>2797</v>
      </c>
      <c r="C28" s="6" t="s">
        <v>2798</v>
      </c>
      <c r="D28" s="6" t="s">
        <v>672</v>
      </c>
      <c r="E28" s="42">
        <f>countif(Constants!F:F,F28)</f>
        <v>1</v>
      </c>
      <c r="F28" s="21" t="str">
        <f>VLOOKUP($A28,Constants!$D:$F,3,false)</f>
        <v>AtomicUnitOfElectricField</v>
      </c>
      <c r="G28" s="43" t="str">
        <f t="shared" si="1"/>
        <v>5.14220674763e11</v>
      </c>
      <c r="H28" s="43">
        <f t="shared" si="2"/>
        <v>514220674763</v>
      </c>
      <c r="I28" s="43" t="str">
        <f t="shared" si="3"/>
        <v>0.00000000078e11</v>
      </c>
      <c r="J28" s="44">
        <f t="shared" si="4"/>
        <v>78</v>
      </c>
      <c r="K28" s="43" t="b">
        <f t="shared" si="5"/>
        <v>0</v>
      </c>
      <c r="L28" s="21" t="str">
        <f>IFERROR(__xludf.DUMMYFUNCTION("if(regexmatch(B28,""e(.*)$""),regexextract(B28,""e(.*)$""),"""")"),"11")</f>
        <v>11</v>
      </c>
      <c r="M28" s="45"/>
      <c r="N28" s="45">
        <f>countif(Constants!F:F,F28)</f>
        <v>1</v>
      </c>
      <c r="O28" s="21" t="str">
        <f>VLOOKUP($A28,Constants!$D:$D,1,false)</f>
        <v>atomic unit of electric field</v>
      </c>
    </row>
    <row r="29">
      <c r="A29" s="6" t="s">
        <v>677</v>
      </c>
      <c r="B29" s="6" t="s">
        <v>2799</v>
      </c>
      <c r="C29" s="6" t="s">
        <v>2800</v>
      </c>
      <c r="D29" s="6" t="s">
        <v>678</v>
      </c>
      <c r="E29" s="42">
        <f>countif(Constants!F:F,F29)</f>
        <v>1</v>
      </c>
      <c r="F29" s="21" t="str">
        <f>VLOOKUP($A29,Constants!$D:$F,3,false)</f>
        <v>AtomicUnitOfElectricFieldGradient</v>
      </c>
      <c r="G29" s="43" t="str">
        <f t="shared" si="1"/>
        <v>9.7173624292e21</v>
      </c>
      <c r="H29" s="43">
        <f t="shared" si="2"/>
        <v>9.71736E+21</v>
      </c>
      <c r="I29" s="43" t="str">
        <f t="shared" si="3"/>
        <v>0.0000000029e21</v>
      </c>
      <c r="J29" s="44">
        <f t="shared" si="4"/>
        <v>2900000000000</v>
      </c>
      <c r="K29" s="43" t="b">
        <f t="shared" si="5"/>
        <v>0</v>
      </c>
      <c r="L29" s="21" t="str">
        <f>IFERROR(__xludf.DUMMYFUNCTION("if(regexmatch(B29,""e(.*)$""),regexextract(B29,""e(.*)$""),"""")"),"21")</f>
        <v>21</v>
      </c>
      <c r="M29" s="45"/>
      <c r="N29" s="45">
        <f>countif(Constants!F:F,F29)</f>
        <v>1</v>
      </c>
      <c r="O29" s="21" t="str">
        <f>VLOOKUP($A29,Constants!$D:$D,1,false)</f>
        <v>atomic unit of electric field gradient</v>
      </c>
    </row>
    <row r="30">
      <c r="A30" s="6" t="s">
        <v>683</v>
      </c>
      <c r="B30" s="6" t="s">
        <v>2801</v>
      </c>
      <c r="C30" s="6" t="s">
        <v>2802</v>
      </c>
      <c r="D30" s="6" t="s">
        <v>684</v>
      </c>
      <c r="E30" s="42">
        <f>countif(Constants!F:F,F30)</f>
        <v>1</v>
      </c>
      <c r="F30" s="21" t="str">
        <f>VLOOKUP($A30,Constants!$D:$F,3,false)</f>
        <v>AtomicUnitOfElectricPolarizablity</v>
      </c>
      <c r="G30" s="43" t="str">
        <f t="shared" si="1"/>
        <v>1.64877727436e-41</v>
      </c>
      <c r="H30" s="43">
        <f t="shared" si="2"/>
        <v>0</v>
      </c>
      <c r="I30" s="43" t="str">
        <f t="shared" si="3"/>
        <v>0.00000000050e-41</v>
      </c>
      <c r="J30" s="44">
        <f t="shared" si="4"/>
        <v>0</v>
      </c>
      <c r="K30" s="43" t="b">
        <f t="shared" si="5"/>
        <v>0</v>
      </c>
      <c r="L30" s="21" t="str">
        <f>IFERROR(__xludf.DUMMYFUNCTION("if(regexmatch(B30,""e(.*)$""),regexextract(B30,""e(.*)$""),"""")"),"-41")</f>
        <v>-41</v>
      </c>
      <c r="M30" s="45"/>
      <c r="N30" s="45">
        <f>countif(Constants!F:F,F30)</f>
        <v>1</v>
      </c>
      <c r="O30" s="21" t="str">
        <f>VLOOKUP($A30,Constants!$D:$D,1,false)</f>
        <v>atomic unit of electric polarizability</v>
      </c>
    </row>
    <row r="31">
      <c r="A31" s="6" t="s">
        <v>689</v>
      </c>
      <c r="B31" s="6" t="s">
        <v>2803</v>
      </c>
      <c r="C31" s="6" t="s">
        <v>2804</v>
      </c>
      <c r="D31" s="6" t="s">
        <v>237</v>
      </c>
      <c r="E31" s="42">
        <f>countif(Constants!F:F,F31)</f>
        <v>1</v>
      </c>
      <c r="F31" s="21" t="str">
        <f>VLOOKUP($A31,Constants!$D:$F,3,false)</f>
        <v>AtomicUnitOfElectricPotential</v>
      </c>
      <c r="G31" s="43" t="str">
        <f t="shared" si="1"/>
        <v>27.211386245988</v>
      </c>
      <c r="H31" s="43">
        <f t="shared" si="2"/>
        <v>27.21138625</v>
      </c>
      <c r="I31" s="43" t="str">
        <f t="shared" si="3"/>
        <v>0.000000000053</v>
      </c>
      <c r="J31" s="44">
        <f t="shared" si="4"/>
        <v>0</v>
      </c>
      <c r="K31" s="43" t="b">
        <f t="shared" si="5"/>
        <v>0</v>
      </c>
      <c r="L31" s="21" t="str">
        <f>IFERROR(__xludf.DUMMYFUNCTION("if(regexmatch(B31,""e(.*)$""),regexextract(B31,""e(.*)$""),"""")"),"")</f>
        <v/>
      </c>
      <c r="M31" s="45"/>
      <c r="N31" s="45">
        <f>countif(Constants!F:F,F31)</f>
        <v>1</v>
      </c>
      <c r="O31" s="21" t="str">
        <f>VLOOKUP($A31,Constants!$D:$D,1,false)</f>
        <v>atomic unit of electric potential</v>
      </c>
    </row>
    <row r="32">
      <c r="A32" s="6" t="s">
        <v>693</v>
      </c>
      <c r="B32" s="6" t="s">
        <v>2805</v>
      </c>
      <c r="C32" s="6" t="s">
        <v>2278</v>
      </c>
      <c r="D32" s="6" t="s">
        <v>694</v>
      </c>
      <c r="E32" s="42">
        <f>countif(Constants!F:F,F32)</f>
        <v>1</v>
      </c>
      <c r="F32" s="21" t="str">
        <f>VLOOKUP($A32,Constants!$D:$F,3,false)</f>
        <v>AtomicUnitOfElectricQuadrupoleMoment</v>
      </c>
      <c r="G32" s="43" t="str">
        <f t="shared" si="1"/>
        <v>4.4865515246e-40</v>
      </c>
      <c r="H32" s="43">
        <f t="shared" si="2"/>
        <v>0</v>
      </c>
      <c r="I32" s="43" t="str">
        <f t="shared" si="3"/>
        <v>0.0000000014e-40</v>
      </c>
      <c r="J32" s="44">
        <f t="shared" si="4"/>
        <v>0</v>
      </c>
      <c r="K32" s="43" t="b">
        <f t="shared" si="5"/>
        <v>0</v>
      </c>
      <c r="L32" s="21" t="str">
        <f>IFERROR(__xludf.DUMMYFUNCTION("if(regexmatch(B32,""e(.*)$""),regexextract(B32,""e(.*)$""),"""")"),"-40")</f>
        <v>-40</v>
      </c>
      <c r="M32" s="45"/>
      <c r="N32" s="45">
        <f>countif(Constants!F:F,F32)</f>
        <v>1</v>
      </c>
      <c r="O32" s="21" t="str">
        <f>VLOOKUP($A32,Constants!$D:$D,1,false)</f>
        <v>atomic unit of electric quadrupole mom.</v>
      </c>
    </row>
    <row r="33">
      <c r="A33" s="6" t="s">
        <v>700</v>
      </c>
      <c r="B33" s="6" t="s">
        <v>2806</v>
      </c>
      <c r="C33" s="6" t="s">
        <v>2807</v>
      </c>
      <c r="D33" s="6" t="s">
        <v>543</v>
      </c>
      <c r="E33" s="42">
        <f>countif(Constants!F:F,F33)</f>
        <v>1</v>
      </c>
      <c r="F33" s="21" t="str">
        <f>VLOOKUP($A33,Constants!$D:$F,3,false)</f>
        <v>AtomicUnitOfEnergy</v>
      </c>
      <c r="G33" s="43" t="str">
        <f t="shared" si="1"/>
        <v>4.3597447222071e-18</v>
      </c>
      <c r="H33" s="43">
        <f t="shared" si="2"/>
        <v>0</v>
      </c>
      <c r="I33" s="43" t="str">
        <f t="shared" si="3"/>
        <v>0.0000000000085e-18</v>
      </c>
      <c r="J33" s="44">
        <f t="shared" si="4"/>
        <v>0</v>
      </c>
      <c r="K33" s="43" t="b">
        <f t="shared" si="5"/>
        <v>0</v>
      </c>
      <c r="L33" s="21" t="str">
        <f>IFERROR(__xludf.DUMMYFUNCTION("if(regexmatch(B33,""e(.*)$""),regexextract(B33,""e(.*)$""),"""")"),"-18")</f>
        <v>-18</v>
      </c>
      <c r="M33" s="45"/>
      <c r="N33" s="45">
        <f>countif(Constants!F:F,F33)</f>
        <v>1</v>
      </c>
      <c r="O33" s="21" t="str">
        <f>VLOOKUP($A33,Constants!$D:$D,1,false)</f>
        <v>atomic unit of energy</v>
      </c>
    </row>
    <row r="34">
      <c r="A34" s="6" t="s">
        <v>704</v>
      </c>
      <c r="B34" s="6" t="s">
        <v>2808</v>
      </c>
      <c r="C34" s="6" t="s">
        <v>2809</v>
      </c>
      <c r="D34" s="6" t="s">
        <v>705</v>
      </c>
      <c r="E34" s="42">
        <f>countif(Constants!F:F,F34)</f>
        <v>1</v>
      </c>
      <c r="F34" s="21" t="str">
        <f>VLOOKUP($A34,Constants!$D:$F,3,false)</f>
        <v>AtomicUnitOfForce</v>
      </c>
      <c r="G34" s="43" t="str">
        <f t="shared" si="1"/>
        <v>8.2387234983e-8</v>
      </c>
      <c r="H34" s="43">
        <f t="shared" si="2"/>
        <v>0.00000008238723498</v>
      </c>
      <c r="I34" s="43" t="str">
        <f t="shared" si="3"/>
        <v>0.0000000012e-8</v>
      </c>
      <c r="J34" s="44">
        <f t="shared" si="4"/>
        <v>0</v>
      </c>
      <c r="K34" s="43" t="b">
        <f t="shared" si="5"/>
        <v>0</v>
      </c>
      <c r="L34" s="21" t="str">
        <f>IFERROR(__xludf.DUMMYFUNCTION("if(regexmatch(B34,""e(.*)$""),regexextract(B34,""e(.*)$""),"""")"),"-8")</f>
        <v>-8</v>
      </c>
      <c r="M34" s="45"/>
      <c r="N34" s="45">
        <f>countif(Constants!F:F,F34)</f>
        <v>1</v>
      </c>
      <c r="O34" s="21" t="str">
        <f>VLOOKUP($A34,Constants!$D:$D,1,false)</f>
        <v>atomic unit of force</v>
      </c>
    </row>
    <row r="35">
      <c r="A35" s="6" t="s">
        <v>709</v>
      </c>
      <c r="B35" s="6" t="s">
        <v>2810</v>
      </c>
      <c r="C35" s="6" t="s">
        <v>2811</v>
      </c>
      <c r="D35" s="6" t="s">
        <v>571</v>
      </c>
      <c r="E35" s="42">
        <f>countif(Constants!F:F,F35)</f>
        <v>1</v>
      </c>
      <c r="F35" s="21" t="str">
        <f>VLOOKUP($A35,Constants!$D:$F,3,false)</f>
        <v>AtomicUnitOfLength</v>
      </c>
      <c r="G35" s="43" t="str">
        <f t="shared" si="1"/>
        <v>5.29177210903e-11</v>
      </c>
      <c r="H35" s="43">
        <f t="shared" si="2"/>
        <v>0</v>
      </c>
      <c r="I35" s="43" t="str">
        <f t="shared" si="3"/>
        <v>0.00000000080e-11</v>
      </c>
      <c r="J35" s="44">
        <f t="shared" si="4"/>
        <v>0</v>
      </c>
      <c r="K35" s="43" t="b">
        <f t="shared" si="5"/>
        <v>0</v>
      </c>
      <c r="L35" s="21" t="str">
        <f>IFERROR(__xludf.DUMMYFUNCTION("if(regexmatch(B35,""e(.*)$""),regexextract(B35,""e(.*)$""),"""")"),"-11")</f>
        <v>-11</v>
      </c>
      <c r="M35" s="45"/>
      <c r="N35" s="45">
        <f>countif(Constants!F:F,F35)</f>
        <v>1</v>
      </c>
      <c r="O35" s="21" t="str">
        <f>VLOOKUP($A35,Constants!$D:$D,1,false)</f>
        <v>atomic unit of length</v>
      </c>
    </row>
    <row r="36">
      <c r="A36" s="6" t="s">
        <v>713</v>
      </c>
      <c r="B36" s="6" t="s">
        <v>2812</v>
      </c>
      <c r="C36" s="6" t="s">
        <v>2813</v>
      </c>
      <c r="D36" s="6" t="s">
        <v>714</v>
      </c>
      <c r="E36" s="42">
        <f>countif(Constants!F:F,F36)</f>
        <v>1</v>
      </c>
      <c r="F36" s="21" t="str">
        <f>VLOOKUP($A36,Constants!$D:$F,3,false)</f>
        <v>AtomicUnitOfMagneticDipoleMoment</v>
      </c>
      <c r="G36" s="43" t="str">
        <f t="shared" si="1"/>
        <v>1.85480201566e-23</v>
      </c>
      <c r="H36" s="43">
        <f t="shared" si="2"/>
        <v>0</v>
      </c>
      <c r="I36" s="43" t="str">
        <f t="shared" si="3"/>
        <v>0.00000000056e-23</v>
      </c>
      <c r="J36" s="44">
        <f t="shared" si="4"/>
        <v>0</v>
      </c>
      <c r="K36" s="43" t="b">
        <f t="shared" si="5"/>
        <v>0</v>
      </c>
      <c r="L36" s="21" t="str">
        <f>IFERROR(__xludf.DUMMYFUNCTION("if(regexmatch(B36,""e(.*)$""),regexextract(B36,""e(.*)$""),"""")"),"-23")</f>
        <v>-23</v>
      </c>
      <c r="M36" s="45"/>
      <c r="N36" s="45">
        <f>countif(Constants!F:F,F36)</f>
        <v>1</v>
      </c>
      <c r="O36" s="21" t="str">
        <f>VLOOKUP($A36,Constants!$D:$D,1,false)</f>
        <v>atomic unit of mag. dipole mom.</v>
      </c>
    </row>
    <row r="37">
      <c r="A37" s="6" t="s">
        <v>720</v>
      </c>
      <c r="B37" s="6" t="s">
        <v>2814</v>
      </c>
      <c r="C37" s="6" t="s">
        <v>2815</v>
      </c>
      <c r="D37" s="6" t="s">
        <v>721</v>
      </c>
      <c r="E37" s="42">
        <f>countif(Constants!F:F,F37)</f>
        <v>1</v>
      </c>
      <c r="F37" s="21" t="str">
        <f>VLOOKUP($A37,Constants!$D:$F,3,false)</f>
        <v>AtomicUnitOfMagneticFluxDensity</v>
      </c>
      <c r="G37" s="43" t="str">
        <f t="shared" si="1"/>
        <v>2.35051756758e5</v>
      </c>
      <c r="H37" s="43">
        <f t="shared" si="2"/>
        <v>235051.7568</v>
      </c>
      <c r="I37" s="43" t="str">
        <f t="shared" si="3"/>
        <v>0.00000000071e5</v>
      </c>
      <c r="J37" s="44">
        <f t="shared" si="4"/>
        <v>0.000071</v>
      </c>
      <c r="K37" s="43" t="b">
        <f t="shared" si="5"/>
        <v>0</v>
      </c>
      <c r="L37" s="21" t="str">
        <f>IFERROR(__xludf.DUMMYFUNCTION("if(regexmatch(B37,""e(.*)$""),regexextract(B37,""e(.*)$""),"""")"),"5")</f>
        <v>5</v>
      </c>
      <c r="M37" s="45"/>
      <c r="N37" s="45">
        <f>countif(Constants!F:F,F37)</f>
        <v>1</v>
      </c>
      <c r="O37" s="21" t="str">
        <f>VLOOKUP($A37,Constants!$D:$D,1,false)</f>
        <v>atomic unit of mag. flux density</v>
      </c>
    </row>
    <row r="38">
      <c r="A38" s="6" t="s">
        <v>725</v>
      </c>
      <c r="B38" s="6" t="s">
        <v>2816</v>
      </c>
      <c r="C38" s="6" t="s">
        <v>2817</v>
      </c>
      <c r="D38" s="6" t="s">
        <v>726</v>
      </c>
      <c r="E38" s="42">
        <f>countif(Constants!F:F,F38)</f>
        <v>1</v>
      </c>
      <c r="F38" s="21" t="str">
        <f>VLOOKUP($A38,Constants!$D:$F,3,false)</f>
        <v>AtomicUnitOfMagnetizability</v>
      </c>
      <c r="G38" s="43" t="str">
        <f t="shared" si="1"/>
        <v>7.8910366008e-29</v>
      </c>
      <c r="H38" s="43">
        <f t="shared" si="2"/>
        <v>0</v>
      </c>
      <c r="I38" s="43" t="str">
        <f t="shared" si="3"/>
        <v>0.0000000048e-29</v>
      </c>
      <c r="J38" s="44">
        <f t="shared" si="4"/>
        <v>0</v>
      </c>
      <c r="K38" s="43" t="b">
        <f t="shared" si="5"/>
        <v>0</v>
      </c>
      <c r="L38" s="21" t="str">
        <f>IFERROR(__xludf.DUMMYFUNCTION("if(regexmatch(B38,""e(.*)$""),regexextract(B38,""e(.*)$""),"""")"),"-29")</f>
        <v>-29</v>
      </c>
      <c r="M38" s="45"/>
      <c r="N38" s="45">
        <f>countif(Constants!F:F,F38)</f>
        <v>1</v>
      </c>
      <c r="O38" s="21" t="str">
        <f>VLOOKUP($A38,Constants!$D:$D,1,false)</f>
        <v>atomic unit of magnetizability</v>
      </c>
    </row>
    <row r="39">
      <c r="A39" s="6" t="s">
        <v>731</v>
      </c>
      <c r="B39" s="6" t="s">
        <v>2818</v>
      </c>
      <c r="C39" s="6" t="s">
        <v>2292</v>
      </c>
      <c r="D39" s="6" t="s">
        <v>538</v>
      </c>
      <c r="E39" s="42">
        <f>countif(Constants!F:F,F39)</f>
        <v>1</v>
      </c>
      <c r="F39" s="21" t="str">
        <f>VLOOKUP($A39,Constants!$D:$F,3,false)</f>
        <v>AtomicUnitOfMass</v>
      </c>
      <c r="G39" s="43" t="str">
        <f t="shared" si="1"/>
        <v>9.1093837015e-31</v>
      </c>
      <c r="H39" s="43">
        <f t="shared" si="2"/>
        <v>0</v>
      </c>
      <c r="I39" s="43" t="str">
        <f t="shared" si="3"/>
        <v>0.0000000028e-31</v>
      </c>
      <c r="J39" s="44">
        <f t="shared" si="4"/>
        <v>0</v>
      </c>
      <c r="K39" s="43" t="b">
        <f t="shared" si="5"/>
        <v>0</v>
      </c>
      <c r="L39" s="21" t="str">
        <f>IFERROR(__xludf.DUMMYFUNCTION("if(regexmatch(B39,""e(.*)$""),regexextract(B39,""e(.*)$""),"""")"),"-31")</f>
        <v>-31</v>
      </c>
      <c r="M39" s="45"/>
      <c r="N39" s="45">
        <f>countif(Constants!F:F,F39)</f>
        <v>1</v>
      </c>
      <c r="O39" s="21" t="str">
        <f>VLOOKUP($A39,Constants!$D:$D,1,false)</f>
        <v>atomic unit of mass</v>
      </c>
    </row>
    <row r="40">
      <c r="A40" s="6" t="s">
        <v>735</v>
      </c>
      <c r="B40" s="6" t="s">
        <v>2819</v>
      </c>
      <c r="C40" s="6" t="s">
        <v>2820</v>
      </c>
      <c r="D40" s="6" t="s">
        <v>736</v>
      </c>
      <c r="E40" s="42">
        <f>countif(Constants!F:F,F40)</f>
        <v>1</v>
      </c>
      <c r="F40" s="21" t="str">
        <f>VLOOKUP($A40,Constants!$D:$F,3,false)</f>
        <v>AtomicUnitOfMomentum</v>
      </c>
      <c r="G40" s="43" t="str">
        <f t="shared" si="1"/>
        <v>1.99285191410e-24</v>
      </c>
      <c r="H40" s="43">
        <f t="shared" si="2"/>
        <v>0</v>
      </c>
      <c r="I40" s="43" t="str">
        <f t="shared" si="3"/>
        <v>0.00000000030e-24</v>
      </c>
      <c r="J40" s="44">
        <f t="shared" si="4"/>
        <v>0</v>
      </c>
      <c r="K40" s="43" t="b">
        <f t="shared" si="5"/>
        <v>0</v>
      </c>
      <c r="L40" s="21" t="str">
        <f>IFERROR(__xludf.DUMMYFUNCTION("if(regexmatch(B40,""e(.*)$""),regexextract(B40,""e(.*)$""),"""")"),"-24")</f>
        <v>-24</v>
      </c>
      <c r="M40" s="45"/>
      <c r="N40" s="45">
        <f>countif(Constants!F:F,F40)</f>
        <v>1</v>
      </c>
      <c r="O40" s="21" t="str">
        <f>VLOOKUP($A40,Constants!$D:$D,1,false)</f>
        <v>atomic unit of momentum</v>
      </c>
    </row>
    <row r="41">
      <c r="A41" s="6" t="s">
        <v>742</v>
      </c>
      <c r="B41" s="6" t="s">
        <v>2821</v>
      </c>
      <c r="C41" s="6" t="s">
        <v>2296</v>
      </c>
      <c r="D41" s="6" t="s">
        <v>743</v>
      </c>
      <c r="E41" s="42">
        <f>countif(Constants!F:F,F41)</f>
        <v>1</v>
      </c>
      <c r="F41" s="21" t="str">
        <f>VLOOKUP($A41,Constants!$D:$F,3,false)</f>
        <v>AtomicUnitOfPermittivity</v>
      </c>
      <c r="G41" s="43" t="str">
        <f t="shared" si="1"/>
        <v>1.11265005545e-10</v>
      </c>
      <c r="H41" s="43">
        <f t="shared" si="2"/>
        <v>0.0000000001112650055</v>
      </c>
      <c r="I41" s="43" t="str">
        <f t="shared" si="3"/>
        <v>0.00000000017e-10</v>
      </c>
      <c r="J41" s="44">
        <f t="shared" si="4"/>
        <v>0</v>
      </c>
      <c r="K41" s="43" t="b">
        <f t="shared" si="5"/>
        <v>0</v>
      </c>
      <c r="L41" s="21" t="str">
        <f>IFERROR(__xludf.DUMMYFUNCTION("if(regexmatch(B41,""e(.*)$""),regexextract(B41,""e(.*)$""),"""")"),"-10")</f>
        <v>-10</v>
      </c>
      <c r="M41" s="45"/>
      <c r="N41" s="45">
        <f>countif(Constants!F:F,F41)</f>
        <v>1</v>
      </c>
      <c r="O41" s="21" t="str">
        <f>VLOOKUP($A41,Constants!$D:$D,1,false)</f>
        <v>atomic unit of permittivity</v>
      </c>
    </row>
    <row r="42">
      <c r="A42" s="6" t="s">
        <v>748</v>
      </c>
      <c r="B42" s="6" t="s">
        <v>2822</v>
      </c>
      <c r="C42" s="6" t="s">
        <v>2823</v>
      </c>
      <c r="D42" s="6" t="s">
        <v>749</v>
      </c>
      <c r="E42" s="42">
        <f>countif(Constants!F:F,F42)</f>
        <v>1</v>
      </c>
      <c r="F42" s="21" t="str">
        <f>VLOOKUP($A42,Constants!$D:$F,3,false)</f>
        <v>AtomicUnitOfTime</v>
      </c>
      <c r="G42" s="43" t="str">
        <f t="shared" si="1"/>
        <v>2.4188843265857e-17</v>
      </c>
      <c r="H42" s="43">
        <f t="shared" si="2"/>
        <v>0</v>
      </c>
      <c r="I42" s="43" t="str">
        <f t="shared" si="3"/>
        <v>0.0000000000047e-17</v>
      </c>
      <c r="J42" s="44">
        <f t="shared" si="4"/>
        <v>0</v>
      </c>
      <c r="K42" s="43" t="b">
        <f t="shared" si="5"/>
        <v>0</v>
      </c>
      <c r="L42" s="21" t="str">
        <f>IFERROR(__xludf.DUMMYFUNCTION("if(regexmatch(B42,""e(.*)$""),regexextract(B42,""e(.*)$""),"""")"),"-17")</f>
        <v>-17</v>
      </c>
      <c r="M42" s="45"/>
      <c r="N42" s="45">
        <f>countif(Constants!F:F,F42)</f>
        <v>1</v>
      </c>
      <c r="O42" s="21" t="str">
        <f>VLOOKUP($A42,Constants!$D:$D,1,false)</f>
        <v>atomic unit of time</v>
      </c>
    </row>
    <row r="43">
      <c r="A43" s="6" t="s">
        <v>753</v>
      </c>
      <c r="B43" s="6" t="s">
        <v>2824</v>
      </c>
      <c r="C43" s="6" t="s">
        <v>2825</v>
      </c>
      <c r="D43" s="6" t="s">
        <v>754</v>
      </c>
      <c r="E43" s="42">
        <f>countif(Constants!F:F,F43)</f>
        <v>1</v>
      </c>
      <c r="F43" s="21" t="str">
        <f>VLOOKUP($A43,Constants!$D:$F,3,false)</f>
        <v>AtomicUnitOfVelocity</v>
      </c>
      <c r="G43" s="43" t="str">
        <f t="shared" si="1"/>
        <v>2.18769126364e6</v>
      </c>
      <c r="H43" s="43">
        <f t="shared" si="2"/>
        <v>2187691.264</v>
      </c>
      <c r="I43" s="43" t="str">
        <f t="shared" si="3"/>
        <v>0.00000000033e6</v>
      </c>
      <c r="J43" s="44">
        <f t="shared" si="4"/>
        <v>0.00033</v>
      </c>
      <c r="K43" s="43" t="b">
        <f t="shared" si="5"/>
        <v>0</v>
      </c>
      <c r="L43" s="21" t="str">
        <f>IFERROR(__xludf.DUMMYFUNCTION("if(regexmatch(B43,""e(.*)$""),regexextract(B43,""e(.*)$""),"""")"),"6")</f>
        <v>6</v>
      </c>
      <c r="M43" s="45"/>
      <c r="N43" s="45">
        <f>countif(Constants!F:F,F43)</f>
        <v>1</v>
      </c>
      <c r="O43" s="21" t="str">
        <f>VLOOKUP($A43,Constants!$D:$D,1,false)</f>
        <v>atomic unit of velocity</v>
      </c>
    </row>
    <row r="44">
      <c r="A44" s="6" t="s">
        <v>145</v>
      </c>
      <c r="B44" s="6" t="s">
        <v>2826</v>
      </c>
      <c r="C44" s="6" t="s">
        <v>2261</v>
      </c>
      <c r="D44" s="6" t="s">
        <v>759</v>
      </c>
      <c r="E44" s="42">
        <f>countif(Constants!F:F,F44)</f>
        <v>1</v>
      </c>
      <c r="F44" s="21" t="str">
        <f>VLOOKUP($A44,Constants!$D:$F,3,false)</f>
        <v>AvogadroConstant</v>
      </c>
      <c r="G44" s="43" t="str">
        <f t="shared" si="1"/>
        <v>6.02214076e23</v>
      </c>
      <c r="H44" s="43">
        <f t="shared" si="2"/>
        <v>6.02214E+23</v>
      </c>
      <c r="I44" s="43" t="str">
        <f t="shared" si="3"/>
        <v>(exact)</v>
      </c>
      <c r="J44" s="44" t="str">
        <f t="shared" si="4"/>
        <v/>
      </c>
      <c r="K44" s="43" t="b">
        <f t="shared" si="5"/>
        <v>0</v>
      </c>
      <c r="L44" s="21" t="str">
        <f>IFERROR(__xludf.DUMMYFUNCTION("if(regexmatch(B44,""e(.*)$""),regexextract(B44,""e(.*)$""),"""")"),"23")</f>
        <v>23</v>
      </c>
      <c r="M44" s="45"/>
      <c r="N44" s="45">
        <f>countif(Constants!F:F,F44)</f>
        <v>1</v>
      </c>
      <c r="O44" s="21" t="str">
        <f>VLOOKUP($A44,Constants!$D:$D,1,false)</f>
        <v>Avogadro constant</v>
      </c>
    </row>
    <row r="45">
      <c r="A45" s="6" t="s">
        <v>764</v>
      </c>
      <c r="B45" s="6" t="s">
        <v>2827</v>
      </c>
      <c r="C45" s="6" t="s">
        <v>2828</v>
      </c>
      <c r="D45" s="6" t="s">
        <v>714</v>
      </c>
      <c r="E45" s="42">
        <f>countif(Constants!F:F,F45)</f>
        <v>1</v>
      </c>
      <c r="F45" s="21" t="str">
        <f>VLOOKUP($A45,Constants!$D:$F,3,false)</f>
        <v>BohrMagneton</v>
      </c>
      <c r="G45" s="43" t="str">
        <f t="shared" si="1"/>
        <v>9.2740100783e-24</v>
      </c>
      <c r="H45" s="43">
        <f t="shared" si="2"/>
        <v>0</v>
      </c>
      <c r="I45" s="43" t="str">
        <f t="shared" si="3"/>
        <v>0.0000000028e-24</v>
      </c>
      <c r="J45" s="44">
        <f t="shared" si="4"/>
        <v>0</v>
      </c>
      <c r="K45" s="43" t="b">
        <f t="shared" si="5"/>
        <v>0</v>
      </c>
      <c r="L45" s="21" t="str">
        <f>IFERROR(__xludf.DUMMYFUNCTION("if(regexmatch(B45,""e(.*)$""),regexextract(B45,""e(.*)$""),"""")"),"-24")</f>
        <v>-24</v>
      </c>
      <c r="M45" s="45"/>
      <c r="N45" s="45">
        <f>countif(Constants!F:F,F45)</f>
        <v>1</v>
      </c>
      <c r="O45" s="21" t="str">
        <f>VLOOKUP($A45,Constants!$D:$D,1,false)</f>
        <v>Bohr magneton</v>
      </c>
    </row>
    <row r="46">
      <c r="A46" s="6" t="s">
        <v>768</v>
      </c>
      <c r="B46" s="6" t="s">
        <v>2829</v>
      </c>
      <c r="C46" s="6" t="s">
        <v>2830</v>
      </c>
      <c r="D46" s="6" t="s">
        <v>769</v>
      </c>
      <c r="E46" s="42">
        <f>countif(Constants!F:F,F46)</f>
        <v>1</v>
      </c>
      <c r="F46" s="21" t="str">
        <f>VLOOKUP($A46,Constants!$D:$F,3,false)</f>
        <v>BohrMagnetonInEVPerT</v>
      </c>
      <c r="G46" s="43" t="str">
        <f t="shared" si="1"/>
        <v>5.7883818060e-5</v>
      </c>
      <c r="H46" s="43">
        <f t="shared" si="2"/>
        <v>0.00005788381806</v>
      </c>
      <c r="I46" s="43" t="str">
        <f t="shared" si="3"/>
        <v>0.0000000017e-5</v>
      </c>
      <c r="J46" s="44">
        <f t="shared" si="4"/>
        <v>0</v>
      </c>
      <c r="K46" s="43" t="b">
        <f t="shared" si="5"/>
        <v>0</v>
      </c>
      <c r="L46" s="21" t="str">
        <f>IFERROR(__xludf.DUMMYFUNCTION("if(regexmatch(B46,""e(.*)$""),regexextract(B46,""e(.*)$""),"""")"),"-5")</f>
        <v>-5</v>
      </c>
      <c r="M46" s="45"/>
      <c r="N46" s="45">
        <f>countif(Constants!F:F,F46)</f>
        <v>1</v>
      </c>
      <c r="O46" s="21" t="str">
        <f>VLOOKUP($A46,Constants!$D:$D,1,false)</f>
        <v>Bohr magneton in eV/T</v>
      </c>
    </row>
    <row r="47">
      <c r="A47" s="6" t="s">
        <v>773</v>
      </c>
      <c r="B47" s="6" t="s">
        <v>2831</v>
      </c>
      <c r="C47" s="6" t="s">
        <v>2832</v>
      </c>
      <c r="D47" s="6" t="s">
        <v>774</v>
      </c>
      <c r="E47" s="42">
        <f>countif(Constants!F:F,F47)</f>
        <v>1</v>
      </c>
      <c r="F47" s="21" t="str">
        <f>VLOOKUP($A47,Constants!$D:$F,3,false)</f>
        <v>BohrMagnetonInHzPerT</v>
      </c>
      <c r="G47" s="43" t="str">
        <f t="shared" si="1"/>
        <v>1.39962449361e10</v>
      </c>
      <c r="H47" s="43">
        <f t="shared" si="2"/>
        <v>13996244936</v>
      </c>
      <c r="I47" s="43" t="str">
        <f t="shared" si="3"/>
        <v>0.00000000042e10</v>
      </c>
      <c r="J47" s="44">
        <f t="shared" si="4"/>
        <v>4.2</v>
      </c>
      <c r="K47" s="43" t="b">
        <f t="shared" si="5"/>
        <v>0</v>
      </c>
      <c r="L47" s="21" t="str">
        <f>IFERROR(__xludf.DUMMYFUNCTION("if(regexmatch(B47,""e(.*)$""),regexextract(B47,""e(.*)$""),"""")"),"10")</f>
        <v>10</v>
      </c>
      <c r="M47" s="45"/>
      <c r="N47" s="45">
        <f>countif(Constants!F:F,F47)</f>
        <v>1</v>
      </c>
      <c r="O47" s="21" t="str">
        <f>VLOOKUP($A47,Constants!$D:$D,1,false)</f>
        <v>Bohr magneton in Hz/T</v>
      </c>
    </row>
    <row r="48">
      <c r="A48" s="6" t="s">
        <v>778</v>
      </c>
      <c r="B48" s="6" t="s">
        <v>2833</v>
      </c>
      <c r="C48" s="6" t="s">
        <v>2834</v>
      </c>
      <c r="D48" s="6" t="s">
        <v>779</v>
      </c>
      <c r="E48" s="42">
        <f>countif(Constants!F:F,F48)</f>
        <v>1</v>
      </c>
      <c r="F48" s="21" t="str">
        <f>VLOOKUP($A48,Constants!$D:$F,3,false)</f>
        <v>BohrMagnetonInInverseMetersPerTesla</v>
      </c>
      <c r="G48" s="43" t="str">
        <f t="shared" si="1"/>
        <v>46.686447783</v>
      </c>
      <c r="H48" s="43">
        <f t="shared" si="2"/>
        <v>46.68644778</v>
      </c>
      <c r="I48" s="43" t="str">
        <f t="shared" si="3"/>
        <v>0.000000014</v>
      </c>
      <c r="J48" s="44">
        <f t="shared" si="4"/>
        <v>0.000000014</v>
      </c>
      <c r="K48" s="43" t="b">
        <f t="shared" si="5"/>
        <v>0</v>
      </c>
      <c r="L48" s="21" t="str">
        <f>IFERROR(__xludf.DUMMYFUNCTION("if(regexmatch(B48,""e(.*)$""),regexextract(B48,""e(.*)$""),"""")"),"")</f>
        <v/>
      </c>
      <c r="M48" s="45"/>
      <c r="N48" s="45">
        <f>countif(Constants!F:F,F48)</f>
        <v>1</v>
      </c>
      <c r="O48" s="21" t="str">
        <f>VLOOKUP($A48,Constants!$D:$D,1,false)</f>
        <v>Bohr magneton in inverse meter per tesla</v>
      </c>
    </row>
    <row r="49">
      <c r="A49" s="6" t="s">
        <v>783</v>
      </c>
      <c r="B49" s="6" t="s">
        <v>2835</v>
      </c>
      <c r="C49" s="6" t="s">
        <v>2836</v>
      </c>
      <c r="D49" s="6" t="s">
        <v>784</v>
      </c>
      <c r="E49" s="42">
        <f>countif(Constants!F:F,F49)</f>
        <v>1</v>
      </c>
      <c r="F49" s="21" t="str">
        <f>VLOOKUP($A49,Constants!$D:$F,3,false)</f>
        <v>BohrMagnetonInKPerT</v>
      </c>
      <c r="G49" s="43" t="str">
        <f t="shared" si="1"/>
        <v>0.67171381563</v>
      </c>
      <c r="H49" s="43">
        <f t="shared" si="2"/>
        <v>0.6717138156</v>
      </c>
      <c r="I49" s="43" t="str">
        <f t="shared" si="3"/>
        <v>0.00000000020</v>
      </c>
      <c r="J49" s="44">
        <f t="shared" si="4"/>
        <v>0.0000000002</v>
      </c>
      <c r="K49" s="43" t="b">
        <f t="shared" si="5"/>
        <v>0</v>
      </c>
      <c r="L49" s="21" t="str">
        <f>IFERROR(__xludf.DUMMYFUNCTION("if(regexmatch(B49,""e(.*)$""),regexextract(B49,""e(.*)$""),"""")"),"")</f>
        <v/>
      </c>
      <c r="M49" s="45"/>
      <c r="N49" s="45">
        <f>countif(Constants!F:F,F49)</f>
        <v>1</v>
      </c>
      <c r="O49" s="21" t="str">
        <f>VLOOKUP($A49,Constants!$D:$D,1,false)</f>
        <v>Bohr magneton in K/T</v>
      </c>
    </row>
    <row r="50">
      <c r="A50" s="6" t="s">
        <v>788</v>
      </c>
      <c r="B50" s="6" t="s">
        <v>2810</v>
      </c>
      <c r="C50" s="6" t="s">
        <v>2811</v>
      </c>
      <c r="D50" s="6" t="s">
        <v>571</v>
      </c>
      <c r="E50" s="42">
        <f>countif(Constants!F:F,F50)</f>
        <v>1</v>
      </c>
      <c r="F50" s="21" t="str">
        <f>VLOOKUP($A50,Constants!$D:$F,3,false)</f>
        <v>BohrRadius</v>
      </c>
      <c r="G50" s="43" t="str">
        <f t="shared" si="1"/>
        <v>5.29177210903e-11</v>
      </c>
      <c r="H50" s="43">
        <f t="shared" si="2"/>
        <v>0</v>
      </c>
      <c r="I50" s="43" t="str">
        <f t="shared" si="3"/>
        <v>0.00000000080e-11</v>
      </c>
      <c r="J50" s="44">
        <f t="shared" si="4"/>
        <v>0</v>
      </c>
      <c r="K50" s="43" t="b">
        <f t="shared" si="5"/>
        <v>0</v>
      </c>
      <c r="L50" s="21" t="str">
        <f>IFERROR(__xludf.DUMMYFUNCTION("if(regexmatch(B50,""e(.*)$""),regexextract(B50,""e(.*)$""),"""")"),"-11")</f>
        <v>-11</v>
      </c>
      <c r="M50" s="45"/>
      <c r="N50" s="45">
        <f>countif(Constants!F:F,F50)</f>
        <v>1</v>
      </c>
      <c r="O50" s="21" t="str">
        <f>VLOOKUP($A50,Constants!$D:$D,1,false)</f>
        <v>Bohr radius</v>
      </c>
    </row>
    <row r="51">
      <c r="A51" s="6" t="s">
        <v>791</v>
      </c>
      <c r="B51" s="6" t="s">
        <v>2837</v>
      </c>
      <c r="C51" s="6" t="s">
        <v>2261</v>
      </c>
      <c r="D51" s="6" t="s">
        <v>792</v>
      </c>
      <c r="E51" s="42">
        <f>countif(Constants!F:F,F51)</f>
        <v>1</v>
      </c>
      <c r="F51" s="21" t="str">
        <f>VLOOKUP($A51,Constants!$D:$F,3,false)</f>
        <v>BoltzmannConstant</v>
      </c>
      <c r="G51" s="43" t="str">
        <f t="shared" si="1"/>
        <v>1.380649e-23</v>
      </c>
      <c r="H51" s="43">
        <f t="shared" si="2"/>
        <v>0</v>
      </c>
      <c r="I51" s="43" t="str">
        <f t="shared" si="3"/>
        <v>(exact)</v>
      </c>
      <c r="J51" s="44" t="str">
        <f t="shared" si="4"/>
        <v/>
      </c>
      <c r="K51" s="43" t="b">
        <f t="shared" si="5"/>
        <v>0</v>
      </c>
      <c r="L51" s="21" t="str">
        <f>IFERROR(__xludf.DUMMYFUNCTION("if(regexmatch(B51,""e(.*)$""),regexextract(B51,""e(.*)$""),"""")"),"-23")</f>
        <v>-23</v>
      </c>
      <c r="M51" s="45"/>
      <c r="N51" s="45">
        <f>countif(Constants!F:F,F51)</f>
        <v>1</v>
      </c>
      <c r="O51" s="21" t="str">
        <f>VLOOKUP($A51,Constants!$D:$D,1,false)</f>
        <v>Boltzmann constant</v>
      </c>
    </row>
    <row r="52">
      <c r="A52" s="6" t="s">
        <v>798</v>
      </c>
      <c r="B52" s="6" t="s">
        <v>2838</v>
      </c>
      <c r="C52" s="6" t="s">
        <v>2261</v>
      </c>
      <c r="D52" s="6" t="s">
        <v>799</v>
      </c>
      <c r="E52" s="42">
        <f>countif(Constants!F:F,F52)</f>
        <v>1</v>
      </c>
      <c r="F52" s="21" t="str">
        <f>VLOOKUP($A52,Constants!$D:$F,3,false)</f>
        <v>BoltzmannConstantInEVPerK</v>
      </c>
      <c r="G52" s="43" t="str">
        <f t="shared" si="1"/>
        <v>8.617333262e-5</v>
      </c>
      <c r="H52" s="43">
        <f t="shared" si="2"/>
        <v>0.00008617333262</v>
      </c>
      <c r="I52" s="43" t="str">
        <f t="shared" si="3"/>
        <v>(exact)</v>
      </c>
      <c r="J52" s="44" t="str">
        <f t="shared" si="4"/>
        <v/>
      </c>
      <c r="K52" s="43" t="b">
        <f t="shared" si="5"/>
        <v>1</v>
      </c>
      <c r="L52" s="21" t="str">
        <f>IFERROR(__xludf.DUMMYFUNCTION("if(regexmatch(B52,""e(.*)$""),regexextract(B52,""e(.*)$""),"""")"),"-5")</f>
        <v>-5</v>
      </c>
      <c r="M52" s="45"/>
      <c r="N52" s="45">
        <f>countif(Constants!F:F,F52)</f>
        <v>1</v>
      </c>
      <c r="O52" s="21" t="str">
        <f>VLOOKUP($A52,Constants!$D:$D,1,false)</f>
        <v>Boltzmann constant in eV/K</v>
      </c>
    </row>
    <row r="53">
      <c r="A53" s="6" t="s">
        <v>803</v>
      </c>
      <c r="B53" s="6" t="s">
        <v>2839</v>
      </c>
      <c r="C53" s="6" t="s">
        <v>2261</v>
      </c>
      <c r="D53" s="6" t="s">
        <v>804</v>
      </c>
      <c r="E53" s="42">
        <f>countif(Constants!F:F,F53)</f>
        <v>1</v>
      </c>
      <c r="F53" s="21" t="str">
        <f>VLOOKUP($A53,Constants!$D:$F,3,false)</f>
        <v>BoltzmannConstantInHzPerK</v>
      </c>
      <c r="G53" s="43" t="str">
        <f t="shared" si="1"/>
        <v>2.083661912e10</v>
      </c>
      <c r="H53" s="43">
        <f t="shared" si="2"/>
        <v>20836619120</v>
      </c>
      <c r="I53" s="43" t="str">
        <f t="shared" si="3"/>
        <v>(exact)</v>
      </c>
      <c r="J53" s="44" t="str">
        <f t="shared" si="4"/>
        <v/>
      </c>
      <c r="K53" s="43" t="b">
        <f t="shared" si="5"/>
        <v>1</v>
      </c>
      <c r="L53" s="21" t="str">
        <f>IFERROR(__xludf.DUMMYFUNCTION("if(regexmatch(B53,""e(.*)$""),regexextract(B53,""e(.*)$""),"""")"),"10")</f>
        <v>10</v>
      </c>
      <c r="M53" s="45"/>
      <c r="N53" s="45">
        <f>countif(Constants!F:F,F53)</f>
        <v>1</v>
      </c>
      <c r="O53" s="21" t="str">
        <f>VLOOKUP($A53,Constants!$D:$D,1,false)</f>
        <v>Boltzmann constant in Hz/K</v>
      </c>
    </row>
    <row r="54">
      <c r="A54" s="6" t="s">
        <v>808</v>
      </c>
      <c r="B54" s="6" t="s">
        <v>2840</v>
      </c>
      <c r="C54" s="6" t="s">
        <v>2261</v>
      </c>
      <c r="D54" s="6" t="s">
        <v>809</v>
      </c>
      <c r="E54" s="42">
        <f>countif(Constants!F:F,F54)</f>
        <v>1</v>
      </c>
      <c r="F54" s="21" t="str">
        <f>VLOOKUP($A54,Constants!$D:$F,3,false)</f>
        <v>BoltzmannConstantInInverseMetersPerKelvin</v>
      </c>
      <c r="G54" s="43" t="str">
        <f t="shared" si="1"/>
        <v>69.50348004</v>
      </c>
      <c r="H54" s="43">
        <f t="shared" si="2"/>
        <v>69.50348004</v>
      </c>
      <c r="I54" s="43" t="str">
        <f t="shared" si="3"/>
        <v>(exact)</v>
      </c>
      <c r="J54" s="44" t="str">
        <f t="shared" si="4"/>
        <v/>
      </c>
      <c r="K54" s="43" t="b">
        <f t="shared" si="5"/>
        <v>1</v>
      </c>
      <c r="L54" s="21" t="str">
        <f>IFERROR(__xludf.DUMMYFUNCTION("if(regexmatch(B54,""e(.*)$""),regexextract(B54,""e(.*)$""),"""")"),"")</f>
        <v/>
      </c>
      <c r="M54" s="45"/>
      <c r="N54" s="45">
        <f>countif(Constants!F:F,F54)</f>
        <v>1</v>
      </c>
      <c r="O54" s="21" t="str">
        <f>VLOOKUP($A54,Constants!$D:$D,1,false)</f>
        <v>Boltzmann constant in inverse meter per kelvin</v>
      </c>
    </row>
    <row r="55">
      <c r="A55" s="6" t="s">
        <v>813</v>
      </c>
      <c r="B55" s="6" t="s">
        <v>2841</v>
      </c>
      <c r="C55" s="6" t="s">
        <v>2842</v>
      </c>
      <c r="D55" s="6" t="s">
        <v>814</v>
      </c>
      <c r="E55" s="42">
        <f>countif(Constants!F:F,F55)</f>
        <v>1</v>
      </c>
      <c r="F55" s="21" t="str">
        <f>VLOOKUP($A55,Constants!$D:$F,3,false)</f>
        <v>CharacteristicImpedanceOfVacuum</v>
      </c>
      <c r="G55" s="43" t="str">
        <f t="shared" si="1"/>
        <v>376.730313668</v>
      </c>
      <c r="H55" s="43">
        <f t="shared" si="2"/>
        <v>376.7303137</v>
      </c>
      <c r="I55" s="43" t="str">
        <f t="shared" si="3"/>
        <v>0.000000057</v>
      </c>
      <c r="J55" s="44">
        <f t="shared" si="4"/>
        <v>0.000000057</v>
      </c>
      <c r="K55" s="43" t="b">
        <f t="shared" si="5"/>
        <v>0</v>
      </c>
      <c r="L55" s="21" t="str">
        <f>IFERROR(__xludf.DUMMYFUNCTION("if(regexmatch(B55,""e(.*)$""),regexextract(B55,""e(.*)$""),"""")"),"")</f>
        <v/>
      </c>
      <c r="M55" s="45"/>
      <c r="N55" s="45">
        <f>countif(Constants!F:F,F55)</f>
        <v>1</v>
      </c>
      <c r="O55" s="21" t="str">
        <f>VLOOKUP($A55,Constants!$D:$D,1,false)</f>
        <v>characteristic impedance of vacuum</v>
      </c>
    </row>
    <row r="56">
      <c r="A56" s="6" t="s">
        <v>819</v>
      </c>
      <c r="B56" s="6" t="s">
        <v>2843</v>
      </c>
      <c r="C56" s="6" t="s">
        <v>2319</v>
      </c>
      <c r="D56" s="6" t="s">
        <v>571</v>
      </c>
      <c r="E56" s="42">
        <f>countif(Constants!F:F,F56)</f>
        <v>1</v>
      </c>
      <c r="F56" s="21" t="str">
        <f>VLOOKUP($A56,Constants!$D:$F,3,false)</f>
        <v>ClassicalElectronRadius</v>
      </c>
      <c r="G56" s="43" t="str">
        <f t="shared" si="1"/>
        <v>2.8179403262e-15</v>
      </c>
      <c r="H56" s="43">
        <f t="shared" si="2"/>
        <v>0</v>
      </c>
      <c r="I56" s="43" t="str">
        <f t="shared" si="3"/>
        <v>0.0000000013e-15</v>
      </c>
      <c r="J56" s="44">
        <f t="shared" si="4"/>
        <v>0</v>
      </c>
      <c r="K56" s="43" t="b">
        <f t="shared" si="5"/>
        <v>0</v>
      </c>
      <c r="L56" s="21" t="str">
        <f>IFERROR(__xludf.DUMMYFUNCTION("if(regexmatch(B56,""e(.*)$""),regexextract(B56,""e(.*)$""),"""")"),"-15")</f>
        <v>-15</v>
      </c>
      <c r="M56" s="45"/>
      <c r="N56" s="45">
        <f>countif(Constants!F:F,F56)</f>
        <v>1</v>
      </c>
      <c r="O56" s="21" t="str">
        <f>VLOOKUP($A56,Constants!$D:$D,1,false)</f>
        <v>classical electron radius</v>
      </c>
    </row>
    <row r="57">
      <c r="A57" s="6" t="s">
        <v>823</v>
      </c>
      <c r="B57" s="6" t="s">
        <v>2844</v>
      </c>
      <c r="C57" s="6" t="s">
        <v>2845</v>
      </c>
      <c r="D57" s="6" t="s">
        <v>571</v>
      </c>
      <c r="E57" s="42">
        <f>countif(Constants!F:F,F57)</f>
        <v>1</v>
      </c>
      <c r="F57" s="21" t="str">
        <f>VLOOKUP($A57,Constants!$D:$F,3,false)</f>
        <v>ComptonWavelength</v>
      </c>
      <c r="G57" s="43" t="str">
        <f t="shared" si="1"/>
        <v>2.42631023867e-12</v>
      </c>
      <c r="H57" s="43">
        <f t="shared" si="2"/>
        <v>0</v>
      </c>
      <c r="I57" s="43" t="str">
        <f t="shared" si="3"/>
        <v>0.00000000073e-12</v>
      </c>
      <c r="J57" s="44">
        <f t="shared" si="4"/>
        <v>0</v>
      </c>
      <c r="K57" s="43" t="b">
        <f t="shared" si="5"/>
        <v>0</v>
      </c>
      <c r="L57" s="21" t="str">
        <f>IFERROR(__xludf.DUMMYFUNCTION("if(regexmatch(B57,""e(.*)$""),regexextract(B57,""e(.*)$""),"""")"),"-12")</f>
        <v>-12</v>
      </c>
      <c r="M57" s="45"/>
      <c r="N57" s="45">
        <f>countif(Constants!F:F,F57)</f>
        <v>1</v>
      </c>
      <c r="O57" s="21" t="str">
        <f>VLOOKUP($A57,Constants!$D:$D,1,false)</f>
        <v>Compton wavelength</v>
      </c>
    </row>
    <row r="58">
      <c r="A58" s="6" t="s">
        <v>827</v>
      </c>
      <c r="B58" s="6" t="s">
        <v>2846</v>
      </c>
      <c r="C58" s="6" t="s">
        <v>2261</v>
      </c>
      <c r="D58" s="6" t="s">
        <v>828</v>
      </c>
      <c r="E58" s="42">
        <f>countif(Constants!F:F,F58)</f>
        <v>1</v>
      </c>
      <c r="F58" s="21" t="str">
        <f>VLOOKUP($A58,Constants!$D:$F,3,false)</f>
        <v>ConductanceQuantum</v>
      </c>
      <c r="G58" s="43" t="str">
        <f t="shared" si="1"/>
        <v>7.748091729e-5</v>
      </c>
      <c r="H58" s="43">
        <f t="shared" si="2"/>
        <v>0.00007748091729</v>
      </c>
      <c r="I58" s="43" t="str">
        <f t="shared" si="3"/>
        <v>(exact)</v>
      </c>
      <c r="J58" s="44" t="str">
        <f t="shared" si="4"/>
        <v/>
      </c>
      <c r="K58" s="43" t="b">
        <f t="shared" si="5"/>
        <v>1</v>
      </c>
      <c r="L58" s="21" t="str">
        <f>IFERROR(__xludf.DUMMYFUNCTION("if(regexmatch(B58,""e(.*)$""),regexextract(B58,""e(.*)$""),"""")"),"-5")</f>
        <v>-5</v>
      </c>
      <c r="M58" s="45"/>
      <c r="N58" s="45">
        <f>countif(Constants!F:F,F58)</f>
        <v>1</v>
      </c>
      <c r="O58" s="21" t="str">
        <f>VLOOKUP($A58,Constants!$D:$D,1,false)</f>
        <v>conductance quantum</v>
      </c>
    </row>
    <row r="59">
      <c r="A59" s="6" t="s">
        <v>832</v>
      </c>
      <c r="B59" s="6" t="s">
        <v>2847</v>
      </c>
      <c r="C59" s="6" t="s">
        <v>2261</v>
      </c>
      <c r="D59" s="6" t="s">
        <v>661</v>
      </c>
      <c r="E59" s="42">
        <f>countif(Constants!F:F,F59)</f>
        <v>1</v>
      </c>
      <c r="F59" s="21" t="str">
        <f>VLOOKUP($A59,Constants!$D:$F,3,false)</f>
        <v>ConventionalValueOfAmpere-90</v>
      </c>
      <c r="G59" s="43" t="str">
        <f t="shared" si="1"/>
        <v>1.00000008887</v>
      </c>
      <c r="H59" s="43">
        <f t="shared" si="2"/>
        <v>1.000000089</v>
      </c>
      <c r="I59" s="43" t="str">
        <f t="shared" si="3"/>
        <v>(exact)</v>
      </c>
      <c r="J59" s="44" t="str">
        <f t="shared" si="4"/>
        <v/>
      </c>
      <c r="K59" s="43" t="b">
        <f t="shared" si="5"/>
        <v>1</v>
      </c>
      <c r="L59" s="21" t="str">
        <f>IFERROR(__xludf.DUMMYFUNCTION("if(regexmatch(B59,""e(.*)$""),regexextract(B59,""e(.*)$""),"""")"),"")</f>
        <v/>
      </c>
      <c r="M59" s="45"/>
      <c r="N59" s="45">
        <f>countif(Constants!F:F,F59)</f>
        <v>1</v>
      </c>
      <c r="O59" s="21" t="str">
        <f>VLOOKUP($A59,Constants!$D:$D,1,false)</f>
        <v>conventional value of ampere-90</v>
      </c>
    </row>
    <row r="60">
      <c r="A60" s="6" t="s">
        <v>835</v>
      </c>
      <c r="B60" s="6" t="s">
        <v>2847</v>
      </c>
      <c r="C60" s="6" t="s">
        <v>2261</v>
      </c>
      <c r="D60" s="6" t="s">
        <v>649</v>
      </c>
      <c r="E60" s="42">
        <f>countif(Constants!F:F,F60)</f>
        <v>1</v>
      </c>
      <c r="F60" s="21" t="str">
        <f>VLOOKUP($A60,Constants!$D:$F,3,false)</f>
        <v>ConventionalValueOfCoulomb-90</v>
      </c>
      <c r="G60" s="43" t="str">
        <f t="shared" si="1"/>
        <v>1.00000008887</v>
      </c>
      <c r="H60" s="43">
        <f t="shared" si="2"/>
        <v>1.000000089</v>
      </c>
      <c r="I60" s="43" t="str">
        <f t="shared" si="3"/>
        <v>(exact)</v>
      </c>
      <c r="J60" s="44" t="str">
        <f t="shared" si="4"/>
        <v/>
      </c>
      <c r="K60" s="43" t="b">
        <f t="shared" si="5"/>
        <v>1</v>
      </c>
      <c r="L60" s="21" t="str">
        <f>IFERROR(__xludf.DUMMYFUNCTION("if(regexmatch(B60,""e(.*)$""),regexextract(B60,""e(.*)$""),"""")"),"")</f>
        <v/>
      </c>
      <c r="M60" s="45"/>
      <c r="N60" s="45">
        <f>countif(Constants!F:F,F60)</f>
        <v>1</v>
      </c>
      <c r="O60" s="21" t="str">
        <f>VLOOKUP($A60,Constants!$D:$D,1,false)</f>
        <v>conventional value of coulomb-90</v>
      </c>
    </row>
    <row r="61">
      <c r="A61" s="6" t="s">
        <v>838</v>
      </c>
      <c r="B61" s="6" t="s">
        <v>2848</v>
      </c>
      <c r="C61" s="6" t="s">
        <v>2261</v>
      </c>
      <c r="D61" s="6" t="s">
        <v>839</v>
      </c>
      <c r="E61" s="42">
        <f>countif(Constants!F:F,F61)</f>
        <v>1</v>
      </c>
      <c r="F61" s="21" t="str">
        <f>VLOOKUP($A61,Constants!$D:$F,3,false)</f>
        <v>ConventionalValueOfFarad-90</v>
      </c>
      <c r="G61" s="43" t="str">
        <f t="shared" si="1"/>
        <v>0.99999998220</v>
      </c>
      <c r="H61" s="43">
        <f t="shared" si="2"/>
        <v>0.9999999822</v>
      </c>
      <c r="I61" s="43" t="str">
        <f t="shared" si="3"/>
        <v>(exact)</v>
      </c>
      <c r="J61" s="44" t="str">
        <f t="shared" si="4"/>
        <v/>
      </c>
      <c r="K61" s="43" t="b">
        <f t="shared" si="5"/>
        <v>1</v>
      </c>
      <c r="L61" s="21" t="str">
        <f>IFERROR(__xludf.DUMMYFUNCTION("if(regexmatch(B61,""e(.*)$""),regexextract(B61,""e(.*)$""),"""")"),"")</f>
        <v/>
      </c>
      <c r="M61" s="45"/>
      <c r="N61" s="45">
        <f>countif(Constants!F:F,F61)</f>
        <v>1</v>
      </c>
      <c r="O61" s="21" t="str">
        <f>VLOOKUP($A61,Constants!$D:$D,1,false)</f>
        <v>conventional value of farad-90</v>
      </c>
    </row>
    <row r="62">
      <c r="A62" s="6" t="s">
        <v>842</v>
      </c>
      <c r="B62" s="6" t="s">
        <v>2849</v>
      </c>
      <c r="C62" s="6" t="s">
        <v>2261</v>
      </c>
      <c r="D62" s="6" t="s">
        <v>843</v>
      </c>
      <c r="E62" s="42">
        <f>countif(Constants!F:F,F62)</f>
        <v>1</v>
      </c>
      <c r="F62" s="21" t="str">
        <f>VLOOKUP($A62,Constants!$D:$F,3,false)</f>
        <v>ConventionalValueOfHenry-90</v>
      </c>
      <c r="G62" s="43" t="str">
        <f t="shared" si="1"/>
        <v>1.00000001779</v>
      </c>
      <c r="H62" s="43">
        <f t="shared" si="2"/>
        <v>1.000000018</v>
      </c>
      <c r="I62" s="43" t="str">
        <f t="shared" si="3"/>
        <v>(exact)</v>
      </c>
      <c r="J62" s="44" t="str">
        <f t="shared" si="4"/>
        <v/>
      </c>
      <c r="K62" s="43" t="b">
        <f t="shared" si="5"/>
        <v>1</v>
      </c>
      <c r="L62" s="21" t="str">
        <f>IFERROR(__xludf.DUMMYFUNCTION("if(regexmatch(B62,""e(.*)$""),regexextract(B62,""e(.*)$""),"""")"),"")</f>
        <v/>
      </c>
      <c r="M62" s="45"/>
      <c r="N62" s="45">
        <f>countif(Constants!F:F,F62)</f>
        <v>1</v>
      </c>
      <c r="O62" s="21" t="str">
        <f>VLOOKUP($A62,Constants!$D:$D,1,false)</f>
        <v>conventional value of henry-90</v>
      </c>
    </row>
    <row r="63">
      <c r="A63" s="6" t="s">
        <v>846</v>
      </c>
      <c r="B63" s="6" t="s">
        <v>2850</v>
      </c>
      <c r="C63" s="6" t="s">
        <v>2261</v>
      </c>
      <c r="D63" s="6" t="s">
        <v>847</v>
      </c>
      <c r="E63" s="42">
        <f>countif(Constants!F:F,F63)</f>
        <v>1</v>
      </c>
      <c r="F63" s="21" t="str">
        <f>VLOOKUP($A63,Constants!$D:$F,3,false)</f>
        <v>ConventionalValueOfJosephsonConstant</v>
      </c>
      <c r="G63" s="43" t="str">
        <f t="shared" si="1"/>
        <v>483597.9e9</v>
      </c>
      <c r="H63" s="43">
        <f t="shared" si="2"/>
        <v>483597900000000</v>
      </c>
      <c r="I63" s="43" t="str">
        <f t="shared" si="3"/>
        <v>(exact)</v>
      </c>
      <c r="J63" s="44" t="str">
        <f t="shared" si="4"/>
        <v/>
      </c>
      <c r="K63" s="43" t="b">
        <f t="shared" si="5"/>
        <v>0</v>
      </c>
      <c r="L63" s="21" t="str">
        <f>IFERROR(__xludf.DUMMYFUNCTION("if(regexmatch(B63,""e(.*)$""),regexextract(B63,""e(.*)$""),"""")"),"9")</f>
        <v>9</v>
      </c>
      <c r="M63" s="45"/>
      <c r="N63" s="45">
        <f>countif(Constants!F:F,F63)</f>
        <v>1</v>
      </c>
      <c r="O63" s="21" t="str">
        <f>VLOOKUP($A63,Constants!$D:$D,1,false)</f>
        <v>conventional value of Josephson constant</v>
      </c>
    </row>
    <row r="64">
      <c r="A64" s="6" t="s">
        <v>852</v>
      </c>
      <c r="B64" s="6" t="s">
        <v>2849</v>
      </c>
      <c r="C64" s="6" t="s">
        <v>2261</v>
      </c>
      <c r="D64" s="6" t="s">
        <v>814</v>
      </c>
      <c r="E64" s="42">
        <f>countif(Constants!F:F,F64)</f>
        <v>1</v>
      </c>
      <c r="F64" s="21" t="str">
        <f>VLOOKUP($A64,Constants!$D:$F,3,false)</f>
        <v>ConventionalValueOfOhm-90</v>
      </c>
      <c r="G64" s="43" t="str">
        <f t="shared" si="1"/>
        <v>1.00000001779</v>
      </c>
      <c r="H64" s="43">
        <f t="shared" si="2"/>
        <v>1.000000018</v>
      </c>
      <c r="I64" s="43" t="str">
        <f t="shared" si="3"/>
        <v>(exact)</v>
      </c>
      <c r="J64" s="44" t="str">
        <f t="shared" si="4"/>
        <v/>
      </c>
      <c r="K64" s="43" t="b">
        <f t="shared" si="5"/>
        <v>1</v>
      </c>
      <c r="L64" s="21" t="str">
        <f>IFERROR(__xludf.DUMMYFUNCTION("if(regexmatch(B64,""e(.*)$""),regexextract(B64,""e(.*)$""),"""")"),"")</f>
        <v/>
      </c>
      <c r="M64" s="45"/>
      <c r="N64" s="45">
        <f>countif(Constants!F:F,F64)</f>
        <v>1</v>
      </c>
      <c r="O64" s="21" t="str">
        <f>VLOOKUP($A64,Constants!$D:$D,1,false)</f>
        <v>conventional value of ohm-90</v>
      </c>
    </row>
    <row r="65">
      <c r="A65" s="6" t="s">
        <v>855</v>
      </c>
      <c r="B65" s="6" t="s">
        <v>2851</v>
      </c>
      <c r="C65" s="6" t="s">
        <v>2261</v>
      </c>
      <c r="D65" s="6" t="s">
        <v>237</v>
      </c>
      <c r="E65" s="42">
        <f>countif(Constants!F:F,F65)</f>
        <v>1</v>
      </c>
      <c r="F65" s="21" t="str">
        <f>VLOOKUP($A65,Constants!$D:$F,3,false)</f>
        <v>ConventionalValueOfVolt-90</v>
      </c>
      <c r="G65" s="43" t="str">
        <f t="shared" si="1"/>
        <v>1.00000010666</v>
      </c>
      <c r="H65" s="43">
        <f t="shared" si="2"/>
        <v>1.000000107</v>
      </c>
      <c r="I65" s="43" t="str">
        <f t="shared" si="3"/>
        <v>(exact)</v>
      </c>
      <c r="J65" s="44" t="str">
        <f t="shared" si="4"/>
        <v/>
      </c>
      <c r="K65" s="43" t="b">
        <f t="shared" si="5"/>
        <v>1</v>
      </c>
      <c r="L65" s="21" t="str">
        <f>IFERROR(__xludf.DUMMYFUNCTION("if(regexmatch(B65,""e(.*)$""),regexextract(B65,""e(.*)$""),"""")"),"")</f>
        <v/>
      </c>
      <c r="M65" s="45"/>
      <c r="N65" s="45">
        <f>countif(Constants!F:F,F65)</f>
        <v>1</v>
      </c>
      <c r="O65" s="21" t="str">
        <f>VLOOKUP($A65,Constants!$D:$D,1,false)</f>
        <v>conventional value of volt-90</v>
      </c>
    </row>
    <row r="66">
      <c r="A66" s="6" t="s">
        <v>858</v>
      </c>
      <c r="B66" s="6" t="s">
        <v>2852</v>
      </c>
      <c r="C66" s="6" t="s">
        <v>2261</v>
      </c>
      <c r="D66" s="6" t="s">
        <v>814</v>
      </c>
      <c r="E66" s="42">
        <f>countif(Constants!F:F,F66)</f>
        <v>1</v>
      </c>
      <c r="F66" s="21" t="str">
        <f>VLOOKUP($A66,Constants!$D:$F,3,false)</f>
        <v>ConventionalValueOfVonKlitzingConstant</v>
      </c>
      <c r="G66" s="43" t="str">
        <f t="shared" si="1"/>
        <v>25812.807</v>
      </c>
      <c r="H66" s="43">
        <f t="shared" si="2"/>
        <v>25812.807</v>
      </c>
      <c r="I66" s="43" t="str">
        <f t="shared" si="3"/>
        <v>(exact)</v>
      </c>
      <c r="J66" s="44" t="str">
        <f t="shared" si="4"/>
        <v/>
      </c>
      <c r="K66" s="43" t="b">
        <f t="shared" si="5"/>
        <v>0</v>
      </c>
      <c r="L66" s="21" t="str">
        <f>IFERROR(__xludf.DUMMYFUNCTION("if(regexmatch(B66,""e(.*)$""),regexextract(B66,""e(.*)$""),"""")"),"")</f>
        <v/>
      </c>
      <c r="M66" s="45"/>
      <c r="N66" s="45">
        <f>countif(Constants!F:F,F66)</f>
        <v>1</v>
      </c>
      <c r="O66" s="21" t="str">
        <f>VLOOKUP($A66,Constants!$D:$D,1,false)</f>
        <v>conventional value of von Klitzing constant</v>
      </c>
    </row>
    <row r="67">
      <c r="A67" s="6" t="s">
        <v>863</v>
      </c>
      <c r="B67" s="6" t="s">
        <v>2853</v>
      </c>
      <c r="C67" s="6" t="s">
        <v>2261</v>
      </c>
      <c r="D67" s="6" t="s">
        <v>864</v>
      </c>
      <c r="E67" s="42">
        <f>countif(Constants!F:F,F67)</f>
        <v>1</v>
      </c>
      <c r="F67" s="21" t="str">
        <f>VLOOKUP($A67,Constants!$D:$F,3,false)</f>
        <v>ConventionalValueOfWatt-90</v>
      </c>
      <c r="G67" s="43" t="str">
        <f t="shared" si="1"/>
        <v>1.00000019553</v>
      </c>
      <c r="H67" s="43">
        <f t="shared" si="2"/>
        <v>1.000000196</v>
      </c>
      <c r="I67" s="43" t="str">
        <f t="shared" si="3"/>
        <v>(exact)</v>
      </c>
      <c r="J67" s="44" t="str">
        <f t="shared" si="4"/>
        <v/>
      </c>
      <c r="K67" s="43" t="b">
        <f t="shared" si="5"/>
        <v>1</v>
      </c>
      <c r="L67" s="21" t="str">
        <f>IFERROR(__xludf.DUMMYFUNCTION("if(regexmatch(B67,""e(.*)$""),regexextract(B67,""e(.*)$""),"""")"),"")</f>
        <v/>
      </c>
      <c r="M67" s="45"/>
      <c r="N67" s="45">
        <f>countif(Constants!F:F,F67)</f>
        <v>1</v>
      </c>
      <c r="O67" s="21" t="str">
        <f>VLOOKUP($A67,Constants!$D:$D,1,false)</f>
        <v>conventional value of watt-90</v>
      </c>
    </row>
    <row r="68">
      <c r="A68" s="6" t="s">
        <v>866</v>
      </c>
      <c r="B68" s="6" t="s">
        <v>2854</v>
      </c>
      <c r="C68" s="6" t="s">
        <v>2331</v>
      </c>
      <c r="D68" s="6" t="s">
        <v>571</v>
      </c>
      <c r="E68" s="42">
        <f>countif(Constants!F:F,F68)</f>
        <v>1</v>
      </c>
      <c r="F68" s="47" t="s">
        <v>272</v>
      </c>
      <c r="G68" s="43" t="str">
        <f t="shared" si="1"/>
        <v>1.00207697e-13</v>
      </c>
      <c r="H68" s="43">
        <f t="shared" si="2"/>
        <v>0</v>
      </c>
      <c r="I68" s="43" t="str">
        <f t="shared" si="3"/>
        <v>0.00000028e-13</v>
      </c>
      <c r="J68" s="44">
        <f t="shared" si="4"/>
        <v>0</v>
      </c>
      <c r="K68" s="43" t="b">
        <f t="shared" si="5"/>
        <v>0</v>
      </c>
      <c r="L68" s="21" t="str">
        <f>IFERROR(__xludf.DUMMYFUNCTION("if(regexmatch(B68,""e(.*)$""),regexextract(B68,""e(.*)$""),"""")"),"-13")</f>
        <v>-13</v>
      </c>
      <c r="M68" s="45"/>
      <c r="N68" s="45">
        <f>countif(Constants!F:F,F68)</f>
        <v>1</v>
      </c>
      <c r="O68" s="21" t="str">
        <f>VLOOKUP($A68,Constants!$D:$D,1,false)</f>
        <v>#N/A</v>
      </c>
    </row>
    <row r="69">
      <c r="A69" s="6" t="s">
        <v>871</v>
      </c>
      <c r="B69" s="6" t="s">
        <v>2855</v>
      </c>
      <c r="C69" s="6" t="s">
        <v>2333</v>
      </c>
      <c r="E69" s="42">
        <f>countif(Constants!F:F,F69)</f>
        <v>1</v>
      </c>
      <c r="F69" s="21" t="str">
        <f>VLOOKUP($A69,Constants!$D:$F,3,false)</f>
        <v>DeuteronElectronMagneticMomentRatio</v>
      </c>
      <c r="G69" s="43" t="str">
        <f t="shared" si="1"/>
        <v>-4.664345551e-4</v>
      </c>
      <c r="H69" s="43">
        <f t="shared" si="2"/>
        <v>-0.0004664345551</v>
      </c>
      <c r="I69" s="43" t="str">
        <f t="shared" si="3"/>
        <v>0.000000012e-4</v>
      </c>
      <c r="J69" s="44">
        <f t="shared" si="4"/>
        <v>0</v>
      </c>
      <c r="K69" s="43" t="b">
        <f t="shared" si="5"/>
        <v>0</v>
      </c>
      <c r="L69" s="21" t="str">
        <f>IFERROR(__xludf.DUMMYFUNCTION("if(regexmatch(B69,""e(.*)$""),regexextract(B69,""e(.*)$""),"""")"),"-4")</f>
        <v>-4</v>
      </c>
      <c r="M69" s="45"/>
      <c r="N69" s="45">
        <f>countif(Constants!F:F,F69)</f>
        <v>1</v>
      </c>
      <c r="O69" s="21" t="str">
        <f>VLOOKUP($A69,Constants!$D:$D,1,false)</f>
        <v>deuteron-electron mag. mom. ratio</v>
      </c>
    </row>
    <row r="70">
      <c r="A70" s="6" t="s">
        <v>876</v>
      </c>
      <c r="B70" s="6" t="s">
        <v>2856</v>
      </c>
      <c r="C70" s="6" t="s">
        <v>2857</v>
      </c>
      <c r="E70" s="42">
        <f>countif(Constants!F:F,F70)</f>
        <v>1</v>
      </c>
      <c r="F70" s="21" t="str">
        <f>VLOOKUP($A70,Constants!$D:$F,3,false)</f>
        <v>DeuteronElectronMassRatio</v>
      </c>
      <c r="G70" s="43" t="str">
        <f t="shared" si="1"/>
        <v>3670.48296788</v>
      </c>
      <c r="H70" s="43">
        <f t="shared" si="2"/>
        <v>3670.482968</v>
      </c>
      <c r="I70" s="43" t="str">
        <f t="shared" si="3"/>
        <v>0.00000013</v>
      </c>
      <c r="J70" s="44">
        <f t="shared" si="4"/>
        <v>0.00000013</v>
      </c>
      <c r="K70" s="43" t="b">
        <f t="shared" si="5"/>
        <v>0</v>
      </c>
      <c r="L70" s="21" t="str">
        <f>IFERROR(__xludf.DUMMYFUNCTION("if(regexmatch(B70,""e(.*)$""),regexextract(B70,""e(.*)$""),"""")"),"")</f>
        <v/>
      </c>
      <c r="M70" s="45"/>
      <c r="N70" s="45">
        <f>countif(Constants!F:F,F70)</f>
        <v>1</v>
      </c>
      <c r="O70" s="21" t="str">
        <f>VLOOKUP($A70,Constants!$D:$D,1,false)</f>
        <v>deuteron-electron mass ratio</v>
      </c>
    </row>
    <row r="71">
      <c r="A71" s="6" t="s">
        <v>881</v>
      </c>
      <c r="B71" s="6" t="s">
        <v>2858</v>
      </c>
      <c r="C71" s="6" t="s">
        <v>2337</v>
      </c>
      <c r="E71" s="42">
        <f>countif(Constants!F:F,F71)</f>
        <v>1</v>
      </c>
      <c r="F71" s="21" t="str">
        <f>VLOOKUP($A71,Constants!$D:$F,3,false)</f>
        <v>DeuteronGFactor</v>
      </c>
      <c r="G71" s="43" t="str">
        <f t="shared" si="1"/>
        <v>0.8574382338</v>
      </c>
      <c r="H71" s="43">
        <f t="shared" si="2"/>
        <v>0.8574382338</v>
      </c>
      <c r="I71" s="43" t="str">
        <f t="shared" si="3"/>
        <v>0.0000000022</v>
      </c>
      <c r="J71" s="44">
        <f t="shared" si="4"/>
        <v>0.0000000022</v>
      </c>
      <c r="K71" s="43" t="b">
        <f t="shared" si="5"/>
        <v>0</v>
      </c>
      <c r="L71" s="21" t="str">
        <f>IFERROR(__xludf.DUMMYFUNCTION("if(regexmatch(B71,""e(.*)$""),regexextract(B71,""e(.*)$""),"""")"),"")</f>
        <v/>
      </c>
      <c r="M71" s="45"/>
      <c r="N71" s="45">
        <f>countif(Constants!F:F,F71)</f>
        <v>1</v>
      </c>
      <c r="O71" s="21" t="str">
        <f>VLOOKUP($A71,Constants!$D:$D,1,false)</f>
        <v>deuteron g factor</v>
      </c>
    </row>
    <row r="72">
      <c r="A72" s="6" t="s">
        <v>885</v>
      </c>
      <c r="B72" s="6" t="s">
        <v>2859</v>
      </c>
      <c r="C72" s="6" t="s">
        <v>2339</v>
      </c>
      <c r="D72" s="6" t="s">
        <v>714</v>
      </c>
      <c r="E72" s="42">
        <f>countif(Constants!F:F,F72)</f>
        <v>1</v>
      </c>
      <c r="F72" s="21" t="str">
        <f>VLOOKUP($A72,Constants!$D:$F,3,false)</f>
        <v>DeuteronMagneticMoment</v>
      </c>
      <c r="G72" s="43" t="str">
        <f t="shared" si="1"/>
        <v>4.330735094e-27</v>
      </c>
      <c r="H72" s="43">
        <f t="shared" si="2"/>
        <v>0</v>
      </c>
      <c r="I72" s="43" t="str">
        <f t="shared" si="3"/>
        <v>0.000000011e-27</v>
      </c>
      <c r="J72" s="44">
        <f t="shared" si="4"/>
        <v>0</v>
      </c>
      <c r="K72" s="43" t="b">
        <f t="shared" si="5"/>
        <v>0</v>
      </c>
      <c r="L72" s="21" t="str">
        <f>IFERROR(__xludf.DUMMYFUNCTION("if(regexmatch(B72,""e(.*)$""),regexextract(B72,""e(.*)$""),"""")"),"-27")</f>
        <v>-27</v>
      </c>
      <c r="M72" s="45"/>
      <c r="N72" s="45">
        <f>countif(Constants!F:F,F72)</f>
        <v>1</v>
      </c>
      <c r="O72" s="21" t="str">
        <f>VLOOKUP($A72,Constants!$D:$D,1,false)</f>
        <v>deuteron mag. mom.</v>
      </c>
    </row>
    <row r="73">
      <c r="A73" s="6" t="s">
        <v>890</v>
      </c>
      <c r="B73" s="6" t="s">
        <v>2860</v>
      </c>
      <c r="C73" s="6" t="s">
        <v>2333</v>
      </c>
      <c r="E73" s="42">
        <f>countif(Constants!F:F,F73)</f>
        <v>1</v>
      </c>
      <c r="F73" s="21" t="str">
        <f>VLOOKUP($A73,Constants!$D:$F,3,false)</f>
        <v>DeuteronMagneticMomentToBohrMagnetonRatio</v>
      </c>
      <c r="G73" s="43" t="str">
        <f t="shared" si="1"/>
        <v>4.669754570e-4</v>
      </c>
      <c r="H73" s="43">
        <f t="shared" si="2"/>
        <v>0.000466975457</v>
      </c>
      <c r="I73" s="43" t="str">
        <f t="shared" si="3"/>
        <v>0.000000012e-4</v>
      </c>
      <c r="J73" s="44">
        <f t="shared" si="4"/>
        <v>0</v>
      </c>
      <c r="K73" s="43" t="b">
        <f t="shared" si="5"/>
        <v>0</v>
      </c>
      <c r="L73" s="21" t="str">
        <f>IFERROR(__xludf.DUMMYFUNCTION("if(regexmatch(B73,""e(.*)$""),regexextract(B73,""e(.*)$""),"""")"),"-4")</f>
        <v>-4</v>
      </c>
      <c r="M73" s="45"/>
      <c r="N73" s="45">
        <f>countif(Constants!F:F,F73)</f>
        <v>1</v>
      </c>
      <c r="O73" s="21" t="str">
        <f>VLOOKUP($A73,Constants!$D:$D,1,false)</f>
        <v>deuteron mag. mom. to Bohr magneton ratio</v>
      </c>
    </row>
    <row r="74">
      <c r="A74" s="6" t="s">
        <v>895</v>
      </c>
      <c r="B74" s="6" t="s">
        <v>2858</v>
      </c>
      <c r="C74" s="6" t="s">
        <v>2337</v>
      </c>
      <c r="E74" s="42">
        <f>countif(Constants!F:F,F74)</f>
        <v>1</v>
      </c>
      <c r="F74" s="21" t="str">
        <f>VLOOKUP($A74,Constants!$D:$F,3,false)</f>
        <v>DeuteronMagneticMomentToNuclearMagnetonRatio</v>
      </c>
      <c r="G74" s="43" t="str">
        <f t="shared" si="1"/>
        <v>0.8574382338</v>
      </c>
      <c r="H74" s="43">
        <f t="shared" si="2"/>
        <v>0.8574382338</v>
      </c>
      <c r="I74" s="43" t="str">
        <f t="shared" si="3"/>
        <v>0.0000000022</v>
      </c>
      <c r="J74" s="44">
        <f t="shared" si="4"/>
        <v>0.0000000022</v>
      </c>
      <c r="K74" s="43" t="b">
        <f t="shared" si="5"/>
        <v>0</v>
      </c>
      <c r="L74" s="21" t="str">
        <f>IFERROR(__xludf.DUMMYFUNCTION("if(regexmatch(B74,""e(.*)$""),regexextract(B74,""e(.*)$""),"""")"),"")</f>
        <v/>
      </c>
      <c r="M74" s="45"/>
      <c r="N74" s="45">
        <f>countif(Constants!F:F,F74)</f>
        <v>1</v>
      </c>
      <c r="O74" s="21" t="str">
        <f>VLOOKUP($A74,Constants!$D:$D,1,false)</f>
        <v>deuteron mag. mom. to nuclear magneton ratio</v>
      </c>
    </row>
    <row r="75">
      <c r="A75" s="6" t="s">
        <v>900</v>
      </c>
      <c r="B75" s="6" t="s">
        <v>2861</v>
      </c>
      <c r="C75" s="6" t="s">
        <v>2342</v>
      </c>
      <c r="D75" s="6" t="s">
        <v>538</v>
      </c>
      <c r="E75" s="42">
        <f>countif(Constants!F:F,F75)</f>
        <v>1</v>
      </c>
      <c r="F75" s="21" t="str">
        <f>VLOOKUP($A75,Constants!$D:$F,3,false)</f>
        <v>DeuteronMass</v>
      </c>
      <c r="G75" s="43" t="str">
        <f t="shared" si="1"/>
        <v>3.3435837724e-27</v>
      </c>
      <c r="H75" s="43">
        <f t="shared" si="2"/>
        <v>0</v>
      </c>
      <c r="I75" s="43" t="str">
        <f t="shared" si="3"/>
        <v>0.0000000010e-27</v>
      </c>
      <c r="J75" s="44">
        <f t="shared" si="4"/>
        <v>0</v>
      </c>
      <c r="K75" s="43" t="b">
        <f t="shared" si="5"/>
        <v>0</v>
      </c>
      <c r="L75" s="21" t="str">
        <f>IFERROR(__xludf.DUMMYFUNCTION("if(regexmatch(B75,""e(.*)$""),regexextract(B75,""e(.*)$""),"""")"),"-27")</f>
        <v>-27</v>
      </c>
      <c r="M75" s="45"/>
      <c r="N75" s="45">
        <f>countif(Constants!F:F,F75)</f>
        <v>1</v>
      </c>
      <c r="O75" s="21" t="str">
        <f>VLOOKUP($A75,Constants!$D:$D,1,false)</f>
        <v>deuteron mass</v>
      </c>
    </row>
    <row r="76">
      <c r="A76" s="6" t="s">
        <v>904</v>
      </c>
      <c r="B76" s="6" t="s">
        <v>2862</v>
      </c>
      <c r="C76" s="6" t="s">
        <v>2863</v>
      </c>
      <c r="D76" s="6" t="s">
        <v>543</v>
      </c>
      <c r="E76" s="42">
        <f>countif(Constants!F:F,F76)</f>
        <v>1</v>
      </c>
      <c r="F76" s="21" t="str">
        <f>VLOOKUP($A76,Constants!$D:$F,3,false)</f>
        <v>DeuteronMassEnergyEquivalent</v>
      </c>
      <c r="G76" s="43" t="str">
        <f t="shared" si="1"/>
        <v>3.00506323102e-10</v>
      </c>
      <c r="H76" s="43">
        <f t="shared" si="2"/>
        <v>0.0000000003005063231</v>
      </c>
      <c r="I76" s="43" t="str">
        <f t="shared" si="3"/>
        <v>0.00000000091e-10</v>
      </c>
      <c r="J76" s="44">
        <f t="shared" si="4"/>
        <v>0</v>
      </c>
      <c r="K76" s="43" t="b">
        <f t="shared" si="5"/>
        <v>0</v>
      </c>
      <c r="L76" s="21" t="str">
        <f>IFERROR(__xludf.DUMMYFUNCTION("if(regexmatch(B76,""e(.*)$""),regexextract(B76,""e(.*)$""),"""")"),"-10")</f>
        <v>-10</v>
      </c>
      <c r="M76" s="45"/>
      <c r="N76" s="45">
        <f>countif(Constants!F:F,F76)</f>
        <v>1</v>
      </c>
      <c r="O76" s="21" t="str">
        <f>VLOOKUP($A76,Constants!$D:$D,1,false)</f>
        <v>deuteron mass energy equivalent</v>
      </c>
    </row>
    <row r="77">
      <c r="A77" s="6" t="s">
        <v>908</v>
      </c>
      <c r="B77" s="6" t="s">
        <v>2864</v>
      </c>
      <c r="C77" s="6" t="s">
        <v>2865</v>
      </c>
      <c r="D77" s="6" t="s">
        <v>548</v>
      </c>
      <c r="E77" s="42">
        <f>countif(Constants!F:F,F77)</f>
        <v>1</v>
      </c>
      <c r="F77" s="21" t="str">
        <f>VLOOKUP($A77,Constants!$D:$F,3,false)</f>
        <v>DeuteronMassEnergyEquivalentInMeV</v>
      </c>
      <c r="G77" s="43" t="str">
        <f t="shared" si="1"/>
        <v>1875.61294257</v>
      </c>
      <c r="H77" s="43">
        <f t="shared" si="2"/>
        <v>1875.612943</v>
      </c>
      <c r="I77" s="43" t="str">
        <f t="shared" si="3"/>
        <v>0.00000057</v>
      </c>
      <c r="J77" s="44">
        <f t="shared" si="4"/>
        <v>0.00000057</v>
      </c>
      <c r="K77" s="43" t="b">
        <f t="shared" si="5"/>
        <v>0</v>
      </c>
      <c r="L77" s="21" t="str">
        <f>IFERROR(__xludf.DUMMYFUNCTION("if(regexmatch(B77,""e(.*)$""),regexextract(B77,""e(.*)$""),"""")"),"")</f>
        <v/>
      </c>
      <c r="M77" s="45"/>
      <c r="N77" s="45">
        <f>countif(Constants!F:F,F77)</f>
        <v>1</v>
      </c>
      <c r="O77" s="21" t="str">
        <f>VLOOKUP($A77,Constants!$D:$D,1,false)</f>
        <v>deuteron mass energy equivalent in MeV</v>
      </c>
    </row>
    <row r="78">
      <c r="A78" s="6" t="s">
        <v>911</v>
      </c>
      <c r="B78" s="6" t="s">
        <v>2866</v>
      </c>
      <c r="C78" s="6" t="s">
        <v>2867</v>
      </c>
      <c r="D78" s="6" t="s">
        <v>553</v>
      </c>
      <c r="E78" s="42">
        <f>countif(Constants!F:F,F78)</f>
        <v>1</v>
      </c>
      <c r="F78" s="21" t="str">
        <f>VLOOKUP($A78,Constants!$D:$F,3,false)</f>
        <v>DeuteronMassInAtomicMassUnit</v>
      </c>
      <c r="G78" s="43" t="str">
        <f t="shared" si="1"/>
        <v>2.013553212745</v>
      </c>
      <c r="H78" s="43">
        <f t="shared" si="2"/>
        <v>2.013553213</v>
      </c>
      <c r="I78" s="43" t="str">
        <f t="shared" si="3"/>
        <v>0.000000000040</v>
      </c>
      <c r="J78" s="44">
        <f t="shared" si="4"/>
        <v>0</v>
      </c>
      <c r="K78" s="43" t="b">
        <f t="shared" si="5"/>
        <v>0</v>
      </c>
      <c r="L78" s="21" t="str">
        <f>IFERROR(__xludf.DUMMYFUNCTION("if(regexmatch(B78,""e(.*)$""),regexextract(B78,""e(.*)$""),"""")"),"")</f>
        <v/>
      </c>
      <c r="M78" s="45"/>
      <c r="N78" s="45">
        <f>countif(Constants!F:F,F78)</f>
        <v>1</v>
      </c>
      <c r="O78" s="21" t="str">
        <f>VLOOKUP($A78,Constants!$D:$D,1,false)</f>
        <v>deuteron mass in u</v>
      </c>
    </row>
    <row r="79">
      <c r="A79" s="6" t="s">
        <v>914</v>
      </c>
      <c r="B79" s="6" t="s">
        <v>2868</v>
      </c>
      <c r="C79" s="6" t="s">
        <v>2869</v>
      </c>
      <c r="D79" s="6" t="s">
        <v>557</v>
      </c>
      <c r="E79" s="42">
        <f>countif(Constants!F:F,F79)</f>
        <v>1</v>
      </c>
      <c r="F79" s="21" t="str">
        <f>VLOOKUP($A79,Constants!$D:$F,3,false)</f>
        <v>DeuteronMolarMass</v>
      </c>
      <c r="G79" s="43" t="str">
        <f t="shared" si="1"/>
        <v>2.01355321205e-3</v>
      </c>
      <c r="H79" s="43">
        <f t="shared" si="2"/>
        <v>0.002013553212</v>
      </c>
      <c r="I79" s="43" t="str">
        <f t="shared" si="3"/>
        <v>0.00000000061e-3</v>
      </c>
      <c r="J79" s="44">
        <f t="shared" si="4"/>
        <v>0</v>
      </c>
      <c r="K79" s="43" t="b">
        <f t="shared" si="5"/>
        <v>0</v>
      </c>
      <c r="L79" s="21" t="str">
        <f>IFERROR(__xludf.DUMMYFUNCTION("if(regexmatch(B79,""e(.*)$""),regexextract(B79,""e(.*)$""),"""")"),"-3")</f>
        <v>-3</v>
      </c>
      <c r="M79" s="45"/>
      <c r="N79" s="45">
        <f>countif(Constants!F:F,F79)</f>
        <v>1</v>
      </c>
      <c r="O79" s="21" t="str">
        <f>VLOOKUP($A79,Constants!$D:$D,1,false)</f>
        <v>deuteron molar mass</v>
      </c>
    </row>
    <row r="80">
      <c r="A80" s="6" t="s">
        <v>918</v>
      </c>
      <c r="B80" s="6" t="s">
        <v>2870</v>
      </c>
      <c r="C80" s="6" t="s">
        <v>2352</v>
      </c>
      <c r="E80" s="42">
        <f>countif(Constants!F:F,F80)</f>
        <v>1</v>
      </c>
      <c r="F80" s="21" t="str">
        <f>VLOOKUP($A80,Constants!$D:$F,3,false)</f>
        <v>DeuteronNeutronMagneticMomentRatio</v>
      </c>
      <c r="G80" s="43" t="str">
        <f t="shared" si="1"/>
        <v>-0.44820653</v>
      </c>
      <c r="H80" s="43">
        <f t="shared" si="2"/>
        <v>-0.44820653</v>
      </c>
      <c r="I80" s="43" t="str">
        <f t="shared" si="3"/>
        <v>0.00000011</v>
      </c>
      <c r="J80" s="44">
        <f t="shared" si="4"/>
        <v>0.00000011</v>
      </c>
      <c r="K80" s="43" t="b">
        <f t="shared" si="5"/>
        <v>0</v>
      </c>
      <c r="L80" s="21" t="str">
        <f>IFERROR(__xludf.DUMMYFUNCTION("if(regexmatch(B80,""e(.*)$""),regexextract(B80,""e(.*)$""),"""")"),"")</f>
        <v/>
      </c>
      <c r="M80" s="45"/>
      <c r="N80" s="45">
        <f>countif(Constants!F:F,F80)</f>
        <v>1</v>
      </c>
      <c r="O80" s="21" t="str">
        <f>VLOOKUP($A80,Constants!$D:$D,1,false)</f>
        <v>deuteron-neutron mag. mom. ratio</v>
      </c>
    </row>
    <row r="81">
      <c r="A81" s="6" t="s">
        <v>923</v>
      </c>
      <c r="B81" s="6" t="s">
        <v>2871</v>
      </c>
      <c r="C81" s="6" t="s">
        <v>2354</v>
      </c>
      <c r="E81" s="42">
        <f>countif(Constants!F:F,F81)</f>
        <v>1</v>
      </c>
      <c r="F81" s="21" t="str">
        <f>VLOOKUP($A81,Constants!$D:$F,3,false)</f>
        <v>DeuteronProtonMagneticMomentRatio</v>
      </c>
      <c r="G81" s="43" t="str">
        <f t="shared" si="1"/>
        <v>0.30701220939</v>
      </c>
      <c r="H81" s="43">
        <f t="shared" si="2"/>
        <v>0.3070122094</v>
      </c>
      <c r="I81" s="43" t="str">
        <f t="shared" si="3"/>
        <v>0.00000000079</v>
      </c>
      <c r="J81" s="44">
        <f t="shared" si="4"/>
        <v>0.00000000079</v>
      </c>
      <c r="K81" s="43" t="b">
        <f t="shared" si="5"/>
        <v>0</v>
      </c>
      <c r="L81" s="21" t="str">
        <f>IFERROR(__xludf.DUMMYFUNCTION("if(regexmatch(B81,""e(.*)$""),regexextract(B81,""e(.*)$""),"""")"),"")</f>
        <v/>
      </c>
      <c r="M81" s="45"/>
      <c r="N81" s="45">
        <f>countif(Constants!F:F,F81)</f>
        <v>1</v>
      </c>
      <c r="O81" s="21" t="str">
        <f>VLOOKUP($A81,Constants!$D:$D,1,false)</f>
        <v>deuteron-proton mag. mom. ratio</v>
      </c>
    </row>
    <row r="82">
      <c r="A82" s="6" t="s">
        <v>928</v>
      </c>
      <c r="B82" s="6" t="s">
        <v>2872</v>
      </c>
      <c r="C82" s="6" t="s">
        <v>2873</v>
      </c>
      <c r="E82" s="42">
        <f>countif(Constants!F:F,F82)</f>
        <v>1</v>
      </c>
      <c r="F82" s="21" t="str">
        <f>VLOOKUP($A82,Constants!$D:$F,3,false)</f>
        <v>DeuteronProtonMassRatio</v>
      </c>
      <c r="G82" s="43" t="str">
        <f t="shared" si="1"/>
        <v>1.99900750139</v>
      </c>
      <c r="H82" s="43">
        <f t="shared" si="2"/>
        <v>1.999007501</v>
      </c>
      <c r="I82" s="43" t="str">
        <f t="shared" si="3"/>
        <v>0.00000000011</v>
      </c>
      <c r="J82" s="44">
        <f t="shared" si="4"/>
        <v>0.00000000011</v>
      </c>
      <c r="K82" s="43" t="b">
        <f t="shared" si="5"/>
        <v>0</v>
      </c>
      <c r="L82" s="21" t="str">
        <f>IFERROR(__xludf.DUMMYFUNCTION("if(regexmatch(B82,""e(.*)$""),regexextract(B82,""e(.*)$""),"""")"),"")</f>
        <v/>
      </c>
      <c r="M82" s="45"/>
      <c r="N82" s="45">
        <f>countif(Constants!F:F,F82)</f>
        <v>1</v>
      </c>
      <c r="O82" s="21" t="str">
        <f>VLOOKUP($A82,Constants!$D:$D,1,false)</f>
        <v>deuteron-proton mass ratio</v>
      </c>
    </row>
    <row r="83">
      <c r="A83" s="6" t="s">
        <v>933</v>
      </c>
      <c r="B83" s="6" t="s">
        <v>2866</v>
      </c>
      <c r="C83" s="6" t="s">
        <v>2867</v>
      </c>
      <c r="E83" s="42">
        <f>countif(Constants!F:F,F83)</f>
        <v>1</v>
      </c>
      <c r="F83" s="21" t="str">
        <f>VLOOKUP($A83,Constants!$D:$F,3,false)</f>
        <v>DeuteronRelativeAtomicMass</v>
      </c>
      <c r="G83" s="43" t="str">
        <f t="shared" si="1"/>
        <v>2.013553212745</v>
      </c>
      <c r="H83" s="43">
        <f t="shared" si="2"/>
        <v>2.013553213</v>
      </c>
      <c r="I83" s="43" t="str">
        <f t="shared" si="3"/>
        <v>0.000000000040</v>
      </c>
      <c r="J83" s="44">
        <f t="shared" si="4"/>
        <v>0</v>
      </c>
      <c r="K83" s="43" t="b">
        <f t="shared" si="5"/>
        <v>0</v>
      </c>
      <c r="L83" s="21" t="str">
        <f>IFERROR(__xludf.DUMMYFUNCTION("if(regexmatch(B83,""e(.*)$""),regexextract(B83,""e(.*)$""),"""")"),"")</f>
        <v/>
      </c>
      <c r="M83" s="45"/>
      <c r="N83" s="45">
        <f>countif(Constants!F:F,F83)</f>
        <v>1</v>
      </c>
      <c r="O83" s="21" t="str">
        <f>VLOOKUP($A83,Constants!$D:$D,1,false)</f>
        <v>deuteron relative atomic mass</v>
      </c>
    </row>
    <row r="84">
      <c r="A84" s="6" t="s">
        <v>936</v>
      </c>
      <c r="B84" s="6" t="s">
        <v>2874</v>
      </c>
      <c r="C84" s="6" t="s">
        <v>2875</v>
      </c>
      <c r="D84" s="6" t="s">
        <v>571</v>
      </c>
      <c r="E84" s="42">
        <f>countif(Constants!F:F,F84)</f>
        <v>1</v>
      </c>
      <c r="F84" s="21" t="str">
        <f>VLOOKUP($A84,Constants!$D:$F,3,false)</f>
        <v>DeuteronRmsChargeRadius</v>
      </c>
      <c r="G84" s="43" t="str">
        <f t="shared" si="1"/>
        <v>2.12799e-15</v>
      </c>
      <c r="H84" s="43">
        <f t="shared" si="2"/>
        <v>0</v>
      </c>
      <c r="I84" s="43" t="str">
        <f t="shared" si="3"/>
        <v>0.00074e-15</v>
      </c>
      <c r="J84" s="44">
        <f t="shared" si="4"/>
        <v>0</v>
      </c>
      <c r="K84" s="43" t="b">
        <f t="shared" si="5"/>
        <v>0</v>
      </c>
      <c r="L84" s="21" t="str">
        <f>IFERROR(__xludf.DUMMYFUNCTION("if(regexmatch(B84,""e(.*)$""),regexextract(B84,""e(.*)$""),"""")"),"-15")</f>
        <v>-15</v>
      </c>
      <c r="M84" s="45"/>
      <c r="N84" s="45">
        <f>countif(Constants!F:F,F84)</f>
        <v>1</v>
      </c>
      <c r="O84" s="21" t="str">
        <f>VLOOKUP($A84,Constants!$D:$D,1,false)</f>
        <v>deuteron rms charge radius</v>
      </c>
    </row>
    <row r="85">
      <c r="A85" s="6" t="s">
        <v>940</v>
      </c>
      <c r="B85" s="6" t="s">
        <v>2876</v>
      </c>
      <c r="C85" s="6" t="s">
        <v>2877</v>
      </c>
      <c r="D85" s="6" t="s">
        <v>941</v>
      </c>
      <c r="E85" s="42">
        <f>countif(Constants!F:F,F85)</f>
        <v>1</v>
      </c>
      <c r="F85" s="21" t="str">
        <f>VLOOKUP($A85,Constants!$D:$F,3,false)</f>
        <v>ElectronChargeToMassQuotient</v>
      </c>
      <c r="G85" s="43" t="str">
        <f t="shared" si="1"/>
        <v>-1.75882001076e11</v>
      </c>
      <c r="H85" s="43">
        <f t="shared" si="2"/>
        <v>-175882001076</v>
      </c>
      <c r="I85" s="43" t="str">
        <f t="shared" si="3"/>
        <v>0.00000000053e11</v>
      </c>
      <c r="J85" s="44">
        <f t="shared" si="4"/>
        <v>53</v>
      </c>
      <c r="K85" s="43" t="b">
        <f t="shared" si="5"/>
        <v>0</v>
      </c>
      <c r="L85" s="21" t="str">
        <f>IFERROR(__xludf.DUMMYFUNCTION("if(regexmatch(B85,""e(.*)$""),regexextract(B85,""e(.*)$""),"""")"),"11")</f>
        <v>11</v>
      </c>
      <c r="M85" s="45"/>
      <c r="N85" s="45">
        <f>countif(Constants!F:F,F85)</f>
        <v>1</v>
      </c>
      <c r="O85" s="21" t="str">
        <f>VLOOKUP($A85,Constants!$D:$D,1,false)</f>
        <v>electron charge to mass quotient</v>
      </c>
    </row>
    <row r="86">
      <c r="A86" s="6" t="s">
        <v>946</v>
      </c>
      <c r="B86" s="6" t="s">
        <v>2878</v>
      </c>
      <c r="C86" s="6" t="s">
        <v>2362</v>
      </c>
      <c r="E86" s="42">
        <f>countif(Constants!F:F,F86)</f>
        <v>1</v>
      </c>
      <c r="F86" s="21" t="str">
        <f>VLOOKUP($A86,Constants!$D:$F,3,false)</f>
        <v>ElectronDeuteronMagneticMomentRatio</v>
      </c>
      <c r="G86" s="43" t="str">
        <f t="shared" si="1"/>
        <v>-2143.9234915</v>
      </c>
      <c r="H86" s="43">
        <f t="shared" si="2"/>
        <v>-2143.923492</v>
      </c>
      <c r="I86" s="43" t="str">
        <f t="shared" si="3"/>
        <v>0.0000056</v>
      </c>
      <c r="J86" s="44">
        <f t="shared" si="4"/>
        <v>0.0000056</v>
      </c>
      <c r="K86" s="43" t="b">
        <f t="shared" si="5"/>
        <v>0</v>
      </c>
      <c r="L86" s="21" t="str">
        <f>IFERROR(__xludf.DUMMYFUNCTION("if(regexmatch(B86,""e(.*)$""),regexextract(B86,""e(.*)$""),"""")"),"")</f>
        <v/>
      </c>
      <c r="M86" s="45"/>
      <c r="N86" s="45">
        <f>countif(Constants!F:F,F86)</f>
        <v>1</v>
      </c>
      <c r="O86" s="21" t="str">
        <f>VLOOKUP($A86,Constants!$D:$D,1,false)</f>
        <v>electron-deuteron mag. mom. ratio</v>
      </c>
    </row>
    <row r="87">
      <c r="A87" s="6" t="s">
        <v>951</v>
      </c>
      <c r="B87" s="6" t="s">
        <v>2879</v>
      </c>
      <c r="C87" s="6" t="s">
        <v>2880</v>
      </c>
      <c r="E87" s="42">
        <f>countif(Constants!F:F,F87)</f>
        <v>1</v>
      </c>
      <c r="F87" s="21" t="str">
        <f>VLOOKUP($A87,Constants!$D:$F,3,false)</f>
        <v>ElectronDeuteronMassRatio</v>
      </c>
      <c r="G87" s="43" t="str">
        <f t="shared" si="1"/>
        <v>2.724437107462e-4</v>
      </c>
      <c r="H87" s="43">
        <f t="shared" si="2"/>
        <v>0.0002724437107</v>
      </c>
      <c r="I87" s="43" t="str">
        <f t="shared" si="3"/>
        <v>0.000000000096e-4</v>
      </c>
      <c r="J87" s="44">
        <f t="shared" si="4"/>
        <v>0</v>
      </c>
      <c r="K87" s="43" t="b">
        <f t="shared" si="5"/>
        <v>0</v>
      </c>
      <c r="L87" s="21" t="str">
        <f>IFERROR(__xludf.DUMMYFUNCTION("if(regexmatch(B87,""e(.*)$""),regexextract(B87,""e(.*)$""),"""")"),"-4")</f>
        <v>-4</v>
      </c>
      <c r="M87" s="45"/>
      <c r="N87" s="45">
        <f>countif(Constants!F:F,F87)</f>
        <v>1</v>
      </c>
      <c r="O87" s="21" t="str">
        <f>VLOOKUP($A87,Constants!$D:$D,1,false)</f>
        <v>electron-deuteron mass ratio</v>
      </c>
    </row>
    <row r="88">
      <c r="A88" s="6" t="s">
        <v>956</v>
      </c>
      <c r="B88" s="6" t="s">
        <v>2881</v>
      </c>
      <c r="C88" s="6" t="s">
        <v>2882</v>
      </c>
      <c r="E88" s="42">
        <f>countif(Constants!F:F,F88)</f>
        <v>1</v>
      </c>
      <c r="F88" s="21" t="str">
        <f>VLOOKUP($A88,Constants!$D:$F,3,false)</f>
        <v>ElectronGFactor</v>
      </c>
      <c r="G88" s="43" t="str">
        <f t="shared" si="1"/>
        <v>-2.00231930436256</v>
      </c>
      <c r="H88" s="43">
        <f t="shared" si="2"/>
        <v>-2.002319304</v>
      </c>
      <c r="I88" s="43" t="str">
        <f t="shared" si="3"/>
        <v>0.00000000000035</v>
      </c>
      <c r="J88" s="44">
        <f t="shared" si="4"/>
        <v>0</v>
      </c>
      <c r="K88" s="43" t="b">
        <f t="shared" si="5"/>
        <v>0</v>
      </c>
      <c r="L88" s="21" t="str">
        <f>IFERROR(__xludf.DUMMYFUNCTION("if(regexmatch(B88,""e(.*)$""),regexextract(B88,""e(.*)$""),"""")"),"")</f>
        <v/>
      </c>
      <c r="M88" s="45"/>
      <c r="N88" s="45">
        <f>countif(Constants!F:F,F88)</f>
        <v>1</v>
      </c>
      <c r="O88" s="21" t="str">
        <f>VLOOKUP($A88,Constants!$D:$D,1,false)</f>
        <v>electron g factor</v>
      </c>
    </row>
    <row r="89">
      <c r="A89" s="6" t="s">
        <v>960</v>
      </c>
      <c r="B89" s="6" t="s">
        <v>2883</v>
      </c>
      <c r="C89" s="6" t="s">
        <v>2877</v>
      </c>
      <c r="D89" s="6" t="s">
        <v>961</v>
      </c>
      <c r="E89" s="42">
        <f>countif(Constants!F:F,F89)</f>
        <v>1</v>
      </c>
      <c r="F89" s="21" t="str">
        <f>VLOOKUP($A89,Constants!$D:$F,3,false)</f>
        <v>ElectronGyromagneticRatio</v>
      </c>
      <c r="G89" s="43" t="str">
        <f t="shared" si="1"/>
        <v>1.76085963023e11</v>
      </c>
      <c r="H89" s="43">
        <f t="shared" si="2"/>
        <v>176085963023</v>
      </c>
      <c r="I89" s="43" t="str">
        <f t="shared" si="3"/>
        <v>0.00000000053e11</v>
      </c>
      <c r="J89" s="44">
        <f t="shared" si="4"/>
        <v>53</v>
      </c>
      <c r="K89" s="43" t="b">
        <f t="shared" si="5"/>
        <v>0</v>
      </c>
      <c r="L89" s="21" t="str">
        <f>IFERROR(__xludf.DUMMYFUNCTION("if(regexmatch(B89,""e(.*)$""),regexextract(B89,""e(.*)$""),"""")"),"11")</f>
        <v>11</v>
      </c>
      <c r="M89" s="45"/>
      <c r="N89" s="45">
        <f>countif(Constants!F:F,F89)</f>
        <v>1</v>
      </c>
      <c r="O89" s="21" t="str">
        <f>VLOOKUP($A89,Constants!$D:$D,1,false)</f>
        <v>electron gyromag. ratio</v>
      </c>
    </row>
    <row r="90">
      <c r="A90" s="6" t="s">
        <v>968</v>
      </c>
      <c r="B90" s="6" t="s">
        <v>2884</v>
      </c>
      <c r="C90" s="6" t="s">
        <v>2885</v>
      </c>
      <c r="D90" s="6" t="s">
        <v>969</v>
      </c>
      <c r="E90" s="42">
        <f>countif(Constants!F:F,F90)</f>
        <v>1</v>
      </c>
      <c r="F90" s="21" t="str">
        <f>VLOOKUP($A90,Constants!$D:$F,3,false)</f>
        <v>ElectronGyromagneticRatioOver2Pi</v>
      </c>
      <c r="G90" s="43" t="str">
        <f t="shared" si="1"/>
        <v>28024.9514242</v>
      </c>
      <c r="H90" s="43">
        <f t="shared" si="2"/>
        <v>28024.95142</v>
      </c>
      <c r="I90" s="43" t="str">
        <f t="shared" si="3"/>
        <v>0.0000085</v>
      </c>
      <c r="J90" s="44">
        <f t="shared" si="4"/>
        <v>0.0000085</v>
      </c>
      <c r="K90" s="43" t="b">
        <f t="shared" si="5"/>
        <v>0</v>
      </c>
      <c r="L90" s="21" t="str">
        <f>IFERROR(__xludf.DUMMYFUNCTION("if(regexmatch(B90,""e(.*)$""),regexextract(B90,""e(.*)$""),"""")"),"")</f>
        <v/>
      </c>
      <c r="M90" s="45"/>
      <c r="N90" s="45">
        <f>countif(Constants!F:F,F90)</f>
        <v>1</v>
      </c>
      <c r="O90" s="21" t="str">
        <f>VLOOKUP($A90,Constants!$D:$D,1,false)</f>
        <v>electron gyromag. ratio in MHz/T</v>
      </c>
    </row>
    <row r="91">
      <c r="A91" s="6" t="s">
        <v>975</v>
      </c>
      <c r="B91" s="6" t="s">
        <v>2886</v>
      </c>
      <c r="C91" s="6" t="s">
        <v>2887</v>
      </c>
      <c r="E91" s="42">
        <f>countif(Constants!F:F,F91)</f>
        <v>1</v>
      </c>
      <c r="F91" s="21" t="str">
        <f>VLOOKUP($A91,Constants!$D:$F,3,false)</f>
        <v>Electron-HelionMassRatio</v>
      </c>
      <c r="G91" s="43" t="str">
        <f t="shared" si="1"/>
        <v>1.819543074573e-4</v>
      </c>
      <c r="H91" s="43">
        <f t="shared" si="2"/>
        <v>0.0001819543075</v>
      </c>
      <c r="I91" s="43" t="str">
        <f t="shared" si="3"/>
        <v>0.000000000079e-4</v>
      </c>
      <c r="J91" s="44">
        <f t="shared" si="4"/>
        <v>0</v>
      </c>
      <c r="K91" s="43" t="b">
        <f t="shared" si="5"/>
        <v>0</v>
      </c>
      <c r="L91" s="21" t="str">
        <f>IFERROR(__xludf.DUMMYFUNCTION("if(regexmatch(B91,""e(.*)$""),regexextract(B91,""e(.*)$""),"""")"),"-4")</f>
        <v>-4</v>
      </c>
      <c r="M91" s="45"/>
      <c r="N91" s="45">
        <f>countif(Constants!F:F,F91)</f>
        <v>1</v>
      </c>
      <c r="O91" s="21" t="str">
        <f>VLOOKUP($A91,Constants!$D:$D,1,false)</f>
        <v>electron-helion mass ratio</v>
      </c>
    </row>
    <row r="92">
      <c r="A92" s="6" t="s">
        <v>979</v>
      </c>
      <c r="B92" s="6" t="s">
        <v>2888</v>
      </c>
      <c r="C92" s="6" t="s">
        <v>2828</v>
      </c>
      <c r="D92" s="6" t="s">
        <v>714</v>
      </c>
      <c r="E92" s="42">
        <f>countif(Constants!F:F,F92)</f>
        <v>1</v>
      </c>
      <c r="F92" s="21" t="str">
        <f>VLOOKUP($A92,Constants!$D:$F,3,false)</f>
        <v>ElectronMagneticMoment</v>
      </c>
      <c r="G92" s="43" t="str">
        <f t="shared" si="1"/>
        <v>-9.2847647043e-24</v>
      </c>
      <c r="H92" s="43">
        <f t="shared" si="2"/>
        <v>0</v>
      </c>
      <c r="I92" s="43" t="str">
        <f t="shared" si="3"/>
        <v>0.0000000028e-24</v>
      </c>
      <c r="J92" s="44">
        <f t="shared" si="4"/>
        <v>0</v>
      </c>
      <c r="K92" s="43" t="b">
        <f t="shared" si="5"/>
        <v>0</v>
      </c>
      <c r="L92" s="21" t="str">
        <f>IFERROR(__xludf.DUMMYFUNCTION("if(regexmatch(B92,""e(.*)$""),regexextract(B92,""e(.*)$""),"""")"),"-24")</f>
        <v>-24</v>
      </c>
      <c r="M92" s="45"/>
      <c r="N92" s="45">
        <f>countif(Constants!F:F,F92)</f>
        <v>1</v>
      </c>
      <c r="O92" s="21" t="str">
        <f>VLOOKUP($A92,Constants!$D:$D,1,false)</f>
        <v>electron mag. mom.</v>
      </c>
    </row>
    <row r="93">
      <c r="A93" s="6" t="s">
        <v>984</v>
      </c>
      <c r="B93" s="6" t="s">
        <v>2889</v>
      </c>
      <c r="C93" s="6" t="s">
        <v>2374</v>
      </c>
      <c r="E93" s="42">
        <f>countif(Constants!F:F,F93)</f>
        <v>1</v>
      </c>
      <c r="F93" s="21" t="str">
        <f>VLOOKUP($A93,Constants!$D:$F,3,false)</f>
        <v>ElectronMagneticMomentAnomaly</v>
      </c>
      <c r="G93" s="43" t="str">
        <f t="shared" si="1"/>
        <v>1.15965218128e-3</v>
      </c>
      <c r="H93" s="43">
        <f t="shared" si="2"/>
        <v>0.001159652181</v>
      </c>
      <c r="I93" s="43" t="str">
        <f t="shared" si="3"/>
        <v>0.00000000018e-3</v>
      </c>
      <c r="J93" s="44">
        <f t="shared" si="4"/>
        <v>0</v>
      </c>
      <c r="K93" s="43" t="b">
        <f t="shared" si="5"/>
        <v>0</v>
      </c>
      <c r="L93" s="21" t="str">
        <f>IFERROR(__xludf.DUMMYFUNCTION("if(regexmatch(B93,""e(.*)$""),regexextract(B93,""e(.*)$""),"""")"),"-3")</f>
        <v>-3</v>
      </c>
      <c r="M93" s="45"/>
      <c r="N93" s="45">
        <f>countif(Constants!F:F,F93)</f>
        <v>1</v>
      </c>
      <c r="O93" s="21" t="str">
        <f>VLOOKUP($A93,Constants!$D:$D,1,false)</f>
        <v>electron mag. mom. anomaly</v>
      </c>
    </row>
    <row r="94">
      <c r="A94" s="6" t="s">
        <v>989</v>
      </c>
      <c r="B94" s="6" t="s">
        <v>2890</v>
      </c>
      <c r="C94" s="6" t="s">
        <v>2376</v>
      </c>
      <c r="E94" s="42">
        <f>countif(Constants!F:F,F94)</f>
        <v>1</v>
      </c>
      <c r="F94" s="21" t="str">
        <f>VLOOKUP($A94,Constants!$D:$F,3,false)</f>
        <v>ElectronMagneticMomentToBohrMagnetonRatio</v>
      </c>
      <c r="G94" s="43" t="str">
        <f t="shared" si="1"/>
        <v>-1.00115965218128</v>
      </c>
      <c r="H94" s="43">
        <f t="shared" si="2"/>
        <v>-1.001159652</v>
      </c>
      <c r="I94" s="43" t="str">
        <f t="shared" si="3"/>
        <v>0.00000000000018</v>
      </c>
      <c r="J94" s="44">
        <f t="shared" si="4"/>
        <v>0</v>
      </c>
      <c r="K94" s="43" t="b">
        <f t="shared" si="5"/>
        <v>0</v>
      </c>
      <c r="L94" s="21" t="str">
        <f>IFERROR(__xludf.DUMMYFUNCTION("if(regexmatch(B94,""e(.*)$""),regexextract(B94,""e(.*)$""),"""")"),"")</f>
        <v/>
      </c>
      <c r="M94" s="45"/>
      <c r="N94" s="45">
        <f>countif(Constants!F:F,F94)</f>
        <v>1</v>
      </c>
      <c r="O94" s="21" t="str">
        <f>VLOOKUP($A94,Constants!$D:$D,1,false)</f>
        <v>electron mag. mom. to Bohr magneton ratio</v>
      </c>
    </row>
    <row r="95">
      <c r="A95" s="6" t="s">
        <v>994</v>
      </c>
      <c r="B95" s="6" t="s">
        <v>2891</v>
      </c>
      <c r="C95" s="6" t="s">
        <v>2352</v>
      </c>
      <c r="E95" s="42">
        <f>countif(Constants!F:F,F95)</f>
        <v>1</v>
      </c>
      <c r="F95" s="21" t="str">
        <f>VLOOKUP($A95,Constants!$D:$F,3,false)</f>
        <v>ElectronMagneticMomentToNuclearMagnetonRatio</v>
      </c>
      <c r="G95" s="43" t="str">
        <f t="shared" si="1"/>
        <v>-1838.28197188</v>
      </c>
      <c r="H95" s="43">
        <f t="shared" si="2"/>
        <v>-1838.281972</v>
      </c>
      <c r="I95" s="43" t="str">
        <f t="shared" si="3"/>
        <v>0.00000011</v>
      </c>
      <c r="J95" s="44">
        <f t="shared" si="4"/>
        <v>0.00000011</v>
      </c>
      <c r="K95" s="43" t="b">
        <f t="shared" si="5"/>
        <v>0</v>
      </c>
      <c r="L95" s="21" t="str">
        <f>IFERROR(__xludf.DUMMYFUNCTION("if(regexmatch(B95,""e(.*)$""),regexextract(B95,""e(.*)$""),"""")"),"")</f>
        <v/>
      </c>
      <c r="M95" s="45"/>
      <c r="N95" s="45">
        <f>countif(Constants!F:F,F95)</f>
        <v>1</v>
      </c>
      <c r="O95" s="21" t="str">
        <f>VLOOKUP($A95,Constants!$D:$D,1,false)</f>
        <v>electron mag. mom. to nuclear magneton ratio</v>
      </c>
    </row>
    <row r="96">
      <c r="A96" s="6" t="s">
        <v>999</v>
      </c>
      <c r="B96" s="6" t="s">
        <v>2818</v>
      </c>
      <c r="C96" s="6" t="s">
        <v>2292</v>
      </c>
      <c r="D96" s="6" t="s">
        <v>538</v>
      </c>
      <c r="E96" s="42">
        <f>countif(Constants!F:F,F96)</f>
        <v>1</v>
      </c>
      <c r="F96" s="21" t="str">
        <f>VLOOKUP($A96,Constants!$D:$F,3,false)</f>
        <v>ElectronMass</v>
      </c>
      <c r="G96" s="43" t="str">
        <f t="shared" si="1"/>
        <v>9.1093837015e-31</v>
      </c>
      <c r="H96" s="43">
        <f t="shared" si="2"/>
        <v>0</v>
      </c>
      <c r="I96" s="43" t="str">
        <f t="shared" si="3"/>
        <v>0.0000000028e-31</v>
      </c>
      <c r="J96" s="44">
        <f t="shared" si="4"/>
        <v>0</v>
      </c>
      <c r="K96" s="43" t="b">
        <f t="shared" si="5"/>
        <v>0</v>
      </c>
      <c r="L96" s="21" t="str">
        <f>IFERROR(__xludf.DUMMYFUNCTION("if(regexmatch(B96,""e(.*)$""),regexextract(B96,""e(.*)$""),"""")"),"-31")</f>
        <v>-31</v>
      </c>
      <c r="M96" s="45"/>
      <c r="N96" s="45">
        <f>countif(Constants!F:F,F96)</f>
        <v>1</v>
      </c>
      <c r="O96" s="21" t="str">
        <f>VLOOKUP($A96,Constants!$D:$D,1,false)</f>
        <v>electron mass</v>
      </c>
    </row>
    <row r="97">
      <c r="A97" s="6" t="s">
        <v>1004</v>
      </c>
      <c r="B97" s="6" t="s">
        <v>2892</v>
      </c>
      <c r="C97" s="6" t="s">
        <v>2893</v>
      </c>
      <c r="D97" s="6" t="s">
        <v>543</v>
      </c>
      <c r="E97" s="42">
        <f>countif(Constants!F:F,F97)</f>
        <v>1</v>
      </c>
      <c r="F97" s="21" t="str">
        <f>VLOOKUP($A97,Constants!$D:$F,3,false)</f>
        <v>ElectronMassEnergyEquivalent</v>
      </c>
      <c r="G97" s="43" t="str">
        <f t="shared" si="1"/>
        <v>8.1871057769e-14</v>
      </c>
      <c r="H97" s="43">
        <f t="shared" si="2"/>
        <v>0</v>
      </c>
      <c r="I97" s="43" t="str">
        <f t="shared" si="3"/>
        <v>0.0000000025e-14</v>
      </c>
      <c r="J97" s="44">
        <f t="shared" si="4"/>
        <v>0</v>
      </c>
      <c r="K97" s="43" t="b">
        <f t="shared" si="5"/>
        <v>0</v>
      </c>
      <c r="L97" s="21" t="str">
        <f>IFERROR(__xludf.DUMMYFUNCTION("if(regexmatch(B97,""e(.*)$""),regexextract(B97,""e(.*)$""),"""")"),"-14")</f>
        <v>-14</v>
      </c>
      <c r="M97" s="45"/>
      <c r="N97" s="45">
        <f>countif(Constants!F:F,F97)</f>
        <v>1</v>
      </c>
      <c r="O97" s="21" t="str">
        <f>VLOOKUP($A97,Constants!$D:$D,1,false)</f>
        <v>electron mass energy equivalent</v>
      </c>
    </row>
    <row r="98">
      <c r="A98" s="6" t="s">
        <v>1008</v>
      </c>
      <c r="B98" s="6" t="s">
        <v>2894</v>
      </c>
      <c r="C98" s="6" t="s">
        <v>2895</v>
      </c>
      <c r="D98" s="6" t="s">
        <v>548</v>
      </c>
      <c r="E98" s="42">
        <f>countif(Constants!F:F,F98)</f>
        <v>1</v>
      </c>
      <c r="F98" s="21" t="str">
        <f>VLOOKUP($A98,Constants!$D:$F,3,false)</f>
        <v>ElectronMassEnergyEquivalentInMeV</v>
      </c>
      <c r="G98" s="43" t="str">
        <f t="shared" si="1"/>
        <v>0.51099895000</v>
      </c>
      <c r="H98" s="43">
        <f t="shared" si="2"/>
        <v>0.51099895</v>
      </c>
      <c r="I98" s="43" t="str">
        <f t="shared" si="3"/>
        <v>0.00000000015</v>
      </c>
      <c r="J98" s="44">
        <f t="shared" si="4"/>
        <v>0.00000000015</v>
      </c>
      <c r="K98" s="43" t="b">
        <f t="shared" si="5"/>
        <v>0</v>
      </c>
      <c r="L98" s="21" t="str">
        <f>IFERROR(__xludf.DUMMYFUNCTION("if(regexmatch(B98,""e(.*)$""),regexextract(B98,""e(.*)$""),"""")"),"")</f>
        <v/>
      </c>
      <c r="M98" s="45"/>
      <c r="N98" s="45">
        <f>countif(Constants!F:F,F98)</f>
        <v>1</v>
      </c>
      <c r="O98" s="21" t="str">
        <f>VLOOKUP($A98,Constants!$D:$D,1,false)</f>
        <v>electron mass energy equivalent in MeV</v>
      </c>
    </row>
    <row r="99">
      <c r="A99" s="6" t="s">
        <v>1011</v>
      </c>
      <c r="B99" s="6" t="s">
        <v>2896</v>
      </c>
      <c r="C99" s="6" t="s">
        <v>2897</v>
      </c>
      <c r="D99" s="6" t="s">
        <v>553</v>
      </c>
      <c r="E99" s="42">
        <f>countif(Constants!F:F,F99)</f>
        <v>1</v>
      </c>
      <c r="F99" s="21" t="str">
        <f>VLOOKUP($A99,Constants!$D:$F,3,false)</f>
        <v>ElectronMassInAtomicMassUnit</v>
      </c>
      <c r="G99" s="43" t="str">
        <f t="shared" si="1"/>
        <v>5.48579909065e-4</v>
      </c>
      <c r="H99" s="43">
        <f t="shared" si="2"/>
        <v>0.0005485799091</v>
      </c>
      <c r="I99" s="43" t="str">
        <f t="shared" si="3"/>
        <v>0.00000000016e-4</v>
      </c>
      <c r="J99" s="44">
        <f t="shared" si="4"/>
        <v>0</v>
      </c>
      <c r="K99" s="43" t="b">
        <f t="shared" si="5"/>
        <v>0</v>
      </c>
      <c r="L99" s="21" t="str">
        <f>IFERROR(__xludf.DUMMYFUNCTION("if(regexmatch(B99,""e(.*)$""),regexextract(B99,""e(.*)$""),"""")"),"-4")</f>
        <v>-4</v>
      </c>
      <c r="M99" s="45"/>
      <c r="N99" s="45">
        <f>countif(Constants!F:F,F99)</f>
        <v>1</v>
      </c>
      <c r="O99" s="21" t="str">
        <f>VLOOKUP($A99,Constants!$D:$D,1,false)</f>
        <v>electron mass in u</v>
      </c>
    </row>
    <row r="100">
      <c r="A100" s="6" t="s">
        <v>1014</v>
      </c>
      <c r="B100" s="6" t="s">
        <v>2898</v>
      </c>
      <c r="C100" s="6" t="s">
        <v>2386</v>
      </c>
      <c r="D100" s="6" t="s">
        <v>557</v>
      </c>
      <c r="E100" s="42">
        <f>countif(Constants!F:F,F100)</f>
        <v>1</v>
      </c>
      <c r="F100" s="21" t="str">
        <f>VLOOKUP($A100,Constants!$D:$F,3,false)</f>
        <v>ElectronMolarMass</v>
      </c>
      <c r="G100" s="43" t="str">
        <f t="shared" si="1"/>
        <v>5.4857990888e-7</v>
      </c>
      <c r="H100" s="43">
        <f t="shared" si="2"/>
        <v>0.0000005485799089</v>
      </c>
      <c r="I100" s="43" t="str">
        <f t="shared" si="3"/>
        <v>0.0000000017e-7</v>
      </c>
      <c r="J100" s="44">
        <f t="shared" si="4"/>
        <v>0</v>
      </c>
      <c r="K100" s="43" t="b">
        <f t="shared" si="5"/>
        <v>0</v>
      </c>
      <c r="L100" s="21" t="str">
        <f>IFERROR(__xludf.DUMMYFUNCTION("if(regexmatch(B100,""e(.*)$""),regexextract(B100,""e(.*)$""),"""")"),"-7")</f>
        <v>-7</v>
      </c>
      <c r="M100" s="45"/>
      <c r="N100" s="45">
        <f>countif(Constants!F:F,F100)</f>
        <v>1</v>
      </c>
      <c r="O100" s="21" t="str">
        <f>VLOOKUP($A100,Constants!$D:$D,1,false)</f>
        <v>electron molar mass</v>
      </c>
    </row>
    <row r="101">
      <c r="A101" s="6" t="s">
        <v>1018</v>
      </c>
      <c r="B101" s="6" t="s">
        <v>2899</v>
      </c>
      <c r="C101" s="6" t="s">
        <v>2388</v>
      </c>
      <c r="E101" s="42">
        <f>countif(Constants!F:F,F101)</f>
        <v>1</v>
      </c>
      <c r="F101" s="21" t="str">
        <f>VLOOKUP($A101,Constants!$D:$F,3,false)</f>
        <v>ElectronMuonMagneticMomentRatio</v>
      </c>
      <c r="G101" s="43" t="str">
        <f t="shared" si="1"/>
        <v>206.7669883</v>
      </c>
      <c r="H101" s="43">
        <f t="shared" si="2"/>
        <v>206.7669883</v>
      </c>
      <c r="I101" s="43" t="str">
        <f t="shared" si="3"/>
        <v>0.0000046</v>
      </c>
      <c r="J101" s="44">
        <f t="shared" si="4"/>
        <v>0.0000046</v>
      </c>
      <c r="K101" s="43" t="b">
        <f t="shared" si="5"/>
        <v>0</v>
      </c>
      <c r="L101" s="21" t="str">
        <f>IFERROR(__xludf.DUMMYFUNCTION("if(regexmatch(B101,""e(.*)$""),regexextract(B101,""e(.*)$""),"""")"),"")</f>
        <v/>
      </c>
      <c r="M101" s="45"/>
      <c r="N101" s="45">
        <f>countif(Constants!F:F,F101)</f>
        <v>1</v>
      </c>
      <c r="O101" s="21" t="str">
        <f>VLOOKUP($A101,Constants!$D:$D,1,false)</f>
        <v>electron-muon mag. mom. ratio</v>
      </c>
    </row>
    <row r="102">
      <c r="A102" s="6" t="s">
        <v>1023</v>
      </c>
      <c r="B102" s="6" t="s">
        <v>2900</v>
      </c>
      <c r="C102" s="6" t="s">
        <v>2390</v>
      </c>
      <c r="E102" s="42">
        <f>countif(Constants!F:F,F102)</f>
        <v>1</v>
      </c>
      <c r="F102" s="21" t="str">
        <f>VLOOKUP($A102,Constants!$D:$F,3,false)</f>
        <v>ElectronMuonMassRatio</v>
      </c>
      <c r="G102" s="43" t="str">
        <f t="shared" si="1"/>
        <v>4.83633169e-3</v>
      </c>
      <c r="H102" s="43">
        <f t="shared" si="2"/>
        <v>0.00483633169</v>
      </c>
      <c r="I102" s="43" t="str">
        <f t="shared" si="3"/>
        <v>0.00000011e-3</v>
      </c>
      <c r="J102" s="44">
        <f t="shared" si="4"/>
        <v>0.00000000011</v>
      </c>
      <c r="K102" s="43" t="b">
        <f t="shared" si="5"/>
        <v>0</v>
      </c>
      <c r="L102" s="21" t="str">
        <f>IFERROR(__xludf.DUMMYFUNCTION("if(regexmatch(B102,""e(.*)$""),regexextract(B102,""e(.*)$""),"""")"),"-3")</f>
        <v>-3</v>
      </c>
      <c r="M102" s="45"/>
      <c r="N102" s="45">
        <f>countif(Constants!F:F,F102)</f>
        <v>1</v>
      </c>
      <c r="O102" s="21" t="str">
        <f>VLOOKUP($A102,Constants!$D:$D,1,false)</f>
        <v>electron-muon mass ratio</v>
      </c>
    </row>
    <row r="103">
      <c r="A103" s="6" t="s">
        <v>1028</v>
      </c>
      <c r="B103" s="6" t="s">
        <v>2901</v>
      </c>
      <c r="C103" s="6" t="s">
        <v>2392</v>
      </c>
      <c r="E103" s="42">
        <f>countif(Constants!F:F,F103)</f>
        <v>1</v>
      </c>
      <c r="F103" s="21" t="str">
        <f>VLOOKUP($A103,Constants!$D:$F,3,false)</f>
        <v>ElectronNeutronMagneticMomentRatio</v>
      </c>
      <c r="G103" s="43" t="str">
        <f t="shared" si="1"/>
        <v>960.92050</v>
      </c>
      <c r="H103" s="43">
        <f t="shared" si="2"/>
        <v>960.9205</v>
      </c>
      <c r="I103" s="43" t="str">
        <f t="shared" si="3"/>
        <v>0.00023</v>
      </c>
      <c r="J103" s="44">
        <f t="shared" si="4"/>
        <v>0.00023</v>
      </c>
      <c r="K103" s="43" t="b">
        <f t="shared" si="5"/>
        <v>0</v>
      </c>
      <c r="L103" s="21" t="str">
        <f>IFERROR(__xludf.DUMMYFUNCTION("if(regexmatch(B103,""e(.*)$""),regexextract(B103,""e(.*)$""),"""")"),"")</f>
        <v/>
      </c>
      <c r="M103" s="45"/>
      <c r="N103" s="45">
        <f>countif(Constants!F:F,F103)</f>
        <v>1</v>
      </c>
      <c r="O103" s="21" t="str">
        <f>VLOOKUP($A103,Constants!$D:$D,1,false)</f>
        <v>electron-neutron mag. mom. ratio</v>
      </c>
    </row>
    <row r="104">
      <c r="A104" s="6" t="s">
        <v>1033</v>
      </c>
      <c r="B104" s="6" t="s">
        <v>2902</v>
      </c>
      <c r="C104" s="6" t="s">
        <v>2903</v>
      </c>
      <c r="E104" s="42">
        <f>countif(Constants!F:F,F104)</f>
        <v>1</v>
      </c>
      <c r="F104" s="21" t="str">
        <f>VLOOKUP($A104,Constants!$D:$F,3,false)</f>
        <v>ElectronNeutronMassRatio</v>
      </c>
      <c r="G104" s="43" t="str">
        <f t="shared" si="1"/>
        <v>5.4386734424e-4</v>
      </c>
      <c r="H104" s="43">
        <f t="shared" si="2"/>
        <v>0.0005438673442</v>
      </c>
      <c r="I104" s="43" t="str">
        <f t="shared" si="3"/>
        <v>0.0000000026e-4</v>
      </c>
      <c r="J104" s="44">
        <f t="shared" si="4"/>
        <v>0</v>
      </c>
      <c r="K104" s="43" t="b">
        <f t="shared" si="5"/>
        <v>0</v>
      </c>
      <c r="L104" s="21" t="str">
        <f>IFERROR(__xludf.DUMMYFUNCTION("if(regexmatch(B104,""e(.*)$""),regexextract(B104,""e(.*)$""),"""")"),"-4")</f>
        <v>-4</v>
      </c>
      <c r="M104" s="45"/>
      <c r="N104" s="45">
        <f>countif(Constants!F:F,F104)</f>
        <v>1</v>
      </c>
      <c r="O104" s="21" t="str">
        <f>VLOOKUP($A104,Constants!$D:$D,1,false)</f>
        <v>electron-neutron mass ratio</v>
      </c>
    </row>
    <row r="105">
      <c r="A105" s="6" t="s">
        <v>1038</v>
      </c>
      <c r="B105" s="6" t="s">
        <v>2904</v>
      </c>
      <c r="C105" s="6" t="s">
        <v>2534</v>
      </c>
      <c r="E105" s="42">
        <f>countif(Constants!F:F,F105)</f>
        <v>1</v>
      </c>
      <c r="F105" s="21" t="str">
        <f>VLOOKUP($A105,Constants!$D:$F,3,false)</f>
        <v>ElectronProtonMagneticMomentRatio</v>
      </c>
      <c r="G105" s="43" t="str">
        <f t="shared" si="1"/>
        <v>-658.21068789</v>
      </c>
      <c r="H105" s="43">
        <f t="shared" si="2"/>
        <v>-658.2106879</v>
      </c>
      <c r="I105" s="43" t="str">
        <f t="shared" si="3"/>
        <v>0.00000020</v>
      </c>
      <c r="J105" s="44">
        <f t="shared" si="4"/>
        <v>0.0000002</v>
      </c>
      <c r="K105" s="43" t="b">
        <f t="shared" si="5"/>
        <v>0</v>
      </c>
      <c r="L105" s="21" t="str">
        <f>IFERROR(__xludf.DUMMYFUNCTION("if(regexmatch(B105,""e(.*)$""),regexextract(B105,""e(.*)$""),"""")"),"")</f>
        <v/>
      </c>
      <c r="M105" s="45"/>
      <c r="N105" s="45">
        <f>countif(Constants!F:F,F105)</f>
        <v>1</v>
      </c>
      <c r="O105" s="21" t="str">
        <f>VLOOKUP($A105,Constants!$D:$D,1,false)</f>
        <v>electron-proton mag. mom. ratio</v>
      </c>
    </row>
    <row r="106">
      <c r="A106" s="6" t="s">
        <v>1043</v>
      </c>
      <c r="B106" s="6" t="s">
        <v>2905</v>
      </c>
      <c r="C106" s="6" t="s">
        <v>2906</v>
      </c>
      <c r="E106" s="42">
        <f>countif(Constants!F:F,F106)</f>
        <v>1</v>
      </c>
      <c r="F106" s="21" t="str">
        <f>VLOOKUP($A106,Constants!$D:$F,3,false)</f>
        <v>ElectronProtonMassRatio</v>
      </c>
      <c r="G106" s="43" t="str">
        <f t="shared" si="1"/>
        <v>5.44617021487e-4</v>
      </c>
      <c r="H106" s="43">
        <f t="shared" si="2"/>
        <v>0.0005446170215</v>
      </c>
      <c r="I106" s="43" t="str">
        <f t="shared" si="3"/>
        <v>0.00000000033e-4</v>
      </c>
      <c r="J106" s="44">
        <f t="shared" si="4"/>
        <v>0</v>
      </c>
      <c r="K106" s="43" t="b">
        <f t="shared" si="5"/>
        <v>0</v>
      </c>
      <c r="L106" s="21" t="str">
        <f>IFERROR(__xludf.DUMMYFUNCTION("if(regexmatch(B106,""e(.*)$""),regexextract(B106,""e(.*)$""),"""")"),"-4")</f>
        <v>-4</v>
      </c>
      <c r="M106" s="45"/>
      <c r="N106" s="45">
        <f>countif(Constants!F:F,F106)</f>
        <v>1</v>
      </c>
      <c r="O106" s="21" t="str">
        <f>VLOOKUP($A106,Constants!$D:$D,1,false)</f>
        <v>electron-proton mass ratio</v>
      </c>
    </row>
    <row r="107">
      <c r="A107" s="6" t="s">
        <v>1048</v>
      </c>
      <c r="B107" s="6" t="s">
        <v>2896</v>
      </c>
      <c r="C107" s="6" t="s">
        <v>2897</v>
      </c>
      <c r="E107" s="42">
        <f>countif(Constants!F:F,F107)</f>
        <v>1</v>
      </c>
      <c r="F107" s="21" t="str">
        <f>VLOOKUP($A107,Constants!$D:$F,3,false)</f>
        <v>ElectronRelativeAtomicMass</v>
      </c>
      <c r="G107" s="43" t="str">
        <f t="shared" si="1"/>
        <v>5.48579909065e-4</v>
      </c>
      <c r="H107" s="43">
        <f t="shared" si="2"/>
        <v>0.0005485799091</v>
      </c>
      <c r="I107" s="43" t="str">
        <f t="shared" si="3"/>
        <v>0.00000000016e-4</v>
      </c>
      <c r="J107" s="44">
        <f t="shared" si="4"/>
        <v>0</v>
      </c>
      <c r="K107" s="43" t="b">
        <f t="shared" si="5"/>
        <v>0</v>
      </c>
      <c r="L107" s="21" t="str">
        <f>IFERROR(__xludf.DUMMYFUNCTION("if(regexmatch(B107,""e(.*)$""),regexextract(B107,""e(.*)$""),"""")"),"-4")</f>
        <v>-4</v>
      </c>
      <c r="M107" s="45"/>
      <c r="N107" s="45">
        <f>countif(Constants!F:F,F107)</f>
        <v>1</v>
      </c>
      <c r="O107" s="21" t="str">
        <f>VLOOKUP($A107,Constants!$D:$D,1,false)</f>
        <v>electron relative atomic mass</v>
      </c>
    </row>
    <row r="108">
      <c r="A108" s="6" t="s">
        <v>1051</v>
      </c>
      <c r="B108" s="6" t="s">
        <v>2907</v>
      </c>
      <c r="C108" s="6" t="s">
        <v>2400</v>
      </c>
      <c r="E108" s="42">
        <f>countif(Constants!F:F,F108)</f>
        <v>1</v>
      </c>
      <c r="F108" s="21" t="str">
        <f>VLOOKUP($A108,Constants!$D:$F,3,false)</f>
        <v>ElectronTauMassRatio</v>
      </c>
      <c r="G108" s="43" t="str">
        <f t="shared" si="1"/>
        <v>2.87585e-4</v>
      </c>
      <c r="H108" s="43">
        <f t="shared" si="2"/>
        <v>0.000287585</v>
      </c>
      <c r="I108" s="43" t="str">
        <f t="shared" si="3"/>
        <v>0.00019e-4</v>
      </c>
      <c r="J108" s="44">
        <f t="shared" si="4"/>
        <v>0.000000019</v>
      </c>
      <c r="K108" s="43" t="b">
        <f t="shared" si="5"/>
        <v>0</v>
      </c>
      <c r="L108" s="21" t="str">
        <f>IFERROR(__xludf.DUMMYFUNCTION("if(regexmatch(B108,""e(.*)$""),regexextract(B108,""e(.*)$""),"""")"),"-4")</f>
        <v>-4</v>
      </c>
      <c r="M108" s="45"/>
      <c r="N108" s="45">
        <f>countif(Constants!F:F,F108)</f>
        <v>1</v>
      </c>
      <c r="O108" s="21" t="str">
        <f>VLOOKUP($A108,Constants!$D:$D,1,false)</f>
        <v>electron-tau mass ratio</v>
      </c>
    </row>
    <row r="109">
      <c r="A109" s="6" t="s">
        <v>1055</v>
      </c>
      <c r="B109" s="6" t="s">
        <v>2908</v>
      </c>
      <c r="C109" s="6" t="s">
        <v>2909</v>
      </c>
      <c r="E109" s="42">
        <f>countif(Constants!F:F,F109)</f>
        <v>1</v>
      </c>
      <c r="F109" s="21" t="str">
        <f>VLOOKUP($A109,Constants!$D:$F,3,false)</f>
        <v>ElectronToAlphaParticleMassRatio</v>
      </c>
      <c r="G109" s="43" t="str">
        <f t="shared" si="1"/>
        <v>1.370933554787e-4</v>
      </c>
      <c r="H109" s="43">
        <f t="shared" si="2"/>
        <v>0.0001370933555</v>
      </c>
      <c r="I109" s="43" t="str">
        <f t="shared" si="3"/>
        <v>0.000000000045e-4</v>
      </c>
      <c r="J109" s="44">
        <f t="shared" si="4"/>
        <v>0</v>
      </c>
      <c r="K109" s="43" t="b">
        <f t="shared" si="5"/>
        <v>0</v>
      </c>
      <c r="L109" s="21" t="str">
        <f>IFERROR(__xludf.DUMMYFUNCTION("if(regexmatch(B109,""e(.*)$""),regexextract(B109,""e(.*)$""),"""")"),"-4")</f>
        <v>-4</v>
      </c>
      <c r="M109" s="45"/>
      <c r="N109" s="45">
        <f>countif(Constants!F:F,F109)</f>
        <v>1</v>
      </c>
      <c r="O109" s="21" t="str">
        <f>VLOOKUP($A109,Constants!$D:$D,1,false)</f>
        <v>electron to alpha particle mass ratio</v>
      </c>
    </row>
    <row r="110">
      <c r="A110" s="6" t="s">
        <v>1059</v>
      </c>
      <c r="B110" s="6" t="s">
        <v>2910</v>
      </c>
      <c r="C110" s="6" t="s">
        <v>2911</v>
      </c>
      <c r="E110" s="42">
        <f>countif(Constants!F:F,F110)</f>
        <v>1</v>
      </c>
      <c r="F110" s="21" t="str">
        <f>VLOOKUP($A110,Constants!$D:$F,3,false)</f>
        <v>ElectronToShieldedHelionMagneticMomentRatio</v>
      </c>
      <c r="G110" s="43" t="str">
        <f t="shared" si="1"/>
        <v>864.058257</v>
      </c>
      <c r="H110" s="43">
        <f t="shared" si="2"/>
        <v>864.058257</v>
      </c>
      <c r="I110" s="43" t="str">
        <f t="shared" si="3"/>
        <v>0.000010</v>
      </c>
      <c r="J110" s="44">
        <f t="shared" si="4"/>
        <v>0.00001</v>
      </c>
      <c r="K110" s="43" t="b">
        <f t="shared" si="5"/>
        <v>0</v>
      </c>
      <c r="L110" s="21" t="str">
        <f>IFERROR(__xludf.DUMMYFUNCTION("if(regexmatch(B110,""e(.*)$""),regexextract(B110,""e(.*)$""),"""")"),"")</f>
        <v/>
      </c>
      <c r="M110" s="45"/>
      <c r="N110" s="45">
        <f>countif(Constants!F:F,F110)</f>
        <v>1</v>
      </c>
      <c r="O110" s="21" t="str">
        <f>VLOOKUP($A110,Constants!$D:$D,1,false)</f>
        <v>electron to shielded helion mag. mom. ratio</v>
      </c>
    </row>
    <row r="111">
      <c r="A111" s="6" t="s">
        <v>1064</v>
      </c>
      <c r="B111" s="6" t="s">
        <v>2912</v>
      </c>
      <c r="C111" s="6" t="s">
        <v>2913</v>
      </c>
      <c r="E111" s="42">
        <f>countif(Constants!F:F,F111)</f>
        <v>1</v>
      </c>
      <c r="F111" s="21" t="str">
        <f>VLOOKUP($A111,Constants!$D:$F,3,false)</f>
        <v>ElectronToShieldedProtonMagneticMomentRatio</v>
      </c>
      <c r="G111" s="43" t="str">
        <f t="shared" si="1"/>
        <v>-658.2275971</v>
      </c>
      <c r="H111" s="43">
        <f t="shared" si="2"/>
        <v>-658.2275971</v>
      </c>
      <c r="I111" s="43" t="str">
        <f t="shared" si="3"/>
        <v>0.0000072</v>
      </c>
      <c r="J111" s="44">
        <f t="shared" si="4"/>
        <v>0.0000072</v>
      </c>
      <c r="K111" s="43" t="b">
        <f t="shared" si="5"/>
        <v>0</v>
      </c>
      <c r="L111" s="21" t="str">
        <f>IFERROR(__xludf.DUMMYFUNCTION("if(regexmatch(B111,""e(.*)$""),regexextract(B111,""e(.*)$""),"""")"),"")</f>
        <v/>
      </c>
      <c r="M111" s="45"/>
      <c r="N111" s="45">
        <f>countif(Constants!F:F,F111)</f>
        <v>1</v>
      </c>
      <c r="O111" s="21" t="str">
        <f>VLOOKUP($A111,Constants!$D:$D,1,false)</f>
        <v>electron to shielded proton mag. mom. ratio</v>
      </c>
    </row>
    <row r="112">
      <c r="A112" s="6" t="s">
        <v>1069</v>
      </c>
      <c r="B112" s="6" t="s">
        <v>2914</v>
      </c>
      <c r="C112" s="6" t="s">
        <v>2915</v>
      </c>
      <c r="E112" s="42">
        <f>countif(Constants!F:F,F112)</f>
        <v>1</v>
      </c>
      <c r="F112" s="21" t="str">
        <f>VLOOKUP($A112,Constants!$D:$F,3,false)</f>
        <v>Electron-TritonMassRatio</v>
      </c>
      <c r="G112" s="43" t="str">
        <f t="shared" si="1"/>
        <v>1.819200062251e-4</v>
      </c>
      <c r="H112" s="43">
        <f t="shared" si="2"/>
        <v>0.0001819200062</v>
      </c>
      <c r="I112" s="43" t="str">
        <f t="shared" si="3"/>
        <v>0.000000000090e-4</v>
      </c>
      <c r="J112" s="44">
        <f t="shared" si="4"/>
        <v>0</v>
      </c>
      <c r="K112" s="43" t="b">
        <f t="shared" si="5"/>
        <v>0</v>
      </c>
      <c r="L112" s="21" t="str">
        <f>IFERROR(__xludf.DUMMYFUNCTION("if(regexmatch(B112,""e(.*)$""),regexextract(B112,""e(.*)$""),"""")"),"-4")</f>
        <v>-4</v>
      </c>
      <c r="M112" s="45"/>
      <c r="N112" s="45">
        <f>countif(Constants!F:F,F112)</f>
        <v>1</v>
      </c>
      <c r="O112" s="21" t="str">
        <f>VLOOKUP($A112,Constants!$D:$D,1,false)</f>
        <v>electron-triton mass ratio</v>
      </c>
    </row>
    <row r="113">
      <c r="A113" s="6" t="s">
        <v>1073</v>
      </c>
      <c r="B113" s="6" t="s">
        <v>2791</v>
      </c>
      <c r="C113" s="6" t="s">
        <v>2261</v>
      </c>
      <c r="D113" s="6" t="s">
        <v>543</v>
      </c>
      <c r="E113" s="42">
        <f>countif(Constants!F:F,F113)</f>
        <v>1</v>
      </c>
      <c r="F113" s="21" t="str">
        <f>VLOOKUP($A113,Constants!$D:$F,3,false)</f>
        <v>ElectronVolt</v>
      </c>
      <c r="G113" s="43" t="str">
        <f t="shared" si="1"/>
        <v>1.602176634e-19</v>
      </c>
      <c r="H113" s="43">
        <f t="shared" si="2"/>
        <v>0</v>
      </c>
      <c r="I113" s="43" t="str">
        <f t="shared" si="3"/>
        <v>(exact)</v>
      </c>
      <c r="J113" s="44" t="str">
        <f t="shared" si="4"/>
        <v/>
      </c>
      <c r="K113" s="43" t="b">
        <f t="shared" si="5"/>
        <v>0</v>
      </c>
      <c r="L113" s="21" t="str">
        <f>IFERROR(__xludf.DUMMYFUNCTION("if(regexmatch(B113,""e(.*)$""),regexextract(B113,""e(.*)$""),"""")"),"-19")</f>
        <v>-19</v>
      </c>
      <c r="M113" s="45"/>
      <c r="N113" s="45">
        <f>countif(Constants!F:F,F113)</f>
        <v>1</v>
      </c>
      <c r="O113" s="21" t="str">
        <f>VLOOKUP($A113,Constants!$D:$D,1,false)</f>
        <v>electron volt</v>
      </c>
    </row>
    <row r="114">
      <c r="A114" s="6" t="s">
        <v>1078</v>
      </c>
      <c r="B114" s="6" t="s">
        <v>2916</v>
      </c>
      <c r="C114" s="6" t="s">
        <v>2917</v>
      </c>
      <c r="D114" s="6" t="s">
        <v>553</v>
      </c>
      <c r="E114" s="42">
        <f>countif(Constants!F:F,F114)</f>
        <v>1</v>
      </c>
      <c r="F114" s="21" t="str">
        <f>VLOOKUP($A114,Constants!$D:$F,3,false)</f>
        <v>ElectronVoltAtomicMassUnitRelationship</v>
      </c>
      <c r="G114" s="43" t="str">
        <f t="shared" si="1"/>
        <v>1.07354410233e-9</v>
      </c>
      <c r="H114" s="43">
        <f t="shared" si="2"/>
        <v>0.000000001073544102</v>
      </c>
      <c r="I114" s="43" t="str">
        <f t="shared" si="3"/>
        <v>0.00000000032e-9</v>
      </c>
      <c r="J114" s="44">
        <f t="shared" si="4"/>
        <v>0</v>
      </c>
      <c r="K114" s="43" t="b">
        <f t="shared" si="5"/>
        <v>0</v>
      </c>
      <c r="L114" s="21" t="str">
        <f>IFERROR(__xludf.DUMMYFUNCTION("if(regexmatch(B114,""e(.*)$""),regexextract(B114,""e(.*)$""),"""")"),"-9")</f>
        <v>-9</v>
      </c>
      <c r="M114" s="45"/>
      <c r="N114" s="45">
        <f>countif(Constants!F:F,F114)</f>
        <v>1</v>
      </c>
      <c r="O114" s="21" t="str">
        <f>VLOOKUP($A114,Constants!$D:$D,1,false)</f>
        <v>electron volt-atomic mass unit relationship</v>
      </c>
    </row>
    <row r="115">
      <c r="A115" s="6" t="s">
        <v>1084</v>
      </c>
      <c r="B115" s="6" t="s">
        <v>2918</v>
      </c>
      <c r="C115" s="6" t="s">
        <v>2919</v>
      </c>
      <c r="D115" s="6" t="s">
        <v>593</v>
      </c>
      <c r="E115" s="42">
        <f>countif(Constants!F:F,F115)</f>
        <v>1</v>
      </c>
      <c r="F115" s="21" t="str">
        <f>VLOOKUP($A115,Constants!$D:$F,3,false)</f>
        <v>ElectronVoltHartreeRelationship</v>
      </c>
      <c r="G115" s="43" t="str">
        <f t="shared" si="1"/>
        <v>3.6749322175655e-2</v>
      </c>
      <c r="H115" s="43">
        <f t="shared" si="2"/>
        <v>0.03674932218</v>
      </c>
      <c r="I115" s="43" t="str">
        <f t="shared" si="3"/>
        <v>0.0000000000071e-2</v>
      </c>
      <c r="J115" s="44">
        <f t="shared" si="4"/>
        <v>0</v>
      </c>
      <c r="K115" s="43" t="b">
        <f t="shared" si="5"/>
        <v>0</v>
      </c>
      <c r="L115" s="21" t="str">
        <f>IFERROR(__xludf.DUMMYFUNCTION("if(regexmatch(B115,""e(.*)$""),regexextract(B115,""e(.*)$""),"""")"),"-2")</f>
        <v>-2</v>
      </c>
      <c r="M115" s="45"/>
      <c r="N115" s="45">
        <f>countif(Constants!F:F,F115)</f>
        <v>1</v>
      </c>
      <c r="O115" s="21" t="str">
        <f>VLOOKUP($A115,Constants!$D:$D,1,false)</f>
        <v>electron volt-hartree relationship</v>
      </c>
    </row>
    <row r="116">
      <c r="A116" s="6" t="s">
        <v>1090</v>
      </c>
      <c r="B116" s="6" t="s">
        <v>2920</v>
      </c>
      <c r="C116" s="6" t="s">
        <v>2261</v>
      </c>
      <c r="D116" s="6" t="s">
        <v>600</v>
      </c>
      <c r="E116" s="42">
        <f>countif(Constants!F:F,F116)</f>
        <v>1</v>
      </c>
      <c r="F116" s="21" t="str">
        <f>VLOOKUP($A116,Constants!$D:$F,3,false)</f>
        <v>ElectronVoltHertzRelationship</v>
      </c>
      <c r="G116" s="43" t="str">
        <f t="shared" si="1"/>
        <v>2.417989242e14</v>
      </c>
      <c r="H116" s="43">
        <f t="shared" si="2"/>
        <v>241798924200000</v>
      </c>
      <c r="I116" s="43" t="str">
        <f t="shared" si="3"/>
        <v>(exact)</v>
      </c>
      <c r="J116" s="44" t="str">
        <f t="shared" si="4"/>
        <v/>
      </c>
      <c r="K116" s="43" t="b">
        <f t="shared" si="5"/>
        <v>1</v>
      </c>
      <c r="L116" s="21" t="str">
        <f>IFERROR(__xludf.DUMMYFUNCTION("if(regexmatch(B116,""e(.*)$""),regexextract(B116,""e(.*)$""),"""")"),"14")</f>
        <v>14</v>
      </c>
      <c r="M116" s="45"/>
      <c r="N116" s="45">
        <f>countif(Constants!F:F,F116)</f>
        <v>1</v>
      </c>
      <c r="O116" s="21" t="str">
        <f>VLOOKUP($A116,Constants!$D:$D,1,false)</f>
        <v>electron volt-hertz relationship</v>
      </c>
    </row>
    <row r="117">
      <c r="A117" s="6" t="s">
        <v>1096</v>
      </c>
      <c r="B117" s="6" t="s">
        <v>2921</v>
      </c>
      <c r="C117" s="6" t="s">
        <v>2261</v>
      </c>
      <c r="D117" s="6" t="s">
        <v>606</v>
      </c>
      <c r="E117" s="42">
        <f>countif(Constants!F:F,F117)</f>
        <v>1</v>
      </c>
      <c r="F117" s="21" t="str">
        <f>VLOOKUP($A117,Constants!$D:$F,3,false)</f>
        <v>ElectronVoltInverseMeterRelationship</v>
      </c>
      <c r="G117" s="43" t="str">
        <f t="shared" si="1"/>
        <v>8.065543937e5</v>
      </c>
      <c r="H117" s="43">
        <f t="shared" si="2"/>
        <v>806554.3937</v>
      </c>
      <c r="I117" s="43" t="str">
        <f t="shared" si="3"/>
        <v>(exact)</v>
      </c>
      <c r="J117" s="44" t="str">
        <f t="shared" si="4"/>
        <v/>
      </c>
      <c r="K117" s="43" t="b">
        <f t="shared" si="5"/>
        <v>1</v>
      </c>
      <c r="L117" s="21" t="str">
        <f>IFERROR(__xludf.DUMMYFUNCTION("if(regexmatch(B117,""e(.*)$""),regexextract(B117,""e(.*)$""),"""")"),"5")</f>
        <v>5</v>
      </c>
      <c r="M117" s="45"/>
      <c r="N117" s="45">
        <f>countif(Constants!F:F,F117)</f>
        <v>1</v>
      </c>
      <c r="O117" s="21" t="str">
        <f>VLOOKUP($A117,Constants!$D:$D,1,false)</f>
        <v>electron volt-inverse meter relationship</v>
      </c>
    </row>
    <row r="118">
      <c r="A118" s="6" t="s">
        <v>1102</v>
      </c>
      <c r="B118" s="6" t="s">
        <v>2791</v>
      </c>
      <c r="C118" s="6" t="s">
        <v>2261</v>
      </c>
      <c r="D118" s="6" t="s">
        <v>543</v>
      </c>
      <c r="E118" s="42">
        <f>countif(Constants!F:F,F118)</f>
        <v>1</v>
      </c>
      <c r="F118" s="21" t="str">
        <f>VLOOKUP($A118,Constants!$D:$F,3,false)</f>
        <v>ElectronVoltJouleRelationship</v>
      </c>
      <c r="G118" s="43" t="str">
        <f t="shared" si="1"/>
        <v>1.602176634e-19</v>
      </c>
      <c r="H118" s="43">
        <f t="shared" si="2"/>
        <v>0</v>
      </c>
      <c r="I118" s="43" t="str">
        <f t="shared" si="3"/>
        <v>(exact)</v>
      </c>
      <c r="J118" s="44" t="str">
        <f t="shared" si="4"/>
        <v/>
      </c>
      <c r="K118" s="43" t="b">
        <f t="shared" si="5"/>
        <v>0</v>
      </c>
      <c r="L118" s="21" t="str">
        <f>IFERROR(__xludf.DUMMYFUNCTION("if(regexmatch(B118,""e(.*)$""),regexextract(B118,""e(.*)$""),"""")"),"-19")</f>
        <v>-19</v>
      </c>
      <c r="M118" s="45"/>
      <c r="N118" s="45">
        <f>countif(Constants!F:F,F118)</f>
        <v>1</v>
      </c>
      <c r="O118" s="21" t="str">
        <f>VLOOKUP($A118,Constants!$D:$D,1,false)</f>
        <v>electron volt-joule relationship</v>
      </c>
    </row>
    <row r="119">
      <c r="A119" s="6" t="s">
        <v>1108</v>
      </c>
      <c r="B119" s="6" t="s">
        <v>2922</v>
      </c>
      <c r="C119" s="6" t="s">
        <v>2261</v>
      </c>
      <c r="D119" s="6" t="s">
        <v>618</v>
      </c>
      <c r="E119" s="42">
        <f>countif(Constants!F:F,F119)</f>
        <v>1</v>
      </c>
      <c r="F119" s="21" t="str">
        <f>VLOOKUP($A119,Constants!$D:$F,3,false)</f>
        <v>ElectronVoltKelvinRelationship</v>
      </c>
      <c r="G119" s="43" t="str">
        <f t="shared" si="1"/>
        <v>1.160451812e4</v>
      </c>
      <c r="H119" s="43">
        <f t="shared" si="2"/>
        <v>11604.51812</v>
      </c>
      <c r="I119" s="43" t="str">
        <f t="shared" si="3"/>
        <v>(exact)</v>
      </c>
      <c r="J119" s="44" t="str">
        <f t="shared" si="4"/>
        <v/>
      </c>
      <c r="K119" s="43" t="b">
        <f t="shared" si="5"/>
        <v>1</v>
      </c>
      <c r="L119" s="21" t="str">
        <f>IFERROR(__xludf.DUMMYFUNCTION("if(regexmatch(B119,""e(.*)$""),regexextract(B119,""e(.*)$""),"""")"),"4")</f>
        <v>4</v>
      </c>
      <c r="M119" s="45"/>
      <c r="N119" s="45">
        <f>countif(Constants!F:F,F119)</f>
        <v>1</v>
      </c>
      <c r="O119" s="21" t="str">
        <f>VLOOKUP($A119,Constants!$D:$D,1,false)</f>
        <v>electron volt-kelvin relationship</v>
      </c>
    </row>
    <row r="120">
      <c r="A120" s="6" t="s">
        <v>1114</v>
      </c>
      <c r="B120" s="6" t="s">
        <v>2923</v>
      </c>
      <c r="C120" s="6" t="s">
        <v>2261</v>
      </c>
      <c r="D120" s="6" t="s">
        <v>538</v>
      </c>
      <c r="E120" s="42">
        <f>countif(Constants!F:F,F120)</f>
        <v>1</v>
      </c>
      <c r="F120" s="21" t="str">
        <f>VLOOKUP($A120,Constants!$D:$F,3,false)</f>
        <v>ElectronVoltKilogramRelationship</v>
      </c>
      <c r="G120" s="43" t="str">
        <f t="shared" si="1"/>
        <v>1.782661921e-36</v>
      </c>
      <c r="H120" s="43">
        <f t="shared" si="2"/>
        <v>0</v>
      </c>
      <c r="I120" s="43" t="str">
        <f t="shared" si="3"/>
        <v>(exact)</v>
      </c>
      <c r="J120" s="44" t="str">
        <f t="shared" si="4"/>
        <v/>
      </c>
      <c r="K120" s="43" t="b">
        <f t="shared" si="5"/>
        <v>1</v>
      </c>
      <c r="L120" s="21" t="str">
        <f>IFERROR(__xludf.DUMMYFUNCTION("if(regexmatch(B120,""e(.*)$""),regexextract(B120,""e(.*)$""),"""")"),"-36")</f>
        <v>-36</v>
      </c>
      <c r="M120" s="45"/>
      <c r="N120" s="45">
        <f>countif(Constants!F:F,F120)</f>
        <v>1</v>
      </c>
      <c r="O120" s="21" t="str">
        <f>VLOOKUP($A120,Constants!$D:$D,1,false)</f>
        <v>electron volt-kilogram relationship</v>
      </c>
    </row>
    <row r="121">
      <c r="A121" s="6" t="s">
        <v>1118</v>
      </c>
      <c r="B121" s="6" t="s">
        <v>2791</v>
      </c>
      <c r="C121" s="6" t="s">
        <v>2261</v>
      </c>
      <c r="D121" s="6" t="s">
        <v>649</v>
      </c>
      <c r="E121" s="42">
        <f>countif(Constants!F:F,F121)</f>
        <v>1</v>
      </c>
      <c r="F121" s="21" t="str">
        <f>VLOOKUP($A121,Constants!$D:$F,3,false)</f>
        <v>ElementaryCharge</v>
      </c>
      <c r="G121" s="43" t="str">
        <f t="shared" si="1"/>
        <v>1.602176634e-19</v>
      </c>
      <c r="H121" s="43">
        <f t="shared" si="2"/>
        <v>0</v>
      </c>
      <c r="I121" s="43" t="str">
        <f t="shared" si="3"/>
        <v>(exact)</v>
      </c>
      <c r="J121" s="44" t="str">
        <f t="shared" si="4"/>
        <v/>
      </c>
      <c r="K121" s="43" t="b">
        <f t="shared" si="5"/>
        <v>0</v>
      </c>
      <c r="L121" s="21" t="str">
        <f>IFERROR(__xludf.DUMMYFUNCTION("if(regexmatch(B121,""e(.*)$""),regexextract(B121,""e(.*)$""),"""")"),"-19")</f>
        <v>-19</v>
      </c>
      <c r="M121" s="45"/>
      <c r="N121" s="45">
        <f>countif(Constants!F:F,F121)</f>
        <v>1</v>
      </c>
      <c r="O121" s="21" t="str">
        <f>VLOOKUP($A121,Constants!$D:$D,1,false)</f>
        <v>elementary charge</v>
      </c>
    </row>
    <row r="122">
      <c r="A122" s="6" t="s">
        <v>1123</v>
      </c>
      <c r="B122" s="6" t="s">
        <v>2924</v>
      </c>
      <c r="C122" s="6" t="s">
        <v>2261</v>
      </c>
      <c r="D122" s="6" t="s">
        <v>1124</v>
      </c>
      <c r="E122" s="42">
        <f>countif(Constants!F:F,F122)</f>
        <v>1</v>
      </c>
      <c r="F122" s="21" t="str">
        <f>VLOOKUP($A122,Constants!$D:$F,3,false)</f>
        <v>ElementaryChargeOverH</v>
      </c>
      <c r="G122" s="43" t="str">
        <f t="shared" si="1"/>
        <v>1.519267447e15</v>
      </c>
      <c r="H122" s="43">
        <f t="shared" si="2"/>
        <v>1.51927E+15</v>
      </c>
      <c r="I122" s="43" t="str">
        <f t="shared" si="3"/>
        <v>(exact)</v>
      </c>
      <c r="J122" s="44" t="str">
        <f t="shared" si="4"/>
        <v/>
      </c>
      <c r="K122" s="43" t="b">
        <f t="shared" si="5"/>
        <v>1</v>
      </c>
      <c r="L122" s="21" t="str">
        <f>IFERROR(__xludf.DUMMYFUNCTION("if(regexmatch(B122,""e(.*)$""),regexextract(B122,""e(.*)$""),"""")"),"15")</f>
        <v>15</v>
      </c>
      <c r="M122" s="45"/>
      <c r="N122" s="45">
        <f>countif(Constants!F:F,F122)</f>
        <v>1</v>
      </c>
      <c r="O122" s="21" t="str">
        <f>VLOOKUP($A122,Constants!$D:$D,1,false)</f>
        <v>elementary charge over h-bar</v>
      </c>
    </row>
    <row r="123">
      <c r="A123" s="6" t="s">
        <v>1129</v>
      </c>
      <c r="B123" s="6" t="s">
        <v>2925</v>
      </c>
      <c r="C123" s="6" t="s">
        <v>2261</v>
      </c>
      <c r="D123" s="6" t="s">
        <v>1130</v>
      </c>
      <c r="E123" s="42">
        <f>countif(Constants!F:F,F123)</f>
        <v>1</v>
      </c>
      <c r="F123" s="21" t="str">
        <f>VLOOKUP($A123,Constants!$D:$F,3,false)</f>
        <v>FaradayConstant</v>
      </c>
      <c r="G123" s="43" t="str">
        <f t="shared" si="1"/>
        <v>96485.33212</v>
      </c>
      <c r="H123" s="43">
        <f t="shared" si="2"/>
        <v>96485.33212</v>
      </c>
      <c r="I123" s="43" t="str">
        <f t="shared" si="3"/>
        <v>(exact)</v>
      </c>
      <c r="J123" s="44" t="str">
        <f t="shared" si="4"/>
        <v/>
      </c>
      <c r="K123" s="43" t="b">
        <f t="shared" si="5"/>
        <v>1</v>
      </c>
      <c r="L123" s="21" t="str">
        <f>IFERROR(__xludf.DUMMYFUNCTION("if(regexmatch(B123,""e(.*)$""),regexextract(B123,""e(.*)$""),"""")"),"")</f>
        <v/>
      </c>
      <c r="M123" s="45"/>
      <c r="N123" s="45">
        <f>countif(Constants!F:F,F123)</f>
        <v>1</v>
      </c>
      <c r="O123" s="21" t="str">
        <f>VLOOKUP($A123,Constants!$D:$D,1,false)</f>
        <v>Faraday constant</v>
      </c>
    </row>
    <row r="124">
      <c r="A124" s="6" t="s">
        <v>1140</v>
      </c>
      <c r="B124" s="6" t="s">
        <v>2926</v>
      </c>
      <c r="C124" s="6" t="s">
        <v>2420</v>
      </c>
      <c r="D124" s="6" t="s">
        <v>1141</v>
      </c>
      <c r="E124" s="42">
        <f>countif(Constants!F:F,F124)</f>
        <v>1</v>
      </c>
      <c r="F124" s="21" t="str">
        <f>VLOOKUP($A124,Constants!$D:$F,3,false)</f>
        <v>FermiCouplingConstant</v>
      </c>
      <c r="G124" s="43" t="str">
        <f t="shared" si="1"/>
        <v>1.1663787e-5</v>
      </c>
      <c r="H124" s="43">
        <f t="shared" si="2"/>
        <v>0.000011663787</v>
      </c>
      <c r="I124" s="43" t="str">
        <f t="shared" si="3"/>
        <v>0.0000006e-5</v>
      </c>
      <c r="J124" s="44">
        <f t="shared" si="4"/>
        <v>0</v>
      </c>
      <c r="K124" s="43" t="b">
        <f t="shared" si="5"/>
        <v>0</v>
      </c>
      <c r="L124" s="21" t="str">
        <f>IFERROR(__xludf.DUMMYFUNCTION("if(regexmatch(B124,""e(.*)$""),regexextract(B124,""e(.*)$""),"""")"),"-5")</f>
        <v>-5</v>
      </c>
      <c r="M124" s="45"/>
      <c r="N124" s="45">
        <f>countif(Constants!F:F,F124)</f>
        <v>1</v>
      </c>
      <c r="O124" s="21" t="str">
        <f>VLOOKUP($A124,Constants!$D:$D,1,false)</f>
        <v>Fermi coupling constant</v>
      </c>
    </row>
    <row r="125">
      <c r="A125" s="6" t="s">
        <v>1146</v>
      </c>
      <c r="B125" s="6" t="s">
        <v>2927</v>
      </c>
      <c r="C125" s="6" t="s">
        <v>2422</v>
      </c>
      <c r="E125" s="42">
        <f>countif(Constants!F:F,F125)</f>
        <v>1</v>
      </c>
      <c r="F125" s="21" t="str">
        <f>VLOOKUP($A125,Constants!$D:$F,3,false)</f>
        <v>FineStructureConstant</v>
      </c>
      <c r="G125" s="43" t="str">
        <f t="shared" si="1"/>
        <v>7.2973525693e-3</v>
      </c>
      <c r="H125" s="43">
        <f t="shared" si="2"/>
        <v>0.007297352569</v>
      </c>
      <c r="I125" s="43" t="str">
        <f t="shared" si="3"/>
        <v>0.0000000011e-3</v>
      </c>
      <c r="J125" s="44">
        <f t="shared" si="4"/>
        <v>0</v>
      </c>
      <c r="K125" s="43" t="b">
        <f t="shared" si="5"/>
        <v>0</v>
      </c>
      <c r="L125" s="21" t="str">
        <f>IFERROR(__xludf.DUMMYFUNCTION("if(regexmatch(B125,""e(.*)$""),regexextract(B125,""e(.*)$""),"""")"),"-3")</f>
        <v>-3</v>
      </c>
      <c r="M125" s="45"/>
      <c r="N125" s="45">
        <f>countif(Constants!F:F,F125)</f>
        <v>1</v>
      </c>
      <c r="O125" s="21" t="str">
        <f>VLOOKUP($A125,Constants!$D:$D,1,false)</f>
        <v>fine-structure constant</v>
      </c>
    </row>
    <row r="126">
      <c r="A126" s="6" t="s">
        <v>1150</v>
      </c>
      <c r="B126" s="6" t="s">
        <v>2928</v>
      </c>
      <c r="C126" s="6" t="s">
        <v>2261</v>
      </c>
      <c r="D126" s="6" t="s">
        <v>1151</v>
      </c>
      <c r="E126" s="42">
        <f>countif(Constants!F:F,F126)</f>
        <v>1</v>
      </c>
      <c r="F126" s="21" t="str">
        <f>VLOOKUP($A126,Constants!$D:$F,3,false)</f>
        <v>FirstRadiationConstant</v>
      </c>
      <c r="G126" s="43" t="str">
        <f t="shared" si="1"/>
        <v>3.741771852e-16</v>
      </c>
      <c r="H126" s="43">
        <f t="shared" si="2"/>
        <v>0</v>
      </c>
      <c r="I126" s="43" t="str">
        <f t="shared" si="3"/>
        <v>(exact)</v>
      </c>
      <c r="J126" s="44" t="str">
        <f t="shared" si="4"/>
        <v/>
      </c>
      <c r="K126" s="43" t="b">
        <f t="shared" si="5"/>
        <v>1</v>
      </c>
      <c r="L126" s="21" t="str">
        <f>IFERROR(__xludf.DUMMYFUNCTION("if(regexmatch(B126,""e(.*)$""),regexextract(B126,""e(.*)$""),"""")"),"-16")</f>
        <v>-16</v>
      </c>
      <c r="M126" s="45"/>
      <c r="N126" s="45">
        <f>countif(Constants!F:F,F126)</f>
        <v>1</v>
      </c>
      <c r="O126" s="21" t="str">
        <f>VLOOKUP($A126,Constants!$D:$D,1,false)</f>
        <v>first radiation constant</v>
      </c>
    </row>
    <row r="127">
      <c r="A127" s="6" t="s">
        <v>1156</v>
      </c>
      <c r="B127" s="6" t="s">
        <v>2929</v>
      </c>
      <c r="C127" s="6" t="s">
        <v>2261</v>
      </c>
      <c r="D127" s="6" t="s">
        <v>1157</v>
      </c>
      <c r="E127" s="42">
        <f>countif(Constants!F:F,F127)</f>
        <v>1</v>
      </c>
      <c r="F127" s="21" t="str">
        <f>VLOOKUP($A127,Constants!$D:$F,3,false)</f>
        <v>FirstRadiationConstantForSpectralRadiance</v>
      </c>
      <c r="G127" s="43" t="str">
        <f t="shared" si="1"/>
        <v>1.191042972e-16</v>
      </c>
      <c r="H127" s="43">
        <f t="shared" si="2"/>
        <v>0</v>
      </c>
      <c r="I127" s="43" t="str">
        <f t="shared" si="3"/>
        <v>(exact)</v>
      </c>
      <c r="J127" s="44" t="str">
        <f t="shared" si="4"/>
        <v/>
      </c>
      <c r="K127" s="43" t="b">
        <f t="shared" si="5"/>
        <v>1</v>
      </c>
      <c r="L127" s="21" t="str">
        <f>IFERROR(__xludf.DUMMYFUNCTION("if(regexmatch(B127,""e(.*)$""),regexextract(B127,""e(.*)$""),"""")"),"-16")</f>
        <v>-16</v>
      </c>
      <c r="M127" s="45"/>
      <c r="N127" s="45">
        <f>countif(Constants!F:F,F127)</f>
        <v>1</v>
      </c>
      <c r="O127" s="21" t="str">
        <f>VLOOKUP($A127,Constants!$D:$D,1,false)</f>
        <v>first radiation constant for spectral radiance</v>
      </c>
    </row>
    <row r="128">
      <c r="A128" s="6" t="s">
        <v>1162</v>
      </c>
      <c r="B128" s="6" t="s">
        <v>2930</v>
      </c>
      <c r="C128" s="6" t="s">
        <v>2931</v>
      </c>
      <c r="D128" s="6" t="s">
        <v>553</v>
      </c>
      <c r="E128" s="42">
        <f>countif(Constants!F:F,F128)</f>
        <v>1</v>
      </c>
      <c r="F128" s="21" t="str">
        <f>VLOOKUP($A128,Constants!$D:$F,3,false)</f>
        <v>HartreeAtomicMassUnitRelationship</v>
      </c>
      <c r="G128" s="43" t="str">
        <f t="shared" si="1"/>
        <v>2.92126232205e-8</v>
      </c>
      <c r="H128" s="43">
        <f t="shared" si="2"/>
        <v>0.00000002921262322</v>
      </c>
      <c r="I128" s="43" t="str">
        <f t="shared" si="3"/>
        <v>0.00000000088e-8</v>
      </c>
      <c r="J128" s="44">
        <f t="shared" si="4"/>
        <v>0</v>
      </c>
      <c r="K128" s="43" t="b">
        <f t="shared" si="5"/>
        <v>0</v>
      </c>
      <c r="L128" s="21" t="str">
        <f>IFERROR(__xludf.DUMMYFUNCTION("if(regexmatch(B128,""e(.*)$""),regexextract(B128,""e(.*)$""),"""")"),"-8")</f>
        <v>-8</v>
      </c>
      <c r="M128" s="45"/>
      <c r="N128" s="45">
        <f>countif(Constants!F:F,F128)</f>
        <v>1</v>
      </c>
      <c r="O128" s="21" t="str">
        <f>VLOOKUP($A128,Constants!$D:$D,1,false)</f>
        <v>hartree-atomic mass unit relationship</v>
      </c>
    </row>
    <row r="129">
      <c r="A129" s="6" t="s">
        <v>1168</v>
      </c>
      <c r="B129" s="6" t="s">
        <v>2803</v>
      </c>
      <c r="C129" s="6" t="s">
        <v>2804</v>
      </c>
      <c r="D129" s="6" t="s">
        <v>175</v>
      </c>
      <c r="E129" s="42">
        <f>countif(Constants!F:F,F129)</f>
        <v>1</v>
      </c>
      <c r="F129" s="21" t="str">
        <f>VLOOKUP($A129,Constants!$D:$F,3,false)</f>
        <v>HartreeElectronVoltRelationship</v>
      </c>
      <c r="G129" s="43" t="str">
        <f t="shared" si="1"/>
        <v>27.211386245988</v>
      </c>
      <c r="H129" s="43">
        <f t="shared" si="2"/>
        <v>27.21138625</v>
      </c>
      <c r="I129" s="43" t="str">
        <f t="shared" si="3"/>
        <v>0.000000000053</v>
      </c>
      <c r="J129" s="44">
        <f t="shared" si="4"/>
        <v>0</v>
      </c>
      <c r="K129" s="43" t="b">
        <f t="shared" si="5"/>
        <v>0</v>
      </c>
      <c r="L129" s="21" t="str">
        <f>IFERROR(__xludf.DUMMYFUNCTION("if(regexmatch(B129,""e(.*)$""),regexextract(B129,""e(.*)$""),"""")"),"")</f>
        <v/>
      </c>
      <c r="M129" s="45"/>
      <c r="N129" s="45">
        <f>countif(Constants!F:F,F129)</f>
        <v>1</v>
      </c>
      <c r="O129" s="21" t="str">
        <f>VLOOKUP($A129,Constants!$D:$D,1,false)</f>
        <v>hartree-electron volt relationship</v>
      </c>
    </row>
    <row r="130">
      <c r="A130" s="6" t="s">
        <v>1173</v>
      </c>
      <c r="B130" s="6" t="s">
        <v>2806</v>
      </c>
      <c r="C130" s="6" t="s">
        <v>2807</v>
      </c>
      <c r="D130" s="6" t="s">
        <v>543</v>
      </c>
      <c r="E130" s="42">
        <f>countif(Constants!F:F,F130)</f>
        <v>1</v>
      </c>
      <c r="F130" s="21" t="str">
        <f>VLOOKUP($A130,Constants!$D:$F,3,false)</f>
        <v>HartreeEnergy</v>
      </c>
      <c r="G130" s="43" t="str">
        <f t="shared" si="1"/>
        <v>4.3597447222071e-18</v>
      </c>
      <c r="H130" s="43">
        <f t="shared" si="2"/>
        <v>0</v>
      </c>
      <c r="I130" s="43" t="str">
        <f t="shared" si="3"/>
        <v>0.0000000000085e-18</v>
      </c>
      <c r="J130" s="44">
        <f t="shared" si="4"/>
        <v>0</v>
      </c>
      <c r="K130" s="43" t="b">
        <f t="shared" si="5"/>
        <v>0</v>
      </c>
      <c r="L130" s="21" t="str">
        <f>IFERROR(__xludf.DUMMYFUNCTION("if(regexmatch(B130,""e(.*)$""),regexextract(B130,""e(.*)$""),"""")"),"-18")</f>
        <v>-18</v>
      </c>
      <c r="M130" s="45"/>
      <c r="N130" s="45">
        <f>countif(Constants!F:F,F130)</f>
        <v>1</v>
      </c>
      <c r="O130" s="21" t="str">
        <f>VLOOKUP($A130,Constants!$D:$D,1,false)</f>
        <v>Hartree energy</v>
      </c>
    </row>
    <row r="131">
      <c r="A131" s="6" t="s">
        <v>1177</v>
      </c>
      <c r="B131" s="6" t="s">
        <v>2803</v>
      </c>
      <c r="C131" s="6" t="s">
        <v>2804</v>
      </c>
      <c r="D131" s="6" t="s">
        <v>175</v>
      </c>
      <c r="E131" s="42">
        <f>countif(Constants!F:F,F131)</f>
        <v>1</v>
      </c>
      <c r="F131" s="21" t="str">
        <f>VLOOKUP($A131,Constants!$D:$F,3,false)</f>
        <v>HartreeEnergyInEV</v>
      </c>
      <c r="G131" s="43" t="str">
        <f t="shared" si="1"/>
        <v>27.211386245988</v>
      </c>
      <c r="H131" s="43">
        <f t="shared" si="2"/>
        <v>27.21138625</v>
      </c>
      <c r="I131" s="43" t="str">
        <f t="shared" si="3"/>
        <v>0.000000000053</v>
      </c>
      <c r="J131" s="44">
        <f t="shared" si="4"/>
        <v>0</v>
      </c>
      <c r="K131" s="43" t="b">
        <f t="shared" si="5"/>
        <v>0</v>
      </c>
      <c r="L131" s="21" t="str">
        <f>IFERROR(__xludf.DUMMYFUNCTION("if(regexmatch(B131,""e(.*)$""),regexextract(B131,""e(.*)$""),"""")"),"")</f>
        <v/>
      </c>
      <c r="M131" s="45"/>
      <c r="N131" s="45">
        <f>countif(Constants!F:F,F131)</f>
        <v>1</v>
      </c>
      <c r="O131" s="21" t="str">
        <f>VLOOKUP($A131,Constants!$D:$D,1,false)</f>
        <v>Hartree energy in eV</v>
      </c>
    </row>
    <row r="132">
      <c r="A132" s="6" t="s">
        <v>1180</v>
      </c>
      <c r="B132" s="6" t="s">
        <v>2932</v>
      </c>
      <c r="C132" s="6" t="s">
        <v>2933</v>
      </c>
      <c r="D132" s="6" t="s">
        <v>600</v>
      </c>
      <c r="E132" s="42">
        <f>countif(Constants!F:F,F132)</f>
        <v>1</v>
      </c>
      <c r="F132" s="21" t="str">
        <f>VLOOKUP($A132,Constants!$D:$F,3,false)</f>
        <v>HartreeHertzRelationship</v>
      </c>
      <c r="G132" s="43" t="str">
        <f t="shared" si="1"/>
        <v>6.579683920502e15</v>
      </c>
      <c r="H132" s="43">
        <f t="shared" si="2"/>
        <v>6.57968E+15</v>
      </c>
      <c r="I132" s="43" t="str">
        <f t="shared" si="3"/>
        <v>0.000000000013e15</v>
      </c>
      <c r="J132" s="44">
        <f t="shared" si="4"/>
        <v>13000</v>
      </c>
      <c r="K132" s="43" t="b">
        <f t="shared" si="5"/>
        <v>0</v>
      </c>
      <c r="L132" s="21" t="str">
        <f>IFERROR(__xludf.DUMMYFUNCTION("if(regexmatch(B132,""e(.*)$""),regexextract(B132,""e(.*)$""),"""")"),"15")</f>
        <v>15</v>
      </c>
      <c r="M132" s="45"/>
      <c r="N132" s="45">
        <f>countif(Constants!F:F,F132)</f>
        <v>1</v>
      </c>
      <c r="O132" s="21" t="str">
        <f>VLOOKUP($A132,Constants!$D:$D,1,false)</f>
        <v>hartree-hertz relationship</v>
      </c>
    </row>
    <row r="133">
      <c r="A133" s="6" t="s">
        <v>1185</v>
      </c>
      <c r="B133" s="6" t="s">
        <v>2934</v>
      </c>
      <c r="C133" s="6" t="s">
        <v>2935</v>
      </c>
      <c r="D133" s="6" t="s">
        <v>606</v>
      </c>
      <c r="E133" s="42">
        <f>countif(Constants!F:F,F133)</f>
        <v>1</v>
      </c>
      <c r="F133" s="21" t="str">
        <f>VLOOKUP($A133,Constants!$D:$F,3,false)</f>
        <v>HartreeInverseMeterRelationship</v>
      </c>
      <c r="G133" s="43" t="str">
        <f t="shared" si="1"/>
        <v>2.1947463136320e7</v>
      </c>
      <c r="H133" s="43">
        <f t="shared" si="2"/>
        <v>21947463.14</v>
      </c>
      <c r="I133" s="43" t="str">
        <f t="shared" si="3"/>
        <v>0.0000000000043e7</v>
      </c>
      <c r="J133" s="44">
        <f t="shared" si="4"/>
        <v>0.000043</v>
      </c>
      <c r="K133" s="43" t="b">
        <f t="shared" si="5"/>
        <v>0</v>
      </c>
      <c r="L133" s="21" t="str">
        <f>IFERROR(__xludf.DUMMYFUNCTION("if(regexmatch(B133,""e(.*)$""),regexextract(B133,""e(.*)$""),"""")"),"7")</f>
        <v>7</v>
      </c>
      <c r="M133" s="45"/>
      <c r="N133" s="45">
        <f>countif(Constants!F:F,F133)</f>
        <v>1</v>
      </c>
      <c r="O133" s="21" t="str">
        <f>VLOOKUP($A133,Constants!$D:$D,1,false)</f>
        <v>hartree-inverse meter relationship</v>
      </c>
    </row>
    <row r="134">
      <c r="A134" s="6" t="s">
        <v>1190</v>
      </c>
      <c r="B134" s="6" t="s">
        <v>2806</v>
      </c>
      <c r="C134" s="6" t="s">
        <v>2807</v>
      </c>
      <c r="D134" s="6" t="s">
        <v>543</v>
      </c>
      <c r="E134" s="42">
        <f>countif(Constants!F:F,F134)</f>
        <v>1</v>
      </c>
      <c r="F134" s="21" t="str">
        <f>VLOOKUP($A134,Constants!$D:$F,3,false)</f>
        <v>HartreeJouleRelationship</v>
      </c>
      <c r="G134" s="43" t="str">
        <f t="shared" si="1"/>
        <v>4.3597447222071e-18</v>
      </c>
      <c r="H134" s="43">
        <f t="shared" si="2"/>
        <v>0</v>
      </c>
      <c r="I134" s="43" t="str">
        <f t="shared" si="3"/>
        <v>0.0000000000085e-18</v>
      </c>
      <c r="J134" s="44">
        <f t="shared" si="4"/>
        <v>0</v>
      </c>
      <c r="K134" s="43" t="b">
        <f t="shared" si="5"/>
        <v>0</v>
      </c>
      <c r="L134" s="21" t="str">
        <f>IFERROR(__xludf.DUMMYFUNCTION("if(regexmatch(B134,""e(.*)$""),regexextract(B134,""e(.*)$""),"""")"),"-18")</f>
        <v>-18</v>
      </c>
      <c r="M134" s="45"/>
      <c r="N134" s="45">
        <f>countif(Constants!F:F,F134)</f>
        <v>1</v>
      </c>
      <c r="O134" s="21" t="str">
        <f>VLOOKUP($A134,Constants!$D:$D,1,false)</f>
        <v>hartree-joule relationship</v>
      </c>
    </row>
    <row r="135">
      <c r="A135" s="6" t="s">
        <v>1195</v>
      </c>
      <c r="B135" s="6" t="s">
        <v>2936</v>
      </c>
      <c r="C135" s="6" t="s">
        <v>2937</v>
      </c>
      <c r="D135" s="6" t="s">
        <v>618</v>
      </c>
      <c r="E135" s="42">
        <f>countif(Constants!F:F,F135)</f>
        <v>1</v>
      </c>
      <c r="F135" s="21" t="str">
        <f>VLOOKUP($A135,Constants!$D:$F,3,false)</f>
        <v>HartreeKelvinRelationship</v>
      </c>
      <c r="G135" s="43" t="str">
        <f t="shared" si="1"/>
        <v>3.1577502480407e5</v>
      </c>
      <c r="H135" s="43">
        <f t="shared" si="2"/>
        <v>315775.0248</v>
      </c>
      <c r="I135" s="43" t="str">
        <f t="shared" si="3"/>
        <v>0.0000000000061e5</v>
      </c>
      <c r="J135" s="44">
        <f t="shared" si="4"/>
        <v>0.00000061</v>
      </c>
      <c r="K135" s="43" t="b">
        <f t="shared" si="5"/>
        <v>0</v>
      </c>
      <c r="L135" s="21" t="str">
        <f>IFERROR(__xludf.DUMMYFUNCTION("if(regexmatch(B135,""e(.*)$""),regexextract(B135,""e(.*)$""),"""")"),"5")</f>
        <v>5</v>
      </c>
      <c r="M135" s="45"/>
      <c r="N135" s="45">
        <f>countif(Constants!F:F,F135)</f>
        <v>1</v>
      </c>
      <c r="O135" s="21" t="str">
        <f>VLOOKUP($A135,Constants!$D:$D,1,false)</f>
        <v>hartree-kelvin relationship</v>
      </c>
    </row>
    <row r="136">
      <c r="A136" s="6" t="s">
        <v>1200</v>
      </c>
      <c r="B136" s="6" t="s">
        <v>2938</v>
      </c>
      <c r="C136" s="6" t="s">
        <v>2939</v>
      </c>
      <c r="D136" s="6" t="s">
        <v>538</v>
      </c>
      <c r="E136" s="42">
        <f>countif(Constants!F:F,F136)</f>
        <v>1</v>
      </c>
      <c r="F136" s="21" t="str">
        <f>VLOOKUP($A136,Constants!$D:$F,3,false)</f>
        <v>HartreeKilogramRelationship</v>
      </c>
      <c r="G136" s="43" t="str">
        <f t="shared" si="1"/>
        <v>4.8508702095432e-35</v>
      </c>
      <c r="H136" s="43">
        <f t="shared" si="2"/>
        <v>0</v>
      </c>
      <c r="I136" s="43" t="str">
        <f t="shared" si="3"/>
        <v>0.0000000000094e-35</v>
      </c>
      <c r="J136" s="44">
        <f t="shared" si="4"/>
        <v>0</v>
      </c>
      <c r="K136" s="43" t="b">
        <f t="shared" si="5"/>
        <v>0</v>
      </c>
      <c r="L136" s="21" t="str">
        <f>IFERROR(__xludf.DUMMYFUNCTION("if(regexmatch(B136,""e(.*)$""),regexextract(B136,""e(.*)$""),"""")"),"-35")</f>
        <v>-35</v>
      </c>
      <c r="M136" s="45"/>
      <c r="N136" s="45">
        <f>countif(Constants!F:F,F136)</f>
        <v>1</v>
      </c>
      <c r="O136" s="21" t="str">
        <f>VLOOKUP($A136,Constants!$D:$D,1,false)</f>
        <v>hartree-kilogram relationship</v>
      </c>
    </row>
    <row r="137">
      <c r="A137" s="6" t="s">
        <v>1205</v>
      </c>
      <c r="B137" s="6" t="s">
        <v>2940</v>
      </c>
      <c r="C137" s="6" t="s">
        <v>2759</v>
      </c>
      <c r="E137" s="42">
        <f>countif(Constants!F:F,F137)</f>
        <v>1</v>
      </c>
      <c r="F137" s="21" t="str">
        <f>VLOOKUP($A137,Constants!$D:$F,3,false)</f>
        <v>HelionElectronMassRatio</v>
      </c>
      <c r="G137" s="43" t="str">
        <f t="shared" si="1"/>
        <v>5495.88528007</v>
      </c>
      <c r="H137" s="43">
        <f t="shared" si="2"/>
        <v>5495.88528</v>
      </c>
      <c r="I137" s="43" t="str">
        <f t="shared" si="3"/>
        <v>0.00000024</v>
      </c>
      <c r="J137" s="44">
        <f t="shared" si="4"/>
        <v>0.00000024</v>
      </c>
      <c r="K137" s="43" t="b">
        <f t="shared" si="5"/>
        <v>0</v>
      </c>
      <c r="L137" s="21" t="str">
        <f>IFERROR(__xludf.DUMMYFUNCTION("if(regexmatch(B137,""e(.*)$""),regexextract(B137,""e(.*)$""),"""")"),"")</f>
        <v/>
      </c>
      <c r="M137" s="45"/>
      <c r="N137" s="45">
        <f>countif(Constants!F:F,F137)</f>
        <v>1</v>
      </c>
      <c r="O137" s="21" t="str">
        <f>VLOOKUP($A137,Constants!$D:$D,1,false)</f>
        <v>helion-electron mass ratio</v>
      </c>
    </row>
    <row r="138">
      <c r="A138" s="6" t="s">
        <v>1208</v>
      </c>
      <c r="B138" s="6" t="s">
        <v>2941</v>
      </c>
      <c r="C138" s="6" t="s">
        <v>2942</v>
      </c>
      <c r="E138" s="42">
        <f>countif(Constants!F:F,F138)</f>
        <v>1</v>
      </c>
      <c r="F138" s="21" t="str">
        <f>VLOOKUP($A138,Constants!$D:$F,3,false)</f>
        <v>HelionGFactor</v>
      </c>
      <c r="G138" s="43" t="str">
        <f t="shared" si="1"/>
        <v>-4.255250615</v>
      </c>
      <c r="H138" s="43">
        <f t="shared" si="2"/>
        <v>-4.255250615</v>
      </c>
      <c r="I138" s="43" t="str">
        <f t="shared" si="3"/>
        <v>0.000000050</v>
      </c>
      <c r="J138" s="44">
        <f t="shared" si="4"/>
        <v>0.00000005</v>
      </c>
      <c r="K138" s="43" t="b">
        <f t="shared" si="5"/>
        <v>0</v>
      </c>
      <c r="L138" s="21" t="str">
        <f>IFERROR(__xludf.DUMMYFUNCTION("if(regexmatch(B138,""e(.*)$""),regexextract(B138,""e(.*)$""),"""")"),"")</f>
        <v/>
      </c>
      <c r="M138" s="45"/>
      <c r="N138" s="45">
        <f>countif(Constants!F:F,F138)</f>
        <v>1</v>
      </c>
      <c r="O138" s="21" t="str">
        <f>VLOOKUP($A138,Constants!$D:$D,1,false)</f>
        <v>helion g factor</v>
      </c>
    </row>
    <row r="139">
      <c r="A139" s="6" t="s">
        <v>1211</v>
      </c>
      <c r="B139" s="6" t="s">
        <v>2943</v>
      </c>
      <c r="C139" s="6" t="s">
        <v>2944</v>
      </c>
      <c r="D139" s="6" t="s">
        <v>714</v>
      </c>
      <c r="E139" s="42">
        <f>countif(Constants!F:F,F139)</f>
        <v>1</v>
      </c>
      <c r="F139" s="21" t="str">
        <f>VLOOKUP($A139,Constants!$D:$F,3,false)</f>
        <v>HelionMag.Mom.</v>
      </c>
      <c r="G139" s="43" t="str">
        <f t="shared" si="1"/>
        <v>-1.074617532e-26</v>
      </c>
      <c r="H139" s="43">
        <f t="shared" si="2"/>
        <v>0</v>
      </c>
      <c r="I139" s="43" t="str">
        <f t="shared" si="3"/>
        <v>0.000000013e-26</v>
      </c>
      <c r="J139" s="44">
        <f t="shared" si="4"/>
        <v>0</v>
      </c>
      <c r="K139" s="43" t="b">
        <f t="shared" si="5"/>
        <v>0</v>
      </c>
      <c r="L139" s="21" t="str">
        <f>IFERROR(__xludf.DUMMYFUNCTION("if(regexmatch(B139,""e(.*)$""),regexextract(B139,""e(.*)$""),"""")"),"-26")</f>
        <v>-26</v>
      </c>
      <c r="M139" s="45"/>
      <c r="N139" s="45">
        <f>countif(Constants!F:F,F139)</f>
        <v>1</v>
      </c>
      <c r="O139" s="21" t="str">
        <f>VLOOKUP($A139,Constants!$D:$D,1,false)</f>
        <v>helion mag. mom.</v>
      </c>
    </row>
    <row r="140">
      <c r="A140" s="6" t="s">
        <v>1215</v>
      </c>
      <c r="B140" s="6" t="s">
        <v>2945</v>
      </c>
      <c r="C140" s="6" t="s">
        <v>2946</v>
      </c>
      <c r="E140" s="42">
        <f>countif(Constants!F:F,F140)</f>
        <v>1</v>
      </c>
      <c r="F140" s="21" t="str">
        <f>VLOOKUP($A140,Constants!$D:$F,3,false)</f>
        <v>HelionMag.Mom.ToBohrMagnetonRatio</v>
      </c>
      <c r="G140" s="43" t="str">
        <f t="shared" si="1"/>
        <v>-1.158740958e-3</v>
      </c>
      <c r="H140" s="43">
        <f t="shared" si="2"/>
        <v>-0.001158740958</v>
      </c>
      <c r="I140" s="43" t="str">
        <f t="shared" si="3"/>
        <v>0.000000014e-3</v>
      </c>
      <c r="J140" s="44">
        <f t="shared" si="4"/>
        <v>0</v>
      </c>
      <c r="K140" s="43" t="b">
        <f t="shared" si="5"/>
        <v>0</v>
      </c>
      <c r="L140" s="21" t="str">
        <f>IFERROR(__xludf.DUMMYFUNCTION("if(regexmatch(B140,""e(.*)$""),regexextract(B140,""e(.*)$""),"""")"),"-3")</f>
        <v>-3</v>
      </c>
      <c r="M140" s="45"/>
      <c r="N140" s="45">
        <f>countif(Constants!F:F,F140)</f>
        <v>1</v>
      </c>
      <c r="O140" s="21" t="str">
        <f>VLOOKUP($A140,Constants!$D:$D,1,false)</f>
        <v>helion mag. mom. to Bohr magneton ratio</v>
      </c>
    </row>
    <row r="141">
      <c r="A141" s="6" t="s">
        <v>1219</v>
      </c>
      <c r="B141" s="6" t="s">
        <v>2947</v>
      </c>
      <c r="C141" s="6" t="s">
        <v>2948</v>
      </c>
      <c r="E141" s="42">
        <f>countif(Constants!F:F,F141)</f>
        <v>1</v>
      </c>
      <c r="F141" s="21" t="str">
        <f>VLOOKUP($A141,Constants!$D:$F,3,false)</f>
        <v>HelionMag.Mom.ToNuclearMagnetonRatio</v>
      </c>
      <c r="G141" s="43" t="str">
        <f t="shared" si="1"/>
        <v>-2.127625307</v>
      </c>
      <c r="H141" s="43">
        <f t="shared" si="2"/>
        <v>-2.127625307</v>
      </c>
      <c r="I141" s="43" t="str">
        <f t="shared" si="3"/>
        <v>0.000000025</v>
      </c>
      <c r="J141" s="44">
        <f t="shared" si="4"/>
        <v>0.000000025</v>
      </c>
      <c r="K141" s="43" t="b">
        <f t="shared" si="5"/>
        <v>0</v>
      </c>
      <c r="L141" s="21" t="str">
        <f>IFERROR(__xludf.DUMMYFUNCTION("if(regexmatch(B141,""e(.*)$""),regexextract(B141,""e(.*)$""),"""")"),"")</f>
        <v/>
      </c>
      <c r="M141" s="45"/>
      <c r="N141" s="45">
        <f>countif(Constants!F:F,F141)</f>
        <v>1</v>
      </c>
      <c r="O141" s="21" t="str">
        <f>VLOOKUP($A141,Constants!$D:$D,1,false)</f>
        <v>helion mag. mom. to nuclear magneton ratio</v>
      </c>
    </row>
    <row r="142">
      <c r="A142" s="6" t="s">
        <v>1223</v>
      </c>
      <c r="B142" s="6" t="s">
        <v>2949</v>
      </c>
      <c r="C142" s="6" t="s">
        <v>2950</v>
      </c>
      <c r="D142" s="6" t="s">
        <v>538</v>
      </c>
      <c r="E142" s="42">
        <f>countif(Constants!F:F,F142)</f>
        <v>1</v>
      </c>
      <c r="F142" s="21" t="str">
        <f>VLOOKUP($A142,Constants!$D:$F,3,false)</f>
        <v>HelionMass</v>
      </c>
      <c r="G142" s="43" t="str">
        <f t="shared" si="1"/>
        <v>5.0064127796e-27</v>
      </c>
      <c r="H142" s="43">
        <f t="shared" si="2"/>
        <v>0</v>
      </c>
      <c r="I142" s="43" t="str">
        <f t="shared" si="3"/>
        <v>0.0000000015e-27</v>
      </c>
      <c r="J142" s="44">
        <f t="shared" si="4"/>
        <v>0</v>
      </c>
      <c r="K142" s="43" t="b">
        <f t="shared" si="5"/>
        <v>0</v>
      </c>
      <c r="L142" s="21" t="str">
        <f>IFERROR(__xludf.DUMMYFUNCTION("if(regexmatch(B142,""e(.*)$""),regexextract(B142,""e(.*)$""),"""")"),"-27")</f>
        <v>-27</v>
      </c>
      <c r="M142" s="45"/>
      <c r="N142" s="45">
        <f>countif(Constants!F:F,F142)</f>
        <v>1</v>
      </c>
      <c r="O142" s="21" t="str">
        <f>VLOOKUP($A142,Constants!$D:$D,1,false)</f>
        <v>helion mass</v>
      </c>
    </row>
    <row r="143">
      <c r="A143" s="6" t="s">
        <v>1227</v>
      </c>
      <c r="B143" s="6" t="s">
        <v>2951</v>
      </c>
      <c r="C143" s="6" t="s">
        <v>2448</v>
      </c>
      <c r="D143" s="6" t="s">
        <v>543</v>
      </c>
      <c r="E143" s="42">
        <f>countif(Constants!F:F,F143)</f>
        <v>1</v>
      </c>
      <c r="F143" s="21" t="str">
        <f>VLOOKUP($A143,Constants!$D:$F,3,false)</f>
        <v>HelionMassEnergyEquivalent</v>
      </c>
      <c r="G143" s="43" t="str">
        <f t="shared" si="1"/>
        <v>4.4995394125e-10</v>
      </c>
      <c r="H143" s="43">
        <f t="shared" si="2"/>
        <v>0.0000000004499539413</v>
      </c>
      <c r="I143" s="43" t="str">
        <f t="shared" si="3"/>
        <v>0.0000000014e-10</v>
      </c>
      <c r="J143" s="44">
        <f t="shared" si="4"/>
        <v>0</v>
      </c>
      <c r="K143" s="43" t="b">
        <f t="shared" si="5"/>
        <v>0</v>
      </c>
      <c r="L143" s="21" t="str">
        <f>IFERROR(__xludf.DUMMYFUNCTION("if(regexmatch(B143,""e(.*)$""),regexextract(B143,""e(.*)$""),"""")"),"-10")</f>
        <v>-10</v>
      </c>
      <c r="M143" s="45"/>
      <c r="N143" s="45">
        <f>countif(Constants!F:F,F143)</f>
        <v>1</v>
      </c>
      <c r="O143" s="21" t="str">
        <f>VLOOKUP($A143,Constants!$D:$D,1,false)</f>
        <v>helion mass energy equivalent</v>
      </c>
    </row>
    <row r="144">
      <c r="A144" s="6" t="s">
        <v>1231</v>
      </c>
      <c r="B144" s="6" t="s">
        <v>2952</v>
      </c>
      <c r="C144" s="6" t="s">
        <v>2953</v>
      </c>
      <c r="D144" s="6" t="s">
        <v>548</v>
      </c>
      <c r="E144" s="42">
        <f>countif(Constants!F:F,F144)</f>
        <v>1</v>
      </c>
      <c r="F144" s="21" t="str">
        <f>VLOOKUP($A144,Constants!$D:$F,3,false)</f>
        <v>HelionMassEnergyEquivalentInMeV</v>
      </c>
      <c r="G144" s="43" t="str">
        <f t="shared" si="1"/>
        <v>2808.39160743</v>
      </c>
      <c r="H144" s="43">
        <f t="shared" si="2"/>
        <v>2808.391607</v>
      </c>
      <c r="I144" s="43" t="str">
        <f t="shared" si="3"/>
        <v>0.00000085</v>
      </c>
      <c r="J144" s="44">
        <f t="shared" si="4"/>
        <v>0.00000085</v>
      </c>
      <c r="K144" s="43" t="b">
        <f t="shared" si="5"/>
        <v>0</v>
      </c>
      <c r="L144" s="21" t="str">
        <f>IFERROR(__xludf.DUMMYFUNCTION("if(regexmatch(B144,""e(.*)$""),regexextract(B144,""e(.*)$""),"""")"),"")</f>
        <v/>
      </c>
      <c r="M144" s="45"/>
      <c r="N144" s="45">
        <f>countif(Constants!F:F,F144)</f>
        <v>1</v>
      </c>
      <c r="O144" s="21" t="str">
        <f>VLOOKUP($A144,Constants!$D:$D,1,false)</f>
        <v>helion mass energy equivalent in MeV</v>
      </c>
    </row>
    <row r="145">
      <c r="A145" s="6" t="s">
        <v>1234</v>
      </c>
      <c r="B145" s="6" t="s">
        <v>2954</v>
      </c>
      <c r="C145" s="6" t="s">
        <v>2955</v>
      </c>
      <c r="D145" s="6" t="s">
        <v>553</v>
      </c>
      <c r="E145" s="42">
        <f>countif(Constants!F:F,F145)</f>
        <v>1</v>
      </c>
      <c r="F145" s="21" t="str">
        <f>VLOOKUP($A145,Constants!$D:$F,3,false)</f>
        <v>HelionMassInAtomicMassUnit</v>
      </c>
      <c r="G145" s="43" t="str">
        <f t="shared" si="1"/>
        <v>3.014932247175</v>
      </c>
      <c r="H145" s="43">
        <f t="shared" si="2"/>
        <v>3.014932247</v>
      </c>
      <c r="I145" s="43" t="str">
        <f t="shared" si="3"/>
        <v>0.000000000097</v>
      </c>
      <c r="J145" s="44">
        <f t="shared" si="4"/>
        <v>0</v>
      </c>
      <c r="K145" s="43" t="b">
        <f t="shared" si="5"/>
        <v>0</v>
      </c>
      <c r="L145" s="21" t="str">
        <f>IFERROR(__xludf.DUMMYFUNCTION("if(regexmatch(B145,""e(.*)$""),regexextract(B145,""e(.*)$""),"""")"),"")</f>
        <v/>
      </c>
      <c r="M145" s="45"/>
      <c r="N145" s="45">
        <f>countif(Constants!F:F,F145)</f>
        <v>1</v>
      </c>
      <c r="O145" s="21" t="str">
        <f>VLOOKUP($A145,Constants!$D:$D,1,false)</f>
        <v>helion mass in u</v>
      </c>
    </row>
    <row r="146">
      <c r="A146" s="6" t="s">
        <v>1237</v>
      </c>
      <c r="B146" s="6" t="s">
        <v>2956</v>
      </c>
      <c r="C146" s="6" t="s">
        <v>2957</v>
      </c>
      <c r="D146" s="6" t="s">
        <v>557</v>
      </c>
      <c r="E146" s="42">
        <f>countif(Constants!F:F,F146)</f>
        <v>1</v>
      </c>
      <c r="F146" s="21" t="str">
        <f>VLOOKUP($A146,Constants!$D:$F,3,false)</f>
        <v>HelionMolarMass</v>
      </c>
      <c r="G146" s="43" t="str">
        <f t="shared" si="1"/>
        <v>3.01493224613e-3</v>
      </c>
      <c r="H146" s="43">
        <f t="shared" si="2"/>
        <v>0.003014932246</v>
      </c>
      <c r="I146" s="43" t="str">
        <f t="shared" si="3"/>
        <v>0.00000000091e-3</v>
      </c>
      <c r="J146" s="44">
        <f t="shared" si="4"/>
        <v>0</v>
      </c>
      <c r="K146" s="43" t="b">
        <f t="shared" si="5"/>
        <v>0</v>
      </c>
      <c r="L146" s="21" t="str">
        <f>IFERROR(__xludf.DUMMYFUNCTION("if(regexmatch(B146,""e(.*)$""),regexextract(B146,""e(.*)$""),"""")"),"-3")</f>
        <v>-3</v>
      </c>
      <c r="M146" s="45"/>
      <c r="N146" s="45">
        <f>countif(Constants!F:F,F146)</f>
        <v>1</v>
      </c>
      <c r="O146" s="21" t="str">
        <f>VLOOKUP($A146,Constants!$D:$D,1,false)</f>
        <v>helion molar mass</v>
      </c>
    </row>
    <row r="147">
      <c r="A147" s="6" t="s">
        <v>1241</v>
      </c>
      <c r="B147" s="6" t="s">
        <v>2958</v>
      </c>
      <c r="C147" s="6" t="s">
        <v>2959</v>
      </c>
      <c r="E147" s="42">
        <f>countif(Constants!F:F,F147)</f>
        <v>1</v>
      </c>
      <c r="F147" s="21" t="str">
        <f>VLOOKUP($A147,Constants!$D:$F,3,false)</f>
        <v>HelionProtonMassRatio</v>
      </c>
      <c r="G147" s="43" t="str">
        <f t="shared" si="1"/>
        <v>2.99315267167</v>
      </c>
      <c r="H147" s="43">
        <f t="shared" si="2"/>
        <v>2.993152672</v>
      </c>
      <c r="I147" s="43" t="str">
        <f t="shared" si="3"/>
        <v>0.00000000013</v>
      </c>
      <c r="J147" s="44">
        <f t="shared" si="4"/>
        <v>0.00000000013</v>
      </c>
      <c r="K147" s="43" t="b">
        <f t="shared" si="5"/>
        <v>0</v>
      </c>
      <c r="L147" s="21" t="str">
        <f>IFERROR(__xludf.DUMMYFUNCTION("if(regexmatch(B147,""e(.*)$""),regexextract(B147,""e(.*)$""),"""")"),"")</f>
        <v/>
      </c>
      <c r="M147" s="45"/>
      <c r="N147" s="45">
        <f>countif(Constants!F:F,F147)</f>
        <v>1</v>
      </c>
      <c r="O147" s="21" t="str">
        <f>VLOOKUP($A147,Constants!$D:$D,1,false)</f>
        <v>helion-proton mass ratio</v>
      </c>
    </row>
    <row r="148">
      <c r="A148" s="6" t="s">
        <v>1245</v>
      </c>
      <c r="B148" s="6" t="s">
        <v>2954</v>
      </c>
      <c r="C148" s="6" t="s">
        <v>2955</v>
      </c>
      <c r="E148" s="42">
        <f>countif(Constants!F:F,F148)</f>
        <v>1</v>
      </c>
      <c r="F148" s="21" t="str">
        <f>VLOOKUP($A148,Constants!$D:$F,3,false)</f>
        <v>HelionRelativeAtomicMass</v>
      </c>
      <c r="G148" s="43" t="str">
        <f t="shared" si="1"/>
        <v>3.014932247175</v>
      </c>
      <c r="H148" s="43">
        <f t="shared" si="2"/>
        <v>3.014932247</v>
      </c>
      <c r="I148" s="43" t="str">
        <f t="shared" si="3"/>
        <v>0.000000000097</v>
      </c>
      <c r="J148" s="44">
        <f t="shared" si="4"/>
        <v>0</v>
      </c>
      <c r="K148" s="43" t="b">
        <f t="shared" si="5"/>
        <v>0</v>
      </c>
      <c r="L148" s="21" t="str">
        <f>IFERROR(__xludf.DUMMYFUNCTION("if(regexmatch(B148,""e(.*)$""),regexextract(B148,""e(.*)$""),"""")"),"")</f>
        <v/>
      </c>
      <c r="M148" s="45"/>
      <c r="N148" s="45">
        <f>countif(Constants!F:F,F148)</f>
        <v>1</v>
      </c>
      <c r="O148" s="21" t="str">
        <f>VLOOKUP($A148,Constants!$D:$D,1,false)</f>
        <v>helion relative atomic mass</v>
      </c>
    </row>
    <row r="149">
      <c r="A149" s="6" t="s">
        <v>1248</v>
      </c>
      <c r="B149" s="6" t="s">
        <v>2960</v>
      </c>
      <c r="C149" s="6" t="s">
        <v>2961</v>
      </c>
      <c r="E149" s="42">
        <f>countif(Constants!F:F,F149)</f>
        <v>1</v>
      </c>
      <c r="F149" s="21" t="str">
        <f>VLOOKUP($A149,Constants!$D:$F,3,false)</f>
        <v>HelionShieldingShift</v>
      </c>
      <c r="G149" s="43" t="str">
        <f t="shared" si="1"/>
        <v>5.996743e-5</v>
      </c>
      <c r="H149" s="43">
        <f t="shared" si="2"/>
        <v>0.00005996743</v>
      </c>
      <c r="I149" s="43" t="str">
        <f t="shared" si="3"/>
        <v>0.000010e-5</v>
      </c>
      <c r="J149" s="44">
        <f t="shared" si="4"/>
        <v>0.0000000001</v>
      </c>
      <c r="K149" s="43" t="b">
        <f t="shared" si="5"/>
        <v>0</v>
      </c>
      <c r="L149" s="21" t="str">
        <f>IFERROR(__xludf.DUMMYFUNCTION("if(regexmatch(B149,""e(.*)$""),regexextract(B149,""e(.*)$""),"""")"),"-5")</f>
        <v>-5</v>
      </c>
      <c r="M149" s="45"/>
      <c r="N149" s="45">
        <f>countif(Constants!F:F,F149)</f>
        <v>1</v>
      </c>
      <c r="O149" s="21" t="str">
        <f>VLOOKUP($A149,Constants!$D:$D,1,false)</f>
        <v>helion shielding shift</v>
      </c>
    </row>
    <row r="150">
      <c r="A150" s="6" t="s">
        <v>1251</v>
      </c>
      <c r="B150" s="6" t="s">
        <v>2962</v>
      </c>
      <c r="C150" s="6" t="s">
        <v>2963</v>
      </c>
      <c r="D150" s="6" t="s">
        <v>553</v>
      </c>
      <c r="E150" s="42">
        <f>countif(Constants!F:F,F150)</f>
        <v>1</v>
      </c>
      <c r="F150" s="21" t="str">
        <f>VLOOKUP($A150,Constants!$D:$F,3,false)</f>
        <v>HertzAtomicMassUnitRelationship</v>
      </c>
      <c r="G150" s="43" t="str">
        <f t="shared" si="1"/>
        <v>4.4398216652e-24</v>
      </c>
      <c r="H150" s="43">
        <f t="shared" si="2"/>
        <v>0</v>
      </c>
      <c r="I150" s="43" t="str">
        <f t="shared" si="3"/>
        <v>0.0000000013e-24</v>
      </c>
      <c r="J150" s="44">
        <f t="shared" si="4"/>
        <v>0</v>
      </c>
      <c r="K150" s="43" t="b">
        <f t="shared" si="5"/>
        <v>0</v>
      </c>
      <c r="L150" s="21" t="str">
        <f>IFERROR(__xludf.DUMMYFUNCTION("if(regexmatch(B150,""e(.*)$""),regexextract(B150,""e(.*)$""),"""")"),"-24")</f>
        <v>-24</v>
      </c>
      <c r="M150" s="45"/>
      <c r="N150" s="45">
        <f>countif(Constants!F:F,F150)</f>
        <v>1</v>
      </c>
      <c r="O150" s="21" t="str">
        <f>VLOOKUP($A150,Constants!$D:$D,1,false)</f>
        <v>hertz-atomic mass unit relationship</v>
      </c>
    </row>
    <row r="151">
      <c r="A151" s="6" t="s">
        <v>1257</v>
      </c>
      <c r="B151" s="6" t="s">
        <v>2964</v>
      </c>
      <c r="C151" s="6" t="s">
        <v>2261</v>
      </c>
      <c r="D151" s="6" t="s">
        <v>175</v>
      </c>
      <c r="E151" s="42">
        <f>countif(Constants!F:F,F151)</f>
        <v>1</v>
      </c>
      <c r="F151" s="21" t="str">
        <f>VLOOKUP($A151,Constants!$D:$F,3,false)</f>
        <v>HertzElectronVoltRelationship</v>
      </c>
      <c r="G151" s="43" t="str">
        <f t="shared" si="1"/>
        <v>4.135667696e-15</v>
      </c>
      <c r="H151" s="43">
        <f t="shared" si="2"/>
        <v>0</v>
      </c>
      <c r="I151" s="43" t="str">
        <f t="shared" si="3"/>
        <v>(exact)</v>
      </c>
      <c r="J151" s="44" t="str">
        <f t="shared" si="4"/>
        <v/>
      </c>
      <c r="K151" s="43" t="b">
        <f t="shared" si="5"/>
        <v>1</v>
      </c>
      <c r="L151" s="21" t="str">
        <f>IFERROR(__xludf.DUMMYFUNCTION("if(regexmatch(B151,""e(.*)$""),regexextract(B151,""e(.*)$""),"""")"),"-15")</f>
        <v>-15</v>
      </c>
      <c r="M151" s="45"/>
      <c r="N151" s="45">
        <f>countif(Constants!F:F,F151)</f>
        <v>1</v>
      </c>
      <c r="O151" s="21" t="str">
        <f>VLOOKUP($A151,Constants!$D:$D,1,false)</f>
        <v>hertz-electron volt relationship</v>
      </c>
    </row>
    <row r="152">
      <c r="A152" s="6" t="s">
        <v>1262</v>
      </c>
      <c r="B152" s="6" t="s">
        <v>2965</v>
      </c>
      <c r="C152" s="6" t="s">
        <v>2966</v>
      </c>
      <c r="D152" s="6" t="s">
        <v>593</v>
      </c>
      <c r="E152" s="42">
        <f>countif(Constants!F:F,F152)</f>
        <v>1</v>
      </c>
      <c r="F152" s="21" t="str">
        <f>VLOOKUP($A152,Constants!$D:$F,3,false)</f>
        <v>HertzHartreeRelationship</v>
      </c>
      <c r="G152" s="43" t="str">
        <f t="shared" si="1"/>
        <v>1.5198298460570e-16</v>
      </c>
      <c r="H152" s="43">
        <f t="shared" si="2"/>
        <v>0</v>
      </c>
      <c r="I152" s="43" t="str">
        <f t="shared" si="3"/>
        <v>0.0000000000029e-16</v>
      </c>
      <c r="J152" s="44">
        <f t="shared" si="4"/>
        <v>0</v>
      </c>
      <c r="K152" s="43" t="b">
        <f t="shared" si="5"/>
        <v>0</v>
      </c>
      <c r="L152" s="21" t="str">
        <f>IFERROR(__xludf.DUMMYFUNCTION("if(regexmatch(B152,""e(.*)$""),regexextract(B152,""e(.*)$""),"""")"),"-16")</f>
        <v>-16</v>
      </c>
      <c r="M152" s="45"/>
      <c r="N152" s="45">
        <f>countif(Constants!F:F,F152)</f>
        <v>1</v>
      </c>
      <c r="O152" s="21" t="str">
        <f>VLOOKUP($A152,Constants!$D:$D,1,false)</f>
        <v>hertz-hartree relationship</v>
      </c>
    </row>
    <row r="153">
      <c r="A153" s="6" t="s">
        <v>1267</v>
      </c>
      <c r="B153" s="6" t="s">
        <v>2967</v>
      </c>
      <c r="C153" s="6" t="s">
        <v>2261</v>
      </c>
      <c r="D153" s="6" t="s">
        <v>606</v>
      </c>
      <c r="E153" s="42">
        <f>countif(Constants!F:F,F153)</f>
        <v>1</v>
      </c>
      <c r="F153" s="21" t="str">
        <f>VLOOKUP($A153,Constants!$D:$F,3,false)</f>
        <v>HertzInverseMeterRelationship</v>
      </c>
      <c r="G153" s="43" t="str">
        <f t="shared" si="1"/>
        <v>3.335640951e-9</v>
      </c>
      <c r="H153" s="43">
        <f t="shared" si="2"/>
        <v>0.000000003335640951</v>
      </c>
      <c r="I153" s="43" t="str">
        <f t="shared" si="3"/>
        <v>(exact)</v>
      </c>
      <c r="J153" s="44" t="str">
        <f t="shared" si="4"/>
        <v/>
      </c>
      <c r="K153" s="43" t="b">
        <f t="shared" si="5"/>
        <v>1</v>
      </c>
      <c r="L153" s="21" t="str">
        <f>IFERROR(__xludf.DUMMYFUNCTION("if(regexmatch(B153,""e(.*)$""),regexextract(B153,""e(.*)$""),"""")"),"-9")</f>
        <v>-9</v>
      </c>
      <c r="M153" s="45"/>
      <c r="N153" s="45">
        <f>countif(Constants!F:F,F153)</f>
        <v>1</v>
      </c>
      <c r="O153" s="21" t="str">
        <f>VLOOKUP($A153,Constants!$D:$D,1,false)</f>
        <v>hertz-inverse meter relationship</v>
      </c>
    </row>
    <row r="154">
      <c r="A154" s="6" t="s">
        <v>1272</v>
      </c>
      <c r="B154" s="6" t="s">
        <v>2968</v>
      </c>
      <c r="C154" s="6" t="s">
        <v>2261</v>
      </c>
      <c r="D154" s="6" t="s">
        <v>543</v>
      </c>
      <c r="E154" s="42">
        <f>countif(Constants!F:F,F154)</f>
        <v>1</v>
      </c>
      <c r="F154" s="21" t="str">
        <f>VLOOKUP($A154,Constants!$D:$F,3,false)</f>
        <v>HertzJouleRelationship</v>
      </c>
      <c r="G154" s="43" t="str">
        <f t="shared" si="1"/>
        <v>6.62607015e-34</v>
      </c>
      <c r="H154" s="43">
        <f t="shared" si="2"/>
        <v>0</v>
      </c>
      <c r="I154" s="43" t="str">
        <f t="shared" si="3"/>
        <v>(exact)</v>
      </c>
      <c r="J154" s="44" t="str">
        <f t="shared" si="4"/>
        <v/>
      </c>
      <c r="K154" s="43" t="b">
        <f t="shared" si="5"/>
        <v>0</v>
      </c>
      <c r="L154" s="21" t="str">
        <f>IFERROR(__xludf.DUMMYFUNCTION("if(regexmatch(B154,""e(.*)$""),regexextract(B154,""e(.*)$""),"""")"),"-34")</f>
        <v>-34</v>
      </c>
      <c r="M154" s="45"/>
      <c r="N154" s="45">
        <f>countif(Constants!F:F,F154)</f>
        <v>1</v>
      </c>
      <c r="O154" s="21" t="str">
        <f>VLOOKUP($A154,Constants!$D:$D,1,false)</f>
        <v>hertz-joule relationship</v>
      </c>
    </row>
    <row r="155">
      <c r="A155" s="6" t="s">
        <v>1277</v>
      </c>
      <c r="B155" s="6" t="s">
        <v>2969</v>
      </c>
      <c r="C155" s="6" t="s">
        <v>2261</v>
      </c>
      <c r="D155" s="6" t="s">
        <v>618</v>
      </c>
      <c r="E155" s="42">
        <f>countif(Constants!F:F,F155)</f>
        <v>1</v>
      </c>
      <c r="F155" s="21" t="str">
        <f>VLOOKUP($A155,Constants!$D:$F,3,false)</f>
        <v>HertzKelvinRelationship</v>
      </c>
      <c r="G155" s="43" t="str">
        <f t="shared" si="1"/>
        <v>4.799243073e-11</v>
      </c>
      <c r="H155" s="43">
        <f t="shared" si="2"/>
        <v>0</v>
      </c>
      <c r="I155" s="43" t="str">
        <f t="shared" si="3"/>
        <v>(exact)</v>
      </c>
      <c r="J155" s="44" t="str">
        <f t="shared" si="4"/>
        <v/>
      </c>
      <c r="K155" s="43" t="b">
        <f t="shared" si="5"/>
        <v>1</v>
      </c>
      <c r="L155" s="21" t="str">
        <f>IFERROR(__xludf.DUMMYFUNCTION("if(regexmatch(B155,""e(.*)$""),regexextract(B155,""e(.*)$""),"""")"),"-11")</f>
        <v>-11</v>
      </c>
      <c r="M155" s="45"/>
      <c r="N155" s="45">
        <f>countif(Constants!F:F,F155)</f>
        <v>1</v>
      </c>
      <c r="O155" s="21" t="str">
        <f>VLOOKUP($A155,Constants!$D:$D,1,false)</f>
        <v>hertz-kelvin relationship</v>
      </c>
    </row>
    <row r="156">
      <c r="A156" s="6" t="s">
        <v>1282</v>
      </c>
      <c r="B156" s="6" t="s">
        <v>2970</v>
      </c>
      <c r="C156" s="6" t="s">
        <v>2261</v>
      </c>
      <c r="D156" s="6" t="s">
        <v>538</v>
      </c>
      <c r="E156" s="42">
        <f>countif(Constants!F:F,F156)</f>
        <v>1</v>
      </c>
      <c r="F156" s="21" t="str">
        <f>VLOOKUP($A156,Constants!$D:$F,3,false)</f>
        <v>HertzKilogramRelationship</v>
      </c>
      <c r="G156" s="43" t="str">
        <f t="shared" si="1"/>
        <v>7.372497323e-51</v>
      </c>
      <c r="H156" s="43">
        <f t="shared" si="2"/>
        <v>0</v>
      </c>
      <c r="I156" s="43" t="str">
        <f t="shared" si="3"/>
        <v>(exact)</v>
      </c>
      <c r="J156" s="44" t="str">
        <f t="shared" si="4"/>
        <v/>
      </c>
      <c r="K156" s="43" t="b">
        <f t="shared" si="5"/>
        <v>1</v>
      </c>
      <c r="L156" s="21" t="str">
        <f>IFERROR(__xludf.DUMMYFUNCTION("if(regexmatch(B156,""e(.*)$""),regexextract(B156,""e(.*)$""),"""")"),"-51")</f>
        <v>-51</v>
      </c>
      <c r="M156" s="45"/>
      <c r="N156" s="45">
        <f>countif(Constants!F:F,F156)</f>
        <v>1</v>
      </c>
      <c r="O156" s="21" t="str">
        <f>VLOOKUP($A156,Constants!$D:$D,1,false)</f>
        <v>hertz-kilogram relationship</v>
      </c>
    </row>
    <row r="157">
      <c r="A157" s="6" t="s">
        <v>1287</v>
      </c>
      <c r="B157" s="6" t="s">
        <v>2971</v>
      </c>
      <c r="C157" s="6" t="s">
        <v>2261</v>
      </c>
      <c r="D157" s="6" t="s">
        <v>600</v>
      </c>
      <c r="E157" s="42">
        <f>countif(Constants!F:F,F157)</f>
        <v>1</v>
      </c>
      <c r="F157" s="21" t="str">
        <f>VLOOKUP($A157,Constants!$D:$F,3,false)</f>
        <v>HyperfineTransitionFrequencyOfCs-133</v>
      </c>
      <c r="G157" s="43" t="str">
        <f t="shared" si="1"/>
        <v>9192631770</v>
      </c>
      <c r="H157" s="43">
        <f t="shared" si="2"/>
        <v>9192631770</v>
      </c>
      <c r="I157" s="43" t="str">
        <f t="shared" si="3"/>
        <v>(exact)</v>
      </c>
      <c r="J157" s="44" t="str">
        <f t="shared" si="4"/>
        <v/>
      </c>
      <c r="K157" s="43" t="b">
        <f t="shared" si="5"/>
        <v>0</v>
      </c>
      <c r="L157" s="21" t="str">
        <f>IFERROR(__xludf.DUMMYFUNCTION("if(regexmatch(B157,""e(.*)$""),regexextract(B157,""e(.*)$""),"""")"),"")</f>
        <v/>
      </c>
      <c r="M157" s="45"/>
      <c r="N157" s="45">
        <f>countif(Constants!F:F,F157)</f>
        <v>1</v>
      </c>
      <c r="O157" s="21" t="str">
        <f>VLOOKUP($A157,Constants!$D:$D,1,false)</f>
        <v>hyperfine transition frequency of Cs-133</v>
      </c>
    </row>
    <row r="158">
      <c r="A158" s="6" t="s">
        <v>1290</v>
      </c>
      <c r="B158" s="6" t="s">
        <v>2972</v>
      </c>
      <c r="C158" s="6" t="s">
        <v>2468</v>
      </c>
      <c r="E158" s="42">
        <f>countif(Constants!F:F,F158)</f>
        <v>1</v>
      </c>
      <c r="F158" s="21" t="str">
        <f>VLOOKUP($A158,Constants!$D:$F,3,false)</f>
        <v>InverseFineStructureConstant</v>
      </c>
      <c r="G158" s="43" t="str">
        <f t="shared" si="1"/>
        <v>137.035999084</v>
      </c>
      <c r="H158" s="43">
        <f t="shared" si="2"/>
        <v>137.0359991</v>
      </c>
      <c r="I158" s="43" t="str">
        <f t="shared" si="3"/>
        <v>0.000000021</v>
      </c>
      <c r="J158" s="44">
        <f t="shared" si="4"/>
        <v>0.000000021</v>
      </c>
      <c r="K158" s="43" t="b">
        <f t="shared" si="5"/>
        <v>0</v>
      </c>
      <c r="L158" s="21" t="str">
        <f>IFERROR(__xludf.DUMMYFUNCTION("if(regexmatch(B158,""e(.*)$""),regexextract(B158,""e(.*)$""),"""")"),"")</f>
        <v/>
      </c>
      <c r="M158" s="45"/>
      <c r="N158" s="45">
        <f>countif(Constants!F:F,F158)</f>
        <v>1</v>
      </c>
      <c r="O158" s="21" t="str">
        <f>VLOOKUP($A158,Constants!$D:$D,1,false)</f>
        <v>inverse fine-structure constant</v>
      </c>
    </row>
    <row r="159">
      <c r="A159" s="6" t="s">
        <v>1294</v>
      </c>
      <c r="B159" s="6" t="s">
        <v>2973</v>
      </c>
      <c r="C159" s="6" t="s">
        <v>2974</v>
      </c>
      <c r="D159" s="6" t="s">
        <v>553</v>
      </c>
      <c r="E159" s="42">
        <f>countif(Constants!F:F,F159)</f>
        <v>1</v>
      </c>
      <c r="F159" s="21" t="str">
        <f>VLOOKUP($A159,Constants!$D:$F,3,false)</f>
        <v>InverseMeterAtomicMassUnitRelationship</v>
      </c>
      <c r="G159" s="43" t="str">
        <f t="shared" si="1"/>
        <v>1.33102505010e-15</v>
      </c>
      <c r="H159" s="43">
        <f t="shared" si="2"/>
        <v>0</v>
      </c>
      <c r="I159" s="43" t="str">
        <f t="shared" si="3"/>
        <v>0.00000000040e-15</v>
      </c>
      <c r="J159" s="44">
        <f t="shared" si="4"/>
        <v>0</v>
      </c>
      <c r="K159" s="43" t="b">
        <f t="shared" si="5"/>
        <v>0</v>
      </c>
      <c r="L159" s="21" t="str">
        <f>IFERROR(__xludf.DUMMYFUNCTION("if(regexmatch(B159,""e(.*)$""),regexextract(B159,""e(.*)$""),"""")"),"-15")</f>
        <v>-15</v>
      </c>
      <c r="M159" s="45"/>
      <c r="N159" s="45">
        <f>countif(Constants!F:F,F159)</f>
        <v>1</v>
      </c>
      <c r="O159" s="21" t="str">
        <f>VLOOKUP($A159,Constants!$D:$D,1,false)</f>
        <v>inverse meter-atomic mass unit relationship</v>
      </c>
    </row>
    <row r="160">
      <c r="A160" s="6" t="s">
        <v>1300</v>
      </c>
      <c r="B160" s="6" t="s">
        <v>2975</v>
      </c>
      <c r="C160" s="6" t="s">
        <v>2261</v>
      </c>
      <c r="D160" s="6" t="s">
        <v>175</v>
      </c>
      <c r="E160" s="42">
        <f>countif(Constants!F:F,F160)</f>
        <v>1</v>
      </c>
      <c r="F160" s="21" t="str">
        <f>VLOOKUP($A160,Constants!$D:$F,3,false)</f>
        <v>InverseMeterElectronVoltRelationship</v>
      </c>
      <c r="G160" s="43" t="str">
        <f t="shared" si="1"/>
        <v>1.239841984e-6</v>
      </c>
      <c r="H160" s="43">
        <f t="shared" si="2"/>
        <v>0.000001239841984</v>
      </c>
      <c r="I160" s="43" t="str">
        <f t="shared" si="3"/>
        <v>(exact)</v>
      </c>
      <c r="J160" s="44" t="str">
        <f t="shared" si="4"/>
        <v/>
      </c>
      <c r="K160" s="43" t="b">
        <f t="shared" si="5"/>
        <v>1</v>
      </c>
      <c r="L160" s="21" t="str">
        <f>IFERROR(__xludf.DUMMYFUNCTION("if(regexmatch(B160,""e(.*)$""),regexextract(B160,""e(.*)$""),"""")"),"-6")</f>
        <v>-6</v>
      </c>
      <c r="M160" s="45"/>
      <c r="N160" s="45">
        <f>countif(Constants!F:F,F160)</f>
        <v>1</v>
      </c>
      <c r="O160" s="21" t="str">
        <f>VLOOKUP($A160,Constants!$D:$D,1,false)</f>
        <v>inverse meter-electron volt relationship</v>
      </c>
    </row>
    <row r="161">
      <c r="A161" s="6" t="s">
        <v>1305</v>
      </c>
      <c r="B161" s="6" t="s">
        <v>2976</v>
      </c>
      <c r="C161" s="6" t="s">
        <v>2977</v>
      </c>
      <c r="D161" s="6" t="s">
        <v>593</v>
      </c>
      <c r="E161" s="42">
        <f>countif(Constants!F:F,F161)</f>
        <v>1</v>
      </c>
      <c r="F161" s="21" t="str">
        <f>VLOOKUP($A161,Constants!$D:$F,3,false)</f>
        <v>InverseMeterHartreeRelationship</v>
      </c>
      <c r="G161" s="43" t="str">
        <f t="shared" si="1"/>
        <v>4.5563352529120e-8</v>
      </c>
      <c r="H161" s="43">
        <f t="shared" si="2"/>
        <v>0.00000004556335253</v>
      </c>
      <c r="I161" s="43" t="str">
        <f t="shared" si="3"/>
        <v>0.0000000000088e-8</v>
      </c>
      <c r="J161" s="44">
        <f t="shared" si="4"/>
        <v>0</v>
      </c>
      <c r="K161" s="43" t="b">
        <f t="shared" si="5"/>
        <v>0</v>
      </c>
      <c r="L161" s="21" t="str">
        <f>IFERROR(__xludf.DUMMYFUNCTION("if(regexmatch(B161,""e(.*)$""),regexextract(B161,""e(.*)$""),"""")"),"-8")</f>
        <v>-8</v>
      </c>
      <c r="M161" s="45"/>
      <c r="N161" s="45">
        <f>countif(Constants!F:F,F161)</f>
        <v>1</v>
      </c>
      <c r="O161" s="21" t="str">
        <f>VLOOKUP($A161,Constants!$D:$D,1,false)</f>
        <v>inverse meter-hartree relationship</v>
      </c>
    </row>
    <row r="162">
      <c r="A162" s="6" t="s">
        <v>1309</v>
      </c>
      <c r="B162" s="6" t="s">
        <v>2978</v>
      </c>
      <c r="C162" s="6" t="s">
        <v>2261</v>
      </c>
      <c r="D162" s="6" t="s">
        <v>600</v>
      </c>
      <c r="E162" s="42">
        <f>countif(Constants!F:F,F162)</f>
        <v>1</v>
      </c>
      <c r="F162" s="21" t="str">
        <f>VLOOKUP($A162,Constants!$D:$F,3,false)</f>
        <v>InverseMeterHertzRelationship</v>
      </c>
      <c r="G162" s="43" t="str">
        <f t="shared" si="1"/>
        <v>299792458</v>
      </c>
      <c r="H162" s="43">
        <f t="shared" si="2"/>
        <v>299792458</v>
      </c>
      <c r="I162" s="43" t="str">
        <f t="shared" si="3"/>
        <v>(exact)</v>
      </c>
      <c r="J162" s="44" t="str">
        <f t="shared" si="4"/>
        <v/>
      </c>
      <c r="K162" s="43" t="b">
        <f t="shared" si="5"/>
        <v>0</v>
      </c>
      <c r="L162" s="21" t="str">
        <f>IFERROR(__xludf.DUMMYFUNCTION("if(regexmatch(B162,""e(.*)$""),regexextract(B162,""e(.*)$""),"""")"),"")</f>
        <v/>
      </c>
      <c r="M162" s="45"/>
      <c r="N162" s="45">
        <f>countif(Constants!F:F,F162)</f>
        <v>1</v>
      </c>
      <c r="O162" s="21" t="str">
        <f>VLOOKUP($A162,Constants!$D:$D,1,false)</f>
        <v>inverse meter-hertz relationship</v>
      </c>
    </row>
    <row r="163">
      <c r="A163" s="6" t="s">
        <v>1314</v>
      </c>
      <c r="B163" s="6" t="s">
        <v>2979</v>
      </c>
      <c r="C163" s="6" t="s">
        <v>2261</v>
      </c>
      <c r="D163" s="6" t="s">
        <v>543</v>
      </c>
      <c r="E163" s="42">
        <f>countif(Constants!F:F,F163)</f>
        <v>1</v>
      </c>
      <c r="F163" s="21" t="str">
        <f>VLOOKUP($A163,Constants!$D:$F,3,false)</f>
        <v>InverseMeterJouleRelationship</v>
      </c>
      <c r="G163" s="43" t="str">
        <f t="shared" si="1"/>
        <v>1.986445857e-25</v>
      </c>
      <c r="H163" s="43">
        <f t="shared" si="2"/>
        <v>0</v>
      </c>
      <c r="I163" s="43" t="str">
        <f t="shared" si="3"/>
        <v>(exact)</v>
      </c>
      <c r="J163" s="44" t="str">
        <f t="shared" si="4"/>
        <v/>
      </c>
      <c r="K163" s="43" t="b">
        <f t="shared" si="5"/>
        <v>1</v>
      </c>
      <c r="L163" s="21" t="str">
        <f>IFERROR(__xludf.DUMMYFUNCTION("if(regexmatch(B163,""e(.*)$""),regexextract(B163,""e(.*)$""),"""")"),"-25")</f>
        <v>-25</v>
      </c>
      <c r="M163" s="45"/>
      <c r="N163" s="45">
        <f>countif(Constants!F:F,F163)</f>
        <v>1</v>
      </c>
      <c r="O163" s="21" t="str">
        <f>VLOOKUP($A163,Constants!$D:$D,1,false)</f>
        <v>inverse meter-joule relationship</v>
      </c>
    </row>
    <row r="164">
      <c r="A164" s="6" t="s">
        <v>1319</v>
      </c>
      <c r="B164" s="6" t="s">
        <v>2980</v>
      </c>
      <c r="C164" s="6" t="s">
        <v>2261</v>
      </c>
      <c r="D164" s="6" t="s">
        <v>618</v>
      </c>
      <c r="E164" s="42">
        <f>countif(Constants!F:F,F164)</f>
        <v>1</v>
      </c>
      <c r="F164" s="21" t="str">
        <f>VLOOKUP($A164,Constants!$D:$F,3,false)</f>
        <v>InverseMeterKelvinRelationship</v>
      </c>
      <c r="G164" s="43" t="str">
        <f t="shared" si="1"/>
        <v>1.438776877e-2</v>
      </c>
      <c r="H164" s="43">
        <f t="shared" si="2"/>
        <v>0.01438776877</v>
      </c>
      <c r="I164" s="43" t="str">
        <f t="shared" si="3"/>
        <v>(exact)</v>
      </c>
      <c r="J164" s="44" t="str">
        <f t="shared" si="4"/>
        <v/>
      </c>
      <c r="K164" s="43" t="b">
        <f t="shared" si="5"/>
        <v>1</v>
      </c>
      <c r="L164" s="21" t="str">
        <f>IFERROR(__xludf.DUMMYFUNCTION("if(regexmatch(B164,""e(.*)$""),regexextract(B164,""e(.*)$""),"""")"),"-2")</f>
        <v>-2</v>
      </c>
      <c r="M164" s="45"/>
      <c r="N164" s="45">
        <f>countif(Constants!F:F,F164)</f>
        <v>1</v>
      </c>
      <c r="O164" s="21" t="str">
        <f>VLOOKUP($A164,Constants!$D:$D,1,false)</f>
        <v>inverse meter-kelvin relationship</v>
      </c>
    </row>
    <row r="165">
      <c r="A165" s="6" t="s">
        <v>1324</v>
      </c>
      <c r="B165" s="6" t="s">
        <v>2981</v>
      </c>
      <c r="C165" s="6" t="s">
        <v>2261</v>
      </c>
      <c r="D165" s="6" t="s">
        <v>538</v>
      </c>
      <c r="E165" s="42">
        <f>countif(Constants!F:F,F165)</f>
        <v>1</v>
      </c>
      <c r="F165" s="21" t="str">
        <f>VLOOKUP($A165,Constants!$D:$F,3,false)</f>
        <v>InverseMeterKilogramRelationship</v>
      </c>
      <c r="G165" s="43" t="str">
        <f t="shared" si="1"/>
        <v>2.210219094e-42</v>
      </c>
      <c r="H165" s="43">
        <f t="shared" si="2"/>
        <v>0</v>
      </c>
      <c r="I165" s="43" t="str">
        <f t="shared" si="3"/>
        <v>(exact)</v>
      </c>
      <c r="J165" s="44" t="str">
        <f t="shared" si="4"/>
        <v/>
      </c>
      <c r="K165" s="43" t="b">
        <f t="shared" si="5"/>
        <v>1</v>
      </c>
      <c r="L165" s="21" t="str">
        <f>IFERROR(__xludf.DUMMYFUNCTION("if(regexmatch(B165,""e(.*)$""),regexextract(B165,""e(.*)$""),"""")"),"-42")</f>
        <v>-42</v>
      </c>
      <c r="M165" s="45"/>
      <c r="N165" s="45">
        <f>countif(Constants!F:F,F165)</f>
        <v>1</v>
      </c>
      <c r="O165" s="21" t="str">
        <f>VLOOKUP($A165,Constants!$D:$D,1,false)</f>
        <v>inverse meter-kilogram relationship</v>
      </c>
    </row>
    <row r="166">
      <c r="A166" s="6" t="s">
        <v>1329</v>
      </c>
      <c r="B166" s="6" t="s">
        <v>2982</v>
      </c>
      <c r="C166" s="6" t="s">
        <v>2261</v>
      </c>
      <c r="D166" s="6" t="s">
        <v>814</v>
      </c>
      <c r="E166" s="42">
        <f>countif(Constants!F:F,F166)</f>
        <v>1</v>
      </c>
      <c r="F166" s="21" t="str">
        <f>VLOOKUP($A166,Constants!$D:$F,3,false)</f>
        <v>InverseOfConductanceQuantum</v>
      </c>
      <c r="G166" s="43" t="str">
        <f t="shared" si="1"/>
        <v>12906.40372</v>
      </c>
      <c r="H166" s="43">
        <f t="shared" si="2"/>
        <v>12906.40372</v>
      </c>
      <c r="I166" s="43" t="str">
        <f t="shared" si="3"/>
        <v>(exact)</v>
      </c>
      <c r="J166" s="44" t="str">
        <f t="shared" si="4"/>
        <v/>
      </c>
      <c r="K166" s="43" t="b">
        <f t="shared" si="5"/>
        <v>1</v>
      </c>
      <c r="L166" s="21" t="str">
        <f>IFERROR(__xludf.DUMMYFUNCTION("if(regexmatch(B166,""e(.*)$""),regexextract(B166,""e(.*)$""),"""")"),"")</f>
        <v/>
      </c>
      <c r="M166" s="45"/>
      <c r="N166" s="45">
        <f>countif(Constants!F:F,F166)</f>
        <v>1</v>
      </c>
      <c r="O166" s="21" t="str">
        <f>VLOOKUP($A166,Constants!$D:$D,1,false)</f>
        <v>inverse of conductance quantum</v>
      </c>
    </row>
    <row r="167">
      <c r="A167" s="6" t="s">
        <v>1333</v>
      </c>
      <c r="B167" s="6" t="s">
        <v>2983</v>
      </c>
      <c r="C167" s="6" t="s">
        <v>2261</v>
      </c>
      <c r="D167" s="6" t="s">
        <v>847</v>
      </c>
      <c r="E167" s="42">
        <f>countif(Constants!F:F,F167)</f>
        <v>1</v>
      </c>
      <c r="F167" s="21" t="str">
        <f>VLOOKUP($A167,Constants!$D:$F,3,false)</f>
        <v>JosephsonConstant</v>
      </c>
      <c r="G167" s="43" t="str">
        <f t="shared" si="1"/>
        <v>483597.8484e9</v>
      </c>
      <c r="H167" s="43">
        <f t="shared" si="2"/>
        <v>483597848400000</v>
      </c>
      <c r="I167" s="43" t="str">
        <f t="shared" si="3"/>
        <v>(exact)</v>
      </c>
      <c r="J167" s="44" t="str">
        <f t="shared" si="4"/>
        <v/>
      </c>
      <c r="K167" s="43" t="b">
        <f t="shared" si="5"/>
        <v>1</v>
      </c>
      <c r="L167" s="21" t="str">
        <f>IFERROR(__xludf.DUMMYFUNCTION("if(regexmatch(B167,""e(.*)$""),regexextract(B167,""e(.*)$""),"""")"),"9")</f>
        <v>9</v>
      </c>
      <c r="M167" s="45"/>
      <c r="N167" s="45">
        <f>countif(Constants!F:F,F167)</f>
        <v>1</v>
      </c>
      <c r="O167" s="21" t="str">
        <f>VLOOKUP($A167,Constants!$D:$D,1,false)</f>
        <v>Josephson constant</v>
      </c>
    </row>
    <row r="168">
      <c r="A168" s="6" t="s">
        <v>1337</v>
      </c>
      <c r="B168" s="6" t="s">
        <v>2984</v>
      </c>
      <c r="C168" s="6" t="s">
        <v>2985</v>
      </c>
      <c r="D168" s="6" t="s">
        <v>553</v>
      </c>
      <c r="E168" s="42">
        <f>countif(Constants!F:F,F168)</f>
        <v>1</v>
      </c>
      <c r="F168" s="21" t="str">
        <f>VLOOKUP($A168,Constants!$D:$F,3,false)</f>
        <v>JouleAtomicMassUnitRelationship</v>
      </c>
      <c r="G168" s="43" t="str">
        <f t="shared" si="1"/>
        <v>6.7005352565e9</v>
      </c>
      <c r="H168" s="43">
        <f t="shared" si="2"/>
        <v>6700535257</v>
      </c>
      <c r="I168" s="43" t="str">
        <f t="shared" si="3"/>
        <v>0.0000000020e9</v>
      </c>
      <c r="J168" s="44">
        <f t="shared" si="4"/>
        <v>2</v>
      </c>
      <c r="K168" s="43" t="b">
        <f t="shared" si="5"/>
        <v>0</v>
      </c>
      <c r="L168" s="21" t="str">
        <f>IFERROR(__xludf.DUMMYFUNCTION("if(regexmatch(B168,""e(.*)$""),regexextract(B168,""e(.*)$""),"""")"),"9")</f>
        <v>9</v>
      </c>
      <c r="M168" s="45"/>
      <c r="N168" s="45">
        <f>countif(Constants!F:F,F168)</f>
        <v>1</v>
      </c>
      <c r="O168" s="21" t="str">
        <f>VLOOKUP($A168,Constants!$D:$D,1,false)</f>
        <v>joule-atomic mass unit relationship</v>
      </c>
    </row>
    <row r="169">
      <c r="A169" s="6" t="s">
        <v>1343</v>
      </c>
      <c r="B169" s="6" t="s">
        <v>2986</v>
      </c>
      <c r="C169" s="6" t="s">
        <v>2261</v>
      </c>
      <c r="D169" s="6" t="s">
        <v>175</v>
      </c>
      <c r="E169" s="42">
        <f>countif(Constants!F:F,F169)</f>
        <v>1</v>
      </c>
      <c r="F169" s="21" t="str">
        <f>VLOOKUP($A169,Constants!$D:$F,3,false)</f>
        <v>JouleElectronVoltRelationship</v>
      </c>
      <c r="G169" s="43" t="str">
        <f t="shared" si="1"/>
        <v>6.241509074e18</v>
      </c>
      <c r="H169" s="43">
        <f t="shared" si="2"/>
        <v>6.24151E+18</v>
      </c>
      <c r="I169" s="43" t="str">
        <f t="shared" si="3"/>
        <v>(exact)</v>
      </c>
      <c r="J169" s="44" t="str">
        <f t="shared" si="4"/>
        <v/>
      </c>
      <c r="K169" s="43" t="b">
        <f t="shared" si="5"/>
        <v>1</v>
      </c>
      <c r="L169" s="21" t="str">
        <f>IFERROR(__xludf.DUMMYFUNCTION("if(regexmatch(B169,""e(.*)$""),regexextract(B169,""e(.*)$""),"""")"),"18")</f>
        <v>18</v>
      </c>
      <c r="M169" s="45"/>
      <c r="N169" s="45">
        <f>countif(Constants!F:F,F169)</f>
        <v>1</v>
      </c>
      <c r="O169" s="21" t="str">
        <f>VLOOKUP($A169,Constants!$D:$D,1,false)</f>
        <v>joule-electron volt relationship</v>
      </c>
    </row>
    <row r="170">
      <c r="A170" s="6" t="s">
        <v>1348</v>
      </c>
      <c r="B170" s="6" t="s">
        <v>2987</v>
      </c>
      <c r="C170" s="6" t="s">
        <v>2988</v>
      </c>
      <c r="D170" s="6" t="s">
        <v>593</v>
      </c>
      <c r="E170" s="42">
        <f>countif(Constants!F:F,F170)</f>
        <v>1</v>
      </c>
      <c r="F170" s="21" t="str">
        <f>VLOOKUP($A170,Constants!$D:$F,3,false)</f>
        <v>JouleHartreeRelationship</v>
      </c>
      <c r="G170" s="43" t="str">
        <f t="shared" si="1"/>
        <v>2.2937122783963e17</v>
      </c>
      <c r="H170" s="43">
        <f t="shared" si="2"/>
        <v>2.29371E+17</v>
      </c>
      <c r="I170" s="43" t="str">
        <f t="shared" si="3"/>
        <v>0.0000000000045e17</v>
      </c>
      <c r="J170" s="44">
        <f t="shared" si="4"/>
        <v>450000</v>
      </c>
      <c r="K170" s="43" t="b">
        <f t="shared" si="5"/>
        <v>0</v>
      </c>
      <c r="L170" s="21" t="str">
        <f>IFERROR(__xludf.DUMMYFUNCTION("if(regexmatch(B170,""e(.*)$""),regexextract(B170,""e(.*)$""),"""")"),"17")</f>
        <v>17</v>
      </c>
      <c r="M170" s="45"/>
      <c r="N170" s="45">
        <f>countif(Constants!F:F,F170)</f>
        <v>1</v>
      </c>
      <c r="O170" s="21" t="str">
        <f>VLOOKUP($A170,Constants!$D:$D,1,false)</f>
        <v>joule-hartree relationship</v>
      </c>
    </row>
    <row r="171">
      <c r="A171" s="6" t="s">
        <v>1353</v>
      </c>
      <c r="B171" s="6" t="s">
        <v>2989</v>
      </c>
      <c r="C171" s="6" t="s">
        <v>2261</v>
      </c>
      <c r="D171" s="6" t="s">
        <v>600</v>
      </c>
      <c r="E171" s="42">
        <f>countif(Constants!F:F,F171)</f>
        <v>1</v>
      </c>
      <c r="F171" s="21" t="str">
        <f>VLOOKUP($A171,Constants!$D:$F,3,false)</f>
        <v>JouleHertzRelationship</v>
      </c>
      <c r="G171" s="43" t="str">
        <f t="shared" si="1"/>
        <v>1.509190179e33</v>
      </c>
      <c r="H171" s="43">
        <f t="shared" si="2"/>
        <v>1.50919E+33</v>
      </c>
      <c r="I171" s="43" t="str">
        <f t="shared" si="3"/>
        <v>(exact)</v>
      </c>
      <c r="J171" s="44" t="str">
        <f t="shared" si="4"/>
        <v/>
      </c>
      <c r="K171" s="43" t="b">
        <f t="shared" si="5"/>
        <v>1</v>
      </c>
      <c r="L171" s="21" t="str">
        <f>IFERROR(__xludf.DUMMYFUNCTION("if(regexmatch(B171,""e(.*)$""),regexextract(B171,""e(.*)$""),"""")"),"33")</f>
        <v>33</v>
      </c>
      <c r="M171" s="45"/>
      <c r="N171" s="45">
        <f>countif(Constants!F:F,F171)</f>
        <v>1</v>
      </c>
      <c r="O171" s="21" t="str">
        <f>VLOOKUP($A171,Constants!$D:$D,1,false)</f>
        <v>joule-hertz relationship</v>
      </c>
    </row>
    <row r="172">
      <c r="A172" s="6" t="s">
        <v>1358</v>
      </c>
      <c r="B172" s="6" t="s">
        <v>2990</v>
      </c>
      <c r="C172" s="6" t="s">
        <v>2261</v>
      </c>
      <c r="D172" s="6" t="s">
        <v>606</v>
      </c>
      <c r="E172" s="42">
        <f>countif(Constants!F:F,F172)</f>
        <v>1</v>
      </c>
      <c r="F172" s="21" t="str">
        <f>VLOOKUP($A172,Constants!$D:$F,3,false)</f>
        <v>JouleInverseMeterRelationship</v>
      </c>
      <c r="G172" s="43" t="str">
        <f t="shared" si="1"/>
        <v>5.034116567e24</v>
      </c>
      <c r="H172" s="43">
        <f t="shared" si="2"/>
        <v>5.03412E+24</v>
      </c>
      <c r="I172" s="43" t="str">
        <f t="shared" si="3"/>
        <v>(exact)</v>
      </c>
      <c r="J172" s="44" t="str">
        <f t="shared" si="4"/>
        <v/>
      </c>
      <c r="K172" s="43" t="b">
        <f t="shared" si="5"/>
        <v>1</v>
      </c>
      <c r="L172" s="21" t="str">
        <f>IFERROR(__xludf.DUMMYFUNCTION("if(regexmatch(B172,""e(.*)$""),regexextract(B172,""e(.*)$""),"""")"),"24")</f>
        <v>24</v>
      </c>
      <c r="M172" s="45"/>
      <c r="N172" s="45">
        <f>countif(Constants!F:F,F172)</f>
        <v>1</v>
      </c>
      <c r="O172" s="21" t="str">
        <f>VLOOKUP($A172,Constants!$D:$D,1,false)</f>
        <v>joule-inverse meter relationship</v>
      </c>
    </row>
    <row r="173">
      <c r="A173" s="6" t="s">
        <v>1363</v>
      </c>
      <c r="B173" s="6" t="s">
        <v>2991</v>
      </c>
      <c r="C173" s="6" t="s">
        <v>2261</v>
      </c>
      <c r="D173" s="6" t="s">
        <v>618</v>
      </c>
      <c r="E173" s="42">
        <f>countif(Constants!F:F,F173)</f>
        <v>1</v>
      </c>
      <c r="F173" s="21" t="str">
        <f>VLOOKUP($A173,Constants!$D:$F,3,false)</f>
        <v>JouleKelvinRelationship</v>
      </c>
      <c r="G173" s="43" t="str">
        <f t="shared" si="1"/>
        <v>7.242970516e22</v>
      </c>
      <c r="H173" s="43">
        <f t="shared" si="2"/>
        <v>7.24297E+22</v>
      </c>
      <c r="I173" s="43" t="str">
        <f t="shared" si="3"/>
        <v>(exact)</v>
      </c>
      <c r="J173" s="44" t="str">
        <f t="shared" si="4"/>
        <v/>
      </c>
      <c r="K173" s="43" t="b">
        <f t="shared" si="5"/>
        <v>1</v>
      </c>
      <c r="L173" s="21" t="str">
        <f>IFERROR(__xludf.DUMMYFUNCTION("if(regexmatch(B173,""e(.*)$""),regexextract(B173,""e(.*)$""),"""")"),"22")</f>
        <v>22</v>
      </c>
      <c r="M173" s="45"/>
      <c r="N173" s="45">
        <f>countif(Constants!F:F,F173)</f>
        <v>1</v>
      </c>
      <c r="O173" s="21" t="str">
        <f>VLOOKUP($A173,Constants!$D:$D,1,false)</f>
        <v>joule-kelvin relationship</v>
      </c>
    </row>
    <row r="174">
      <c r="A174" s="6" t="s">
        <v>1368</v>
      </c>
      <c r="B174" s="6" t="s">
        <v>2992</v>
      </c>
      <c r="C174" s="6" t="s">
        <v>2261</v>
      </c>
      <c r="D174" s="6" t="s">
        <v>538</v>
      </c>
      <c r="E174" s="42">
        <f>countif(Constants!F:F,F174)</f>
        <v>1</v>
      </c>
      <c r="F174" s="21" t="str">
        <f>VLOOKUP($A174,Constants!$D:$F,3,false)</f>
        <v>JouleKilogramRelationship</v>
      </c>
      <c r="G174" s="43" t="str">
        <f t="shared" si="1"/>
        <v>1.112650056e-17</v>
      </c>
      <c r="H174" s="43">
        <f t="shared" si="2"/>
        <v>0</v>
      </c>
      <c r="I174" s="43" t="str">
        <f t="shared" si="3"/>
        <v>(exact)</v>
      </c>
      <c r="J174" s="44" t="str">
        <f t="shared" si="4"/>
        <v/>
      </c>
      <c r="K174" s="43" t="b">
        <f t="shared" si="5"/>
        <v>1</v>
      </c>
      <c r="L174" s="21" t="str">
        <f>IFERROR(__xludf.DUMMYFUNCTION("if(regexmatch(B174,""e(.*)$""),regexextract(B174,""e(.*)$""),"""")"),"-17")</f>
        <v>-17</v>
      </c>
      <c r="M174" s="45"/>
      <c r="N174" s="45">
        <f>countif(Constants!F:F,F174)</f>
        <v>1</v>
      </c>
      <c r="O174" s="21" t="str">
        <f>VLOOKUP($A174,Constants!$D:$D,1,false)</f>
        <v>joule-kilogram relationship</v>
      </c>
    </row>
    <row r="175">
      <c r="A175" s="6" t="s">
        <v>1373</v>
      </c>
      <c r="B175" s="6" t="s">
        <v>2993</v>
      </c>
      <c r="C175" s="6" t="s">
        <v>2994</v>
      </c>
      <c r="D175" s="6" t="s">
        <v>553</v>
      </c>
      <c r="E175" s="42">
        <f>countif(Constants!F:F,F175)</f>
        <v>1</v>
      </c>
      <c r="F175" s="21" t="str">
        <f>VLOOKUP($A175,Constants!$D:$F,3,false)</f>
        <v>KelvinAtomicMassUnitRelationship</v>
      </c>
      <c r="G175" s="43" t="str">
        <f t="shared" si="1"/>
        <v>9.2510873014e-14</v>
      </c>
      <c r="H175" s="43">
        <f t="shared" si="2"/>
        <v>0</v>
      </c>
      <c r="I175" s="43" t="str">
        <f t="shared" si="3"/>
        <v>0.0000000028e-14</v>
      </c>
      <c r="J175" s="44">
        <f t="shared" si="4"/>
        <v>0</v>
      </c>
      <c r="K175" s="43" t="b">
        <f t="shared" si="5"/>
        <v>0</v>
      </c>
      <c r="L175" s="21" t="str">
        <f>IFERROR(__xludf.DUMMYFUNCTION("if(regexmatch(B175,""e(.*)$""),regexextract(B175,""e(.*)$""),"""")"),"-14")</f>
        <v>-14</v>
      </c>
      <c r="M175" s="45"/>
      <c r="N175" s="45">
        <f>countif(Constants!F:F,F175)</f>
        <v>1</v>
      </c>
      <c r="O175" s="21" t="str">
        <f>VLOOKUP($A175,Constants!$D:$D,1,false)</f>
        <v>kelvin-atomic mass unit relationship</v>
      </c>
    </row>
    <row r="176">
      <c r="A176" s="6" t="s">
        <v>1379</v>
      </c>
      <c r="B176" s="6" t="s">
        <v>2838</v>
      </c>
      <c r="C176" s="6" t="s">
        <v>2261</v>
      </c>
      <c r="D176" s="6" t="s">
        <v>175</v>
      </c>
      <c r="E176" s="42">
        <f>countif(Constants!F:F,F176)</f>
        <v>1</v>
      </c>
      <c r="F176" s="21" t="str">
        <f>VLOOKUP($A176,Constants!$D:$F,3,false)</f>
        <v>KelvinElectronVoltRelationship</v>
      </c>
      <c r="G176" s="43" t="str">
        <f t="shared" si="1"/>
        <v>8.617333262e-5</v>
      </c>
      <c r="H176" s="43">
        <f t="shared" si="2"/>
        <v>0.00008617333262</v>
      </c>
      <c r="I176" s="43" t="str">
        <f t="shared" si="3"/>
        <v>(exact)</v>
      </c>
      <c r="J176" s="44" t="str">
        <f t="shared" si="4"/>
        <v/>
      </c>
      <c r="K176" s="43" t="b">
        <f t="shared" si="5"/>
        <v>1</v>
      </c>
      <c r="L176" s="21" t="str">
        <f>IFERROR(__xludf.DUMMYFUNCTION("if(regexmatch(B176,""e(.*)$""),regexextract(B176,""e(.*)$""),"""")"),"-5")</f>
        <v>-5</v>
      </c>
      <c r="M176" s="45"/>
      <c r="N176" s="45">
        <f>countif(Constants!F:F,F176)</f>
        <v>1</v>
      </c>
      <c r="O176" s="21" t="str">
        <f>VLOOKUP($A176,Constants!$D:$D,1,false)</f>
        <v>kelvin-electron volt relationship</v>
      </c>
    </row>
    <row r="177">
      <c r="A177" s="6" t="s">
        <v>1384</v>
      </c>
      <c r="B177" s="6" t="s">
        <v>2995</v>
      </c>
      <c r="C177" s="6" t="s">
        <v>2996</v>
      </c>
      <c r="D177" s="6" t="s">
        <v>593</v>
      </c>
      <c r="E177" s="42">
        <f>countif(Constants!F:F,F177)</f>
        <v>1</v>
      </c>
      <c r="F177" s="21" t="str">
        <f>VLOOKUP($A177,Constants!$D:$F,3,false)</f>
        <v>KelvinHartreeRelationship</v>
      </c>
      <c r="G177" s="43" t="str">
        <f t="shared" si="1"/>
        <v>3.1668115634556e-6</v>
      </c>
      <c r="H177" s="43">
        <f t="shared" si="2"/>
        <v>0.000003166811563</v>
      </c>
      <c r="I177" s="43" t="str">
        <f t="shared" si="3"/>
        <v>0.0000000000061e-6</v>
      </c>
      <c r="J177" s="44">
        <f t="shared" si="4"/>
        <v>0</v>
      </c>
      <c r="K177" s="43" t="b">
        <f t="shared" si="5"/>
        <v>0</v>
      </c>
      <c r="L177" s="21" t="str">
        <f>IFERROR(__xludf.DUMMYFUNCTION("if(regexmatch(B177,""e(.*)$""),regexextract(B177,""e(.*)$""),"""")"),"-6")</f>
        <v>-6</v>
      </c>
      <c r="M177" s="45"/>
      <c r="N177" s="45">
        <f>countif(Constants!F:F,F177)</f>
        <v>1</v>
      </c>
      <c r="O177" s="21" t="str">
        <f>VLOOKUP($A177,Constants!$D:$D,1,false)</f>
        <v>kelvin-hartree relationship</v>
      </c>
    </row>
    <row r="178">
      <c r="A178" s="6" t="s">
        <v>1389</v>
      </c>
      <c r="B178" s="6" t="s">
        <v>2839</v>
      </c>
      <c r="C178" s="6" t="s">
        <v>2261</v>
      </c>
      <c r="D178" s="6" t="s">
        <v>600</v>
      </c>
      <c r="E178" s="42">
        <f>countif(Constants!F:F,F178)</f>
        <v>1</v>
      </c>
      <c r="F178" s="21" t="str">
        <f>VLOOKUP($A178,Constants!$D:$F,3,false)</f>
        <v>KelvinHertzRelationship</v>
      </c>
      <c r="G178" s="43" t="str">
        <f t="shared" si="1"/>
        <v>2.083661912e10</v>
      </c>
      <c r="H178" s="43">
        <f t="shared" si="2"/>
        <v>20836619120</v>
      </c>
      <c r="I178" s="43" t="str">
        <f t="shared" si="3"/>
        <v>(exact)</v>
      </c>
      <c r="J178" s="44" t="str">
        <f t="shared" si="4"/>
        <v/>
      </c>
      <c r="K178" s="43" t="b">
        <f t="shared" si="5"/>
        <v>1</v>
      </c>
      <c r="L178" s="21" t="str">
        <f>IFERROR(__xludf.DUMMYFUNCTION("if(regexmatch(B178,""e(.*)$""),regexextract(B178,""e(.*)$""),"""")"),"10")</f>
        <v>10</v>
      </c>
      <c r="M178" s="45"/>
      <c r="N178" s="45">
        <f>countif(Constants!F:F,F178)</f>
        <v>1</v>
      </c>
      <c r="O178" s="21" t="str">
        <f>VLOOKUP($A178,Constants!$D:$D,1,false)</f>
        <v>kelvin-hertz relationship</v>
      </c>
    </row>
    <row r="179">
      <c r="A179" s="6" t="s">
        <v>1394</v>
      </c>
      <c r="B179" s="6" t="s">
        <v>2840</v>
      </c>
      <c r="C179" s="6" t="s">
        <v>2261</v>
      </c>
      <c r="D179" s="6" t="s">
        <v>606</v>
      </c>
      <c r="E179" s="42">
        <f>countif(Constants!F:F,F179)</f>
        <v>1</v>
      </c>
      <c r="F179" s="21" t="str">
        <f>VLOOKUP($A179,Constants!$D:$F,3,false)</f>
        <v>KelvinInverseMeterRelationship</v>
      </c>
      <c r="G179" s="43" t="str">
        <f t="shared" si="1"/>
        <v>69.50348004</v>
      </c>
      <c r="H179" s="43">
        <f t="shared" si="2"/>
        <v>69.50348004</v>
      </c>
      <c r="I179" s="43" t="str">
        <f t="shared" si="3"/>
        <v>(exact)</v>
      </c>
      <c r="J179" s="44" t="str">
        <f t="shared" si="4"/>
        <v/>
      </c>
      <c r="K179" s="43" t="b">
        <f t="shared" si="5"/>
        <v>1</v>
      </c>
      <c r="L179" s="21" t="str">
        <f>IFERROR(__xludf.DUMMYFUNCTION("if(regexmatch(B179,""e(.*)$""),regexextract(B179,""e(.*)$""),"""")"),"")</f>
        <v/>
      </c>
      <c r="M179" s="45"/>
      <c r="N179" s="45">
        <f>countif(Constants!F:F,F179)</f>
        <v>1</v>
      </c>
      <c r="O179" s="21" t="str">
        <f>VLOOKUP($A179,Constants!$D:$D,1,false)</f>
        <v>kelvin-inverse meter relationship</v>
      </c>
    </row>
    <row r="180">
      <c r="A180" s="6" t="s">
        <v>1399</v>
      </c>
      <c r="B180" s="6" t="s">
        <v>2837</v>
      </c>
      <c r="C180" s="6" t="s">
        <v>2261</v>
      </c>
      <c r="D180" s="6" t="s">
        <v>543</v>
      </c>
      <c r="E180" s="42">
        <f>countif(Constants!F:F,F180)</f>
        <v>1</v>
      </c>
      <c r="F180" s="21" t="str">
        <f>VLOOKUP($A180,Constants!$D:$F,3,false)</f>
        <v>KelvinJouleRelationship</v>
      </c>
      <c r="G180" s="43" t="str">
        <f t="shared" si="1"/>
        <v>1.380649e-23</v>
      </c>
      <c r="H180" s="43">
        <f t="shared" si="2"/>
        <v>0</v>
      </c>
      <c r="I180" s="43" t="str">
        <f t="shared" si="3"/>
        <v>(exact)</v>
      </c>
      <c r="J180" s="44" t="str">
        <f t="shared" si="4"/>
        <v/>
      </c>
      <c r="K180" s="43" t="b">
        <f t="shared" si="5"/>
        <v>0</v>
      </c>
      <c r="L180" s="21" t="str">
        <f>IFERROR(__xludf.DUMMYFUNCTION("if(regexmatch(B180,""e(.*)$""),regexextract(B180,""e(.*)$""),"""")"),"-23")</f>
        <v>-23</v>
      </c>
      <c r="M180" s="45"/>
      <c r="N180" s="45">
        <f>countif(Constants!F:F,F180)</f>
        <v>1</v>
      </c>
      <c r="O180" s="21" t="str">
        <f>VLOOKUP($A180,Constants!$D:$D,1,false)</f>
        <v>kelvin-joule relationship</v>
      </c>
    </row>
    <row r="181">
      <c r="A181" s="6" t="s">
        <v>1404</v>
      </c>
      <c r="B181" s="6" t="s">
        <v>2997</v>
      </c>
      <c r="C181" s="6" t="s">
        <v>2261</v>
      </c>
      <c r="D181" s="6" t="s">
        <v>538</v>
      </c>
      <c r="E181" s="42">
        <f>countif(Constants!F:F,F181)</f>
        <v>1</v>
      </c>
      <c r="F181" s="21" t="str">
        <f>VLOOKUP($A181,Constants!$D:$F,3,false)</f>
        <v>KelvinKilogramRelationship</v>
      </c>
      <c r="G181" s="43" t="str">
        <f t="shared" si="1"/>
        <v>1.536179187e-40</v>
      </c>
      <c r="H181" s="43">
        <f t="shared" si="2"/>
        <v>0</v>
      </c>
      <c r="I181" s="43" t="str">
        <f t="shared" si="3"/>
        <v>(exact)</v>
      </c>
      <c r="J181" s="44" t="str">
        <f t="shared" si="4"/>
        <v/>
      </c>
      <c r="K181" s="43" t="b">
        <f t="shared" si="5"/>
        <v>1</v>
      </c>
      <c r="L181" s="21" t="str">
        <f>IFERROR(__xludf.DUMMYFUNCTION("if(regexmatch(B181,""e(.*)$""),regexextract(B181,""e(.*)$""),"""")"),"-40")</f>
        <v>-40</v>
      </c>
      <c r="M181" s="45"/>
      <c r="N181" s="45">
        <f>countif(Constants!F:F,F181)</f>
        <v>1</v>
      </c>
      <c r="O181" s="21" t="str">
        <f>VLOOKUP($A181,Constants!$D:$D,1,false)</f>
        <v>kelvin-kilogram relationship</v>
      </c>
    </row>
    <row r="182">
      <c r="A182" s="6" t="s">
        <v>1409</v>
      </c>
      <c r="B182" s="6" t="s">
        <v>2998</v>
      </c>
      <c r="C182" s="6" t="s">
        <v>2999</v>
      </c>
      <c r="D182" s="6" t="s">
        <v>553</v>
      </c>
      <c r="E182" s="42">
        <f>countif(Constants!F:F,F182)</f>
        <v>1</v>
      </c>
      <c r="F182" s="21" t="str">
        <f>VLOOKUP($A182,Constants!$D:$F,3,false)</f>
        <v>KilogramAtomicMassUnitRelationship</v>
      </c>
      <c r="G182" s="43" t="str">
        <f t="shared" si="1"/>
        <v>6.0221407621e26</v>
      </c>
      <c r="H182" s="43">
        <f t="shared" si="2"/>
        <v>6.02214E+26</v>
      </c>
      <c r="I182" s="43" t="str">
        <f t="shared" si="3"/>
        <v>0.0000000018e26</v>
      </c>
      <c r="J182" s="44">
        <f t="shared" si="4"/>
        <v>1.8E+17</v>
      </c>
      <c r="K182" s="43" t="b">
        <f t="shared" si="5"/>
        <v>0</v>
      </c>
      <c r="L182" s="21" t="str">
        <f>IFERROR(__xludf.DUMMYFUNCTION("if(regexmatch(B182,""e(.*)$""),regexextract(B182,""e(.*)$""),"""")"),"26")</f>
        <v>26</v>
      </c>
      <c r="M182" s="45"/>
      <c r="N182" s="45">
        <f>countif(Constants!F:F,F182)</f>
        <v>1</v>
      </c>
      <c r="O182" s="21" t="str">
        <f>VLOOKUP($A182,Constants!$D:$D,1,false)</f>
        <v>kilogram-atomic mass unit relationship</v>
      </c>
    </row>
    <row r="183">
      <c r="A183" s="6" t="s">
        <v>1415</v>
      </c>
      <c r="B183" s="6" t="s">
        <v>3000</v>
      </c>
      <c r="C183" s="6" t="s">
        <v>2261</v>
      </c>
      <c r="D183" s="6" t="s">
        <v>175</v>
      </c>
      <c r="E183" s="42">
        <f>countif(Constants!F:F,F183)</f>
        <v>1</v>
      </c>
      <c r="F183" s="21" t="str">
        <f>VLOOKUP($A183,Constants!$D:$F,3,false)</f>
        <v>KilogramElectronVoltRelationship</v>
      </c>
      <c r="G183" s="43" t="str">
        <f t="shared" si="1"/>
        <v>5.609588603e35</v>
      </c>
      <c r="H183" s="43">
        <f t="shared" si="2"/>
        <v>5.60959E+35</v>
      </c>
      <c r="I183" s="43" t="str">
        <f t="shared" si="3"/>
        <v>(exact)</v>
      </c>
      <c r="J183" s="44" t="str">
        <f t="shared" si="4"/>
        <v/>
      </c>
      <c r="K183" s="43" t="b">
        <f t="shared" si="5"/>
        <v>1</v>
      </c>
      <c r="L183" s="21" t="str">
        <f>IFERROR(__xludf.DUMMYFUNCTION("if(regexmatch(B183,""e(.*)$""),regexextract(B183,""e(.*)$""),"""")"),"35")</f>
        <v>35</v>
      </c>
      <c r="M183" s="45"/>
      <c r="N183" s="45">
        <f>countif(Constants!F:F,F183)</f>
        <v>1</v>
      </c>
      <c r="O183" s="21" t="str">
        <f>VLOOKUP($A183,Constants!$D:$D,1,false)</f>
        <v>kilogram-electron volt relationship</v>
      </c>
    </row>
    <row r="184">
      <c r="A184" s="6" t="s">
        <v>1420</v>
      </c>
      <c r="B184" s="6" t="s">
        <v>3001</v>
      </c>
      <c r="C184" s="6" t="s">
        <v>3002</v>
      </c>
      <c r="D184" s="6" t="s">
        <v>593</v>
      </c>
      <c r="E184" s="42">
        <f>countif(Constants!F:F,F184)</f>
        <v>1</v>
      </c>
      <c r="F184" s="21" t="str">
        <f>VLOOKUP($A184,Constants!$D:$F,3,false)</f>
        <v>KilogramHartreeRelationship</v>
      </c>
      <c r="G184" s="43" t="str">
        <f t="shared" si="1"/>
        <v>2.0614857887409e34</v>
      </c>
      <c r="H184" s="43">
        <f t="shared" si="2"/>
        <v>2.06149E+34</v>
      </c>
      <c r="I184" s="43" t="str">
        <f t="shared" si="3"/>
        <v>0.0000000000040e34</v>
      </c>
      <c r="J184" s="44">
        <f t="shared" si="4"/>
        <v>4E+22</v>
      </c>
      <c r="K184" s="43" t="b">
        <f t="shared" si="5"/>
        <v>0</v>
      </c>
      <c r="L184" s="21" t="str">
        <f>IFERROR(__xludf.DUMMYFUNCTION("if(regexmatch(B184,""e(.*)$""),regexextract(B184,""e(.*)$""),"""")"),"34")</f>
        <v>34</v>
      </c>
      <c r="M184" s="45"/>
      <c r="N184" s="45">
        <f>countif(Constants!F:F,F184)</f>
        <v>1</v>
      </c>
      <c r="O184" s="21" t="str">
        <f>VLOOKUP($A184,Constants!$D:$D,1,false)</f>
        <v>kilogram-hartree relationship</v>
      </c>
    </row>
    <row r="185">
      <c r="A185" s="6" t="s">
        <v>1425</v>
      </c>
      <c r="B185" s="6" t="s">
        <v>3003</v>
      </c>
      <c r="C185" s="6" t="s">
        <v>2261</v>
      </c>
      <c r="D185" s="6" t="s">
        <v>600</v>
      </c>
      <c r="E185" s="42">
        <f>countif(Constants!F:F,F185)</f>
        <v>1</v>
      </c>
      <c r="F185" s="21" t="str">
        <f>VLOOKUP($A185,Constants!$D:$F,3,false)</f>
        <v>KilogramHertzRelationship</v>
      </c>
      <c r="G185" s="43" t="str">
        <f t="shared" si="1"/>
        <v>1.356392489e50</v>
      </c>
      <c r="H185" s="43">
        <f t="shared" si="2"/>
        <v>1.35639E+50</v>
      </c>
      <c r="I185" s="43" t="str">
        <f t="shared" si="3"/>
        <v>(exact)</v>
      </c>
      <c r="J185" s="44" t="str">
        <f t="shared" si="4"/>
        <v/>
      </c>
      <c r="K185" s="43" t="b">
        <f t="shared" si="5"/>
        <v>1</v>
      </c>
      <c r="L185" s="21" t="str">
        <f>IFERROR(__xludf.DUMMYFUNCTION("if(regexmatch(B185,""e(.*)$""),regexextract(B185,""e(.*)$""),"""")"),"50")</f>
        <v>50</v>
      </c>
      <c r="M185" s="45"/>
      <c r="N185" s="45">
        <f>countif(Constants!F:F,F185)</f>
        <v>1</v>
      </c>
      <c r="O185" s="21" t="str">
        <f>VLOOKUP($A185,Constants!$D:$D,1,false)</f>
        <v>kilogram-hertz relationship</v>
      </c>
    </row>
    <row r="186">
      <c r="A186" s="6" t="s">
        <v>1430</v>
      </c>
      <c r="B186" s="6" t="s">
        <v>3004</v>
      </c>
      <c r="C186" s="6" t="s">
        <v>2261</v>
      </c>
      <c r="D186" s="6" t="s">
        <v>606</v>
      </c>
      <c r="E186" s="42">
        <f>countif(Constants!F:F,F186)</f>
        <v>1</v>
      </c>
      <c r="F186" s="21" t="str">
        <f>VLOOKUP($A186,Constants!$D:$F,3,false)</f>
        <v>KilogramInverseMeterRelationship</v>
      </c>
      <c r="G186" s="43" t="str">
        <f t="shared" si="1"/>
        <v>4.524438335e41</v>
      </c>
      <c r="H186" s="43">
        <f t="shared" si="2"/>
        <v>4.52444E+41</v>
      </c>
      <c r="I186" s="43" t="str">
        <f t="shared" si="3"/>
        <v>(exact)</v>
      </c>
      <c r="J186" s="44" t="str">
        <f t="shared" si="4"/>
        <v/>
      </c>
      <c r="K186" s="43" t="b">
        <f t="shared" si="5"/>
        <v>1</v>
      </c>
      <c r="L186" s="21" t="str">
        <f>IFERROR(__xludf.DUMMYFUNCTION("if(regexmatch(B186,""e(.*)$""),regexextract(B186,""e(.*)$""),"""")"),"41")</f>
        <v>41</v>
      </c>
      <c r="M186" s="45"/>
      <c r="N186" s="45">
        <f>countif(Constants!F:F,F186)</f>
        <v>1</v>
      </c>
      <c r="O186" s="21" t="str">
        <f>VLOOKUP($A186,Constants!$D:$D,1,false)</f>
        <v>kilogram-inverse meter relationship</v>
      </c>
    </row>
    <row r="187">
      <c r="A187" s="6" t="s">
        <v>1435</v>
      </c>
      <c r="B187" s="6" t="s">
        <v>3005</v>
      </c>
      <c r="C187" s="6" t="s">
        <v>2261</v>
      </c>
      <c r="D187" s="6" t="s">
        <v>543</v>
      </c>
      <c r="E187" s="42">
        <f>countif(Constants!F:F,F187)</f>
        <v>1</v>
      </c>
      <c r="F187" s="21" t="str">
        <f>VLOOKUP($A187,Constants!$D:$F,3,false)</f>
        <v>KilogramJouleRelationship</v>
      </c>
      <c r="G187" s="43" t="str">
        <f t="shared" si="1"/>
        <v>8.987551787e16</v>
      </c>
      <c r="H187" s="43">
        <f t="shared" si="2"/>
        <v>8.98755E+16</v>
      </c>
      <c r="I187" s="43" t="str">
        <f t="shared" si="3"/>
        <v>(exact)</v>
      </c>
      <c r="J187" s="44" t="str">
        <f t="shared" si="4"/>
        <v/>
      </c>
      <c r="K187" s="43" t="b">
        <f t="shared" si="5"/>
        <v>1</v>
      </c>
      <c r="L187" s="21" t="str">
        <f>IFERROR(__xludf.DUMMYFUNCTION("if(regexmatch(B187,""e(.*)$""),regexextract(B187,""e(.*)$""),"""")"),"16")</f>
        <v>16</v>
      </c>
      <c r="M187" s="45"/>
      <c r="N187" s="45">
        <f>countif(Constants!F:F,F187)</f>
        <v>1</v>
      </c>
      <c r="O187" s="21" t="str">
        <f>VLOOKUP($A187,Constants!$D:$D,1,false)</f>
        <v>kilogram-joule relationship</v>
      </c>
    </row>
    <row r="188">
      <c r="A188" s="6" t="s">
        <v>1440</v>
      </c>
      <c r="B188" s="6" t="s">
        <v>3006</v>
      </c>
      <c r="C188" s="6" t="s">
        <v>2261</v>
      </c>
      <c r="D188" s="6" t="s">
        <v>618</v>
      </c>
      <c r="E188" s="42">
        <f>countif(Constants!F:F,F188)</f>
        <v>1</v>
      </c>
      <c r="F188" s="21" t="str">
        <f>VLOOKUP($A188,Constants!$D:$F,3,false)</f>
        <v>KilogramKelvinRelationship</v>
      </c>
      <c r="G188" s="43" t="str">
        <f t="shared" si="1"/>
        <v>6.509657260e39</v>
      </c>
      <c r="H188" s="43">
        <f t="shared" si="2"/>
        <v>6.50966E+39</v>
      </c>
      <c r="I188" s="43" t="str">
        <f t="shared" si="3"/>
        <v>(exact)</v>
      </c>
      <c r="J188" s="44" t="str">
        <f t="shared" si="4"/>
        <v/>
      </c>
      <c r="K188" s="43" t="b">
        <f t="shared" si="5"/>
        <v>1</v>
      </c>
      <c r="L188" s="21" t="str">
        <f>IFERROR(__xludf.DUMMYFUNCTION("if(regexmatch(B188,""e(.*)$""),regexextract(B188,""e(.*)$""),"""")"),"39")</f>
        <v>39</v>
      </c>
      <c r="M188" s="45"/>
      <c r="N188" s="45">
        <f>countif(Constants!F:F,F188)</f>
        <v>1</v>
      </c>
      <c r="O188" s="21" t="str">
        <f>VLOOKUP($A188,Constants!$D:$D,1,false)</f>
        <v>kilogram-kelvin relationship</v>
      </c>
    </row>
    <row r="189">
      <c r="A189" s="6" t="s">
        <v>1445</v>
      </c>
      <c r="B189" s="6" t="s">
        <v>3007</v>
      </c>
      <c r="C189" s="6" t="s">
        <v>2504</v>
      </c>
      <c r="D189" s="6" t="s">
        <v>571</v>
      </c>
      <c r="E189" s="42">
        <f>countif(Constants!F:F,F189)</f>
        <v>1</v>
      </c>
      <c r="F189" s="21" t="str">
        <f>VLOOKUP($A189,Constants!$D:$F,3,false)</f>
        <v>LatticeParameterOfSilicon</v>
      </c>
      <c r="G189" s="43" t="str">
        <f t="shared" si="1"/>
        <v>5.431020511e-10</v>
      </c>
      <c r="H189" s="43">
        <f t="shared" si="2"/>
        <v>0.0000000005431020511</v>
      </c>
      <c r="I189" s="43" t="str">
        <f t="shared" si="3"/>
        <v>0.000000089e-10</v>
      </c>
      <c r="J189" s="44">
        <f t="shared" si="4"/>
        <v>0</v>
      </c>
      <c r="K189" s="43" t="b">
        <f t="shared" si="5"/>
        <v>0</v>
      </c>
      <c r="L189" s="21" t="str">
        <f>IFERROR(__xludf.DUMMYFUNCTION("if(regexmatch(B189,""e(.*)$""),regexextract(B189,""e(.*)$""),"""")"),"-10")</f>
        <v>-10</v>
      </c>
      <c r="M189" s="45"/>
      <c r="N189" s="45">
        <f>countif(Constants!F:F,F189)</f>
        <v>1</v>
      </c>
      <c r="O189" s="21" t="str">
        <f>VLOOKUP($A189,Constants!$D:$D,1,false)</f>
        <v>lattice parameter of silicon</v>
      </c>
    </row>
    <row r="190">
      <c r="A190" s="6" t="s">
        <v>1449</v>
      </c>
      <c r="B190" s="6" t="s">
        <v>3008</v>
      </c>
      <c r="C190" s="6" t="s">
        <v>2506</v>
      </c>
      <c r="D190" s="6" t="s">
        <v>571</v>
      </c>
      <c r="E190" s="42">
        <f>countif(Constants!F:F,F190)</f>
        <v>1</v>
      </c>
      <c r="F190" s="21" t="str">
        <f>VLOOKUP($A190,Constants!$D:$F,3,false)</f>
        <v>LatticeSpacingOfSilicon</v>
      </c>
      <c r="G190" s="43" t="str">
        <f t="shared" si="1"/>
        <v>1.920155716e-10</v>
      </c>
      <c r="H190" s="43">
        <f t="shared" si="2"/>
        <v>0.0000000001920155716</v>
      </c>
      <c r="I190" s="43" t="str">
        <f t="shared" si="3"/>
        <v>0.000000032e-10</v>
      </c>
      <c r="J190" s="44">
        <f t="shared" si="4"/>
        <v>0</v>
      </c>
      <c r="K190" s="43" t="b">
        <f t="shared" si="5"/>
        <v>0</v>
      </c>
      <c r="L190" s="21" t="str">
        <f>IFERROR(__xludf.DUMMYFUNCTION("if(regexmatch(B190,""e(.*)$""),regexextract(B190,""e(.*)$""),"""")"),"-10")</f>
        <v>-10</v>
      </c>
      <c r="M190" s="45"/>
      <c r="N190" s="45">
        <f>countif(Constants!F:F,F190)</f>
        <v>1</v>
      </c>
      <c r="O190" s="21" t="str">
        <f>VLOOKUP($A190,Constants!$D:$D,1,false)</f>
        <v>lattice spacing of ideal Si (220)</v>
      </c>
    </row>
    <row r="191">
      <c r="A191" s="6" t="s">
        <v>1453</v>
      </c>
      <c r="B191" s="6" t="s">
        <v>3009</v>
      </c>
      <c r="C191" s="6" t="s">
        <v>2261</v>
      </c>
      <c r="D191" s="6" t="s">
        <v>1454</v>
      </c>
      <c r="E191" s="42">
        <f>countif(Constants!F:F,F191)</f>
        <v>1</v>
      </c>
      <c r="F191" s="21" t="str">
        <f>VLOOKUP($A191,Constants!$D:$F,3,false)</f>
        <v>LoschmidtConstant</v>
      </c>
      <c r="G191" s="43" t="str">
        <f t="shared" si="1"/>
        <v>2.651645804e25</v>
      </c>
      <c r="H191" s="43">
        <f t="shared" si="2"/>
        <v>2.65165E+25</v>
      </c>
      <c r="I191" s="43" t="str">
        <f t="shared" si="3"/>
        <v>(exact)</v>
      </c>
      <c r="J191" s="44" t="str">
        <f t="shared" si="4"/>
        <v/>
      </c>
      <c r="K191" s="43" t="b">
        <f t="shared" si="5"/>
        <v>1</v>
      </c>
      <c r="L191" s="21" t="str">
        <f>IFERROR(__xludf.DUMMYFUNCTION("if(regexmatch(B191,""e(.*)$""),regexextract(B191,""e(.*)$""),"""")"),"25")</f>
        <v>25</v>
      </c>
      <c r="M191" s="45"/>
      <c r="N191" s="45">
        <f>countif(Constants!F:F,F191)</f>
        <v>1</v>
      </c>
      <c r="O191" s="21" t="str">
        <f>VLOOKUP($A191,Constants!$D:$D,1,false)</f>
        <v>Loschmidt constant (273.15 K, 100 kPa)</v>
      </c>
    </row>
    <row r="192">
      <c r="A192" s="6" t="s">
        <v>1458</v>
      </c>
      <c r="B192" s="6" t="s">
        <v>3010</v>
      </c>
      <c r="C192" s="6" t="s">
        <v>2261</v>
      </c>
      <c r="D192" s="6" t="s">
        <v>1454</v>
      </c>
      <c r="E192" s="42">
        <f>countif(Constants!F:F,F192)</f>
        <v>1</v>
      </c>
      <c r="F192" s="21" t="str">
        <f>VLOOKUP($A192,Constants!$D:$F,3,false)</f>
        <v>LoschmidtConstant273K101Kpa</v>
      </c>
      <c r="G192" s="43" t="str">
        <f t="shared" si="1"/>
        <v>2.686780111e25</v>
      </c>
      <c r="H192" s="43">
        <f t="shared" si="2"/>
        <v>2.68678E+25</v>
      </c>
      <c r="I192" s="43" t="str">
        <f t="shared" si="3"/>
        <v>(exact)</v>
      </c>
      <c r="J192" s="44" t="str">
        <f t="shared" si="4"/>
        <v/>
      </c>
      <c r="K192" s="43" t="b">
        <f t="shared" si="5"/>
        <v>1</v>
      </c>
      <c r="L192" s="21" t="str">
        <f>IFERROR(__xludf.DUMMYFUNCTION("if(regexmatch(B192,""e(.*)$""),regexextract(B192,""e(.*)$""),"""")"),"25")</f>
        <v>25</v>
      </c>
      <c r="M192" s="45"/>
      <c r="N192" s="45">
        <f>countif(Constants!F:F,F192)</f>
        <v>1</v>
      </c>
      <c r="O192" s="21" t="str">
        <f>VLOOKUP($A192,Constants!$D:$D,1,false)</f>
        <v>Loschmidt constant (273.15 K, 101.325 kPa)</v>
      </c>
    </row>
    <row r="193">
      <c r="A193" s="6" t="s">
        <v>1462</v>
      </c>
      <c r="B193" s="46" t="s">
        <v>3011</v>
      </c>
      <c r="C193" s="6" t="s">
        <v>2261</v>
      </c>
      <c r="D193" s="6" t="s">
        <v>1463</v>
      </c>
      <c r="E193" s="42">
        <f>countif(Constants!F:F,F193)</f>
        <v>1</v>
      </c>
      <c r="F193" s="21" t="str">
        <f>VLOOKUP($A193,Constants!$D:$F,3,false)</f>
        <v>LuminousEfficacy</v>
      </c>
      <c r="G193" s="43" t="str">
        <f t="shared" si="1"/>
        <v>683</v>
      </c>
      <c r="H193" s="43">
        <f t="shared" si="2"/>
        <v>683</v>
      </c>
      <c r="I193" s="43" t="str">
        <f t="shared" si="3"/>
        <v>(exact)</v>
      </c>
      <c r="J193" s="44" t="str">
        <f t="shared" si="4"/>
        <v/>
      </c>
      <c r="K193" s="43" t="b">
        <f t="shared" si="5"/>
        <v>0</v>
      </c>
      <c r="L193" s="21" t="str">
        <f>IFERROR(__xludf.DUMMYFUNCTION("if(regexmatch(B193,""e(.*)$""),regexextract(B193,""e(.*)$""),"""")"),"")</f>
        <v/>
      </c>
      <c r="M193" s="45"/>
      <c r="N193" s="45">
        <f>countif(Constants!F:F,F193)</f>
        <v>1</v>
      </c>
      <c r="O193" s="21" t="str">
        <f>VLOOKUP($A193,Constants!$D:$D,1,false)</f>
        <v>luminous efficacy</v>
      </c>
    </row>
    <row r="194">
      <c r="A194" s="6" t="s">
        <v>1467</v>
      </c>
      <c r="B194" s="6" t="s">
        <v>3012</v>
      </c>
      <c r="C194" s="6" t="s">
        <v>2261</v>
      </c>
      <c r="D194" s="6" t="s">
        <v>1468</v>
      </c>
      <c r="E194" s="42">
        <f>countif(Constants!F:F,F194)</f>
        <v>1</v>
      </c>
      <c r="F194" s="21" t="str">
        <f>VLOOKUP($A194,Constants!$D:$F,3,false)</f>
        <v>MagneticFluxQuantum</v>
      </c>
      <c r="G194" s="43" t="str">
        <f t="shared" si="1"/>
        <v>2.067833848e-15</v>
      </c>
      <c r="H194" s="43">
        <f t="shared" si="2"/>
        <v>0</v>
      </c>
      <c r="I194" s="43" t="str">
        <f t="shared" si="3"/>
        <v>(exact)</v>
      </c>
      <c r="J194" s="44" t="str">
        <f t="shared" si="4"/>
        <v/>
      </c>
      <c r="K194" s="43" t="b">
        <f t="shared" si="5"/>
        <v>1</v>
      </c>
      <c r="L194" s="21" t="str">
        <f>IFERROR(__xludf.DUMMYFUNCTION("if(regexmatch(B194,""e(.*)$""),regexextract(B194,""e(.*)$""),"""")"),"-15")</f>
        <v>-15</v>
      </c>
      <c r="M194" s="45"/>
      <c r="N194" s="45">
        <f>countif(Constants!F:F,F194)</f>
        <v>1</v>
      </c>
      <c r="O194" s="21" t="str">
        <f>VLOOKUP($A194,Constants!$D:$D,1,false)</f>
        <v>mag. flux quantum</v>
      </c>
    </row>
    <row r="195">
      <c r="A195" s="6" t="s">
        <v>1473</v>
      </c>
      <c r="B195" s="6" t="s">
        <v>3013</v>
      </c>
      <c r="C195" s="6" t="s">
        <v>2261</v>
      </c>
      <c r="D195" s="6" t="s">
        <v>1474</v>
      </c>
      <c r="E195" s="42">
        <f>countif(Constants!F:F,F195)</f>
        <v>1</v>
      </c>
      <c r="F195" s="21" t="str">
        <f>VLOOKUP($A195,Constants!$D:$F,3,false)</f>
        <v>MolarGasConstant</v>
      </c>
      <c r="G195" s="43" t="str">
        <f t="shared" si="1"/>
        <v>8.314462618</v>
      </c>
      <c r="H195" s="43">
        <f t="shared" si="2"/>
        <v>8.314462618</v>
      </c>
      <c r="I195" s="43" t="str">
        <f t="shared" si="3"/>
        <v>(exact)</v>
      </c>
      <c r="J195" s="44" t="str">
        <f t="shared" si="4"/>
        <v/>
      </c>
      <c r="K195" s="43" t="b">
        <f t="shared" si="5"/>
        <v>1</v>
      </c>
      <c r="L195" s="21" t="str">
        <f>IFERROR(__xludf.DUMMYFUNCTION("if(regexmatch(B195,""e(.*)$""),regexextract(B195,""e(.*)$""),"""")"),"")</f>
        <v/>
      </c>
      <c r="M195" s="45"/>
      <c r="N195" s="45">
        <f>countif(Constants!F:F,F195)</f>
        <v>1</v>
      </c>
      <c r="O195" s="21" t="str">
        <f>VLOOKUP($A195,Constants!$D:$D,1,false)</f>
        <v>molar gas constant</v>
      </c>
    </row>
    <row r="196">
      <c r="A196" s="6" t="s">
        <v>1478</v>
      </c>
      <c r="B196" s="6" t="s">
        <v>3014</v>
      </c>
      <c r="C196" s="6" t="s">
        <v>3015</v>
      </c>
      <c r="D196" s="6" t="s">
        <v>557</v>
      </c>
      <c r="E196" s="42">
        <f>countif(Constants!F:F,F196)</f>
        <v>1</v>
      </c>
      <c r="F196" s="21" t="str">
        <f>VLOOKUP($A196,Constants!$D:$F,3,false)</f>
        <v>MolarMassConstant</v>
      </c>
      <c r="G196" s="43" t="str">
        <f t="shared" si="1"/>
        <v>0.99999999965e-3</v>
      </c>
      <c r="H196" s="43">
        <f t="shared" si="2"/>
        <v>0.0009999999997</v>
      </c>
      <c r="I196" s="43" t="str">
        <f t="shared" si="3"/>
        <v>0.00000000030e-3</v>
      </c>
      <c r="J196" s="44">
        <f t="shared" si="4"/>
        <v>0</v>
      </c>
      <c r="K196" s="43" t="b">
        <f t="shared" si="5"/>
        <v>0</v>
      </c>
      <c r="L196" s="21" t="str">
        <f>IFERROR(__xludf.DUMMYFUNCTION("if(regexmatch(B196,""e(.*)$""),regexextract(B196,""e(.*)$""),"""")"),"-3")</f>
        <v>-3</v>
      </c>
      <c r="M196" s="45"/>
      <c r="N196" s="45">
        <f>countif(Constants!F:F,F196)</f>
        <v>1</v>
      </c>
      <c r="O196" s="21" t="str">
        <f>VLOOKUP($A196,Constants!$D:$D,1,false)</f>
        <v>molar mass constant</v>
      </c>
    </row>
    <row r="197">
      <c r="A197" s="6" t="s">
        <v>1482</v>
      </c>
      <c r="B197" s="6" t="s">
        <v>3016</v>
      </c>
      <c r="C197" s="6" t="s">
        <v>3017</v>
      </c>
      <c r="D197" s="6" t="s">
        <v>557</v>
      </c>
      <c r="E197" s="42">
        <f>countif(Constants!F:F,F197)</f>
        <v>1</v>
      </c>
      <c r="F197" s="21" t="str">
        <f>VLOOKUP($A197,Constants!$D:$F,3,false)</f>
        <v>MolarMassOfCarbon12</v>
      </c>
      <c r="G197" s="43" t="str">
        <f t="shared" si="1"/>
        <v>11.9999999958e-3</v>
      </c>
      <c r="H197" s="43">
        <f t="shared" si="2"/>
        <v>0.012</v>
      </c>
      <c r="I197" s="43" t="str">
        <f t="shared" si="3"/>
        <v>0.0000000036e-3</v>
      </c>
      <c r="J197" s="44">
        <f t="shared" si="4"/>
        <v>0</v>
      </c>
      <c r="K197" s="43" t="b">
        <f t="shared" si="5"/>
        <v>0</v>
      </c>
      <c r="L197" s="21" t="str">
        <f>IFERROR(__xludf.DUMMYFUNCTION("if(regexmatch(B197,""e(.*)$""),regexextract(B197,""e(.*)$""),"""")"),"-3")</f>
        <v>-3</v>
      </c>
      <c r="M197" s="45"/>
      <c r="N197" s="45">
        <f>countif(Constants!F:F,F197)</f>
        <v>1</v>
      </c>
      <c r="O197" s="21" t="str">
        <f>VLOOKUP($A197,Constants!$D:$D,1,false)</f>
        <v>molar mass of carbon-12</v>
      </c>
    </row>
    <row r="198">
      <c r="A198" s="6" t="s">
        <v>1486</v>
      </c>
      <c r="B198" s="6" t="s">
        <v>3018</v>
      </c>
      <c r="C198" s="6" t="s">
        <v>2261</v>
      </c>
      <c r="D198" s="6" t="s">
        <v>1487</v>
      </c>
      <c r="E198" s="42">
        <f>countif(Constants!F:F,F198)</f>
        <v>1</v>
      </c>
      <c r="F198" s="21" t="str">
        <f>VLOOKUP($A198,Constants!$D:$F,3,false)</f>
        <v>MolarPlanckConstant</v>
      </c>
      <c r="G198" s="43" t="str">
        <f t="shared" si="1"/>
        <v>3.990312712e-10</v>
      </c>
      <c r="H198" s="43">
        <f t="shared" si="2"/>
        <v>0.0000000003990312712</v>
      </c>
      <c r="I198" s="43" t="str">
        <f t="shared" si="3"/>
        <v>(exact)</v>
      </c>
      <c r="J198" s="44" t="str">
        <f t="shared" si="4"/>
        <v/>
      </c>
      <c r="K198" s="43" t="b">
        <f t="shared" si="5"/>
        <v>1</v>
      </c>
      <c r="L198" s="21" t="str">
        <f>IFERROR(__xludf.DUMMYFUNCTION("if(regexmatch(B198,""e(.*)$""),regexextract(B198,""e(.*)$""),"""")"),"-10")</f>
        <v>-10</v>
      </c>
      <c r="M198" s="45"/>
      <c r="N198" s="45">
        <f>countif(Constants!F:F,F198)</f>
        <v>1</v>
      </c>
      <c r="O198" s="21" t="str">
        <f>VLOOKUP($A198,Constants!$D:$D,1,false)</f>
        <v>molar Planck constant</v>
      </c>
    </row>
    <row r="199">
      <c r="A199" s="6" t="s">
        <v>1498</v>
      </c>
      <c r="B199" s="6" t="s">
        <v>3019</v>
      </c>
      <c r="C199" s="6" t="s">
        <v>2261</v>
      </c>
      <c r="D199" s="6" t="s">
        <v>1499</v>
      </c>
      <c r="E199" s="42">
        <f>countif(Constants!F:F,F199)</f>
        <v>1</v>
      </c>
      <c r="F199" s="21" t="str">
        <f>VLOOKUP($A199,Constants!$D:$F,3,false)</f>
        <v>MolarVolumeOfIdealGas</v>
      </c>
      <c r="G199" s="43" t="str">
        <f t="shared" si="1"/>
        <v>22.71095464e-3</v>
      </c>
      <c r="H199" s="43">
        <f t="shared" si="2"/>
        <v>0.02271095464</v>
      </c>
      <c r="I199" s="43" t="str">
        <f t="shared" si="3"/>
        <v>(exact)</v>
      </c>
      <c r="J199" s="44" t="str">
        <f t="shared" si="4"/>
        <v/>
      </c>
      <c r="K199" s="43" t="b">
        <f t="shared" si="5"/>
        <v>1</v>
      </c>
      <c r="L199" s="21" t="str">
        <f>IFERROR(__xludf.DUMMYFUNCTION("if(regexmatch(B199,""e(.*)$""),regexextract(B199,""e(.*)$""),"""")"),"-3")</f>
        <v>-3</v>
      </c>
      <c r="M199" s="45"/>
      <c r="N199" s="45">
        <f>countif(Constants!F:F,F199)</f>
        <v>1</v>
      </c>
      <c r="O199" s="21" t="str">
        <f>VLOOKUP($A199,Constants!$D:$D,1,false)</f>
        <v>molar volume of ideal gas (273.15 K, 100 kPa)</v>
      </c>
    </row>
    <row r="200">
      <c r="A200" s="6" t="s">
        <v>1503</v>
      </c>
      <c r="B200" s="6" t="s">
        <v>3020</v>
      </c>
      <c r="C200" s="6" t="s">
        <v>2261</v>
      </c>
      <c r="D200" s="6" t="s">
        <v>1499</v>
      </c>
      <c r="E200" s="42">
        <f>countif(Constants!F:F,F200)</f>
        <v>1</v>
      </c>
      <c r="F200" s="21" t="str">
        <f>VLOOKUP($A200,Constants!$D:$F,3,false)</f>
        <v>MolarVolumeOfIdealGas273K101Kpa</v>
      </c>
      <c r="G200" s="43" t="str">
        <f t="shared" si="1"/>
        <v>22.41396954e-3</v>
      </c>
      <c r="H200" s="43">
        <f t="shared" si="2"/>
        <v>0.02241396954</v>
      </c>
      <c r="I200" s="43" t="str">
        <f t="shared" si="3"/>
        <v>(exact)</v>
      </c>
      <c r="J200" s="44" t="str">
        <f t="shared" si="4"/>
        <v/>
      </c>
      <c r="K200" s="43" t="b">
        <f t="shared" si="5"/>
        <v>1</v>
      </c>
      <c r="L200" s="21" t="str">
        <f>IFERROR(__xludf.DUMMYFUNCTION("if(regexmatch(B200,""e(.*)$""),regexextract(B200,""e(.*)$""),"""")"),"-3")</f>
        <v>-3</v>
      </c>
      <c r="M200" s="45"/>
      <c r="N200" s="45">
        <f>countif(Constants!F:F,F200)</f>
        <v>1</v>
      </c>
      <c r="O200" s="21" t="str">
        <f>VLOOKUP($A200,Constants!$D:$D,1,false)</f>
        <v>molar volume of ideal gas (273.15 K, 101.325 kPa)</v>
      </c>
    </row>
    <row r="201">
      <c r="A201" s="6" t="s">
        <v>1507</v>
      </c>
      <c r="B201" s="6" t="s">
        <v>3021</v>
      </c>
      <c r="C201" s="6" t="s">
        <v>2520</v>
      </c>
      <c r="D201" s="6" t="s">
        <v>1499</v>
      </c>
      <c r="E201" s="42">
        <f>countif(Constants!F:F,F201)</f>
        <v>1</v>
      </c>
      <c r="F201" s="21" t="str">
        <f>VLOOKUP($A201,Constants!$D:$F,3,false)</f>
        <v>MolarVolumeOfSilicon</v>
      </c>
      <c r="G201" s="43" t="str">
        <f t="shared" si="1"/>
        <v>1.205883199e-5</v>
      </c>
      <c r="H201" s="43">
        <f t="shared" si="2"/>
        <v>0.00001205883199</v>
      </c>
      <c r="I201" s="43" t="str">
        <f t="shared" si="3"/>
        <v>0.000000060e-5</v>
      </c>
      <c r="J201" s="44">
        <f t="shared" si="4"/>
        <v>0</v>
      </c>
      <c r="K201" s="43" t="b">
        <f t="shared" si="5"/>
        <v>0</v>
      </c>
      <c r="L201" s="21" t="str">
        <f>IFERROR(__xludf.DUMMYFUNCTION("if(regexmatch(B201,""e(.*)$""),regexextract(B201,""e(.*)$""),"""")"),"-5")</f>
        <v>-5</v>
      </c>
      <c r="M201" s="45"/>
      <c r="N201" s="45">
        <f>countif(Constants!F:F,F201)</f>
        <v>1</v>
      </c>
      <c r="O201" s="21" t="str">
        <f>VLOOKUP($A201,Constants!$D:$D,1,false)</f>
        <v>molar volume of silicon</v>
      </c>
    </row>
    <row r="202">
      <c r="A202" s="6" t="s">
        <v>1511</v>
      </c>
      <c r="B202" s="6" t="s">
        <v>3022</v>
      </c>
      <c r="C202" s="6" t="s">
        <v>2522</v>
      </c>
      <c r="D202" s="6" t="s">
        <v>571</v>
      </c>
      <c r="E202" s="42">
        <f>countif(Constants!F:F,F202)</f>
        <v>1</v>
      </c>
      <c r="F202" s="21" t="str">
        <f>VLOOKUP($A202,Constants!$D:$F,3,false)</f>
        <v>MoXUnit</v>
      </c>
      <c r="G202" s="43" t="str">
        <f t="shared" si="1"/>
        <v>1.00209952e-13</v>
      </c>
      <c r="H202" s="43">
        <f t="shared" si="2"/>
        <v>0</v>
      </c>
      <c r="I202" s="43" t="str">
        <f t="shared" si="3"/>
        <v>0.00000053e-13</v>
      </c>
      <c r="J202" s="44">
        <f t="shared" si="4"/>
        <v>0</v>
      </c>
      <c r="K202" s="43" t="b">
        <f t="shared" si="5"/>
        <v>0</v>
      </c>
      <c r="L202" s="21" t="str">
        <f>IFERROR(__xludf.DUMMYFUNCTION("if(regexmatch(B202,""e(.*)$""),regexextract(B202,""e(.*)$""),"""")"),"-13")</f>
        <v>-13</v>
      </c>
      <c r="M202" s="45"/>
      <c r="N202" s="45">
        <f>countif(Constants!F:F,F202)</f>
        <v>1</v>
      </c>
      <c r="O202" s="21" t="str">
        <f>VLOOKUP($A202,Constants!$D:$D,1,false)</f>
        <v>Molybdenum x unit</v>
      </c>
    </row>
    <row r="203">
      <c r="A203" s="6" t="s">
        <v>1515</v>
      </c>
      <c r="B203" s="6" t="s">
        <v>3023</v>
      </c>
      <c r="C203" s="6" t="s">
        <v>2524</v>
      </c>
      <c r="D203" s="6" t="s">
        <v>571</v>
      </c>
      <c r="E203" s="42">
        <f>countif(Constants!F:F,F203)</f>
        <v>1</v>
      </c>
      <c r="F203" s="21" t="str">
        <f>VLOOKUP($A203,Constants!$D:$F,3,false)</f>
        <v>MuonComptonWavelength</v>
      </c>
      <c r="G203" s="43" t="str">
        <f t="shared" si="1"/>
        <v>1.173444110e-14</v>
      </c>
      <c r="H203" s="43">
        <f t="shared" si="2"/>
        <v>0</v>
      </c>
      <c r="I203" s="43" t="str">
        <f t="shared" si="3"/>
        <v>0.000000026e-14</v>
      </c>
      <c r="J203" s="44">
        <f t="shared" si="4"/>
        <v>0</v>
      </c>
      <c r="K203" s="43" t="b">
        <f t="shared" si="5"/>
        <v>0</v>
      </c>
      <c r="L203" s="21" t="str">
        <f>IFERROR(__xludf.DUMMYFUNCTION("if(regexmatch(B203,""e(.*)$""),regexextract(B203,""e(.*)$""),"""")"),"-14")</f>
        <v>-14</v>
      </c>
      <c r="M203" s="45"/>
      <c r="N203" s="45">
        <f>countif(Constants!F:F,F203)</f>
        <v>1</v>
      </c>
      <c r="O203" s="21" t="str">
        <f>VLOOKUP($A203,Constants!$D:$D,1,false)</f>
        <v>muon Compton wavelength</v>
      </c>
    </row>
    <row r="204">
      <c r="A204" s="6" t="s">
        <v>1525</v>
      </c>
      <c r="B204" s="6" t="s">
        <v>3024</v>
      </c>
      <c r="C204" s="6" t="s">
        <v>2388</v>
      </c>
      <c r="E204" s="42">
        <f>countif(Constants!F:F,F204)</f>
        <v>1</v>
      </c>
      <c r="F204" s="21" t="str">
        <f>VLOOKUP($A204,Constants!$D:$F,3,false)</f>
        <v>MuonElectronMassRatio</v>
      </c>
      <c r="G204" s="43" t="str">
        <f t="shared" si="1"/>
        <v>206.7682830</v>
      </c>
      <c r="H204" s="43">
        <f t="shared" si="2"/>
        <v>206.768283</v>
      </c>
      <c r="I204" s="43" t="str">
        <f t="shared" si="3"/>
        <v>0.0000046</v>
      </c>
      <c r="J204" s="44">
        <f t="shared" si="4"/>
        <v>0.0000046</v>
      </c>
      <c r="K204" s="43" t="b">
        <f t="shared" si="5"/>
        <v>0</v>
      </c>
      <c r="L204" s="21" t="str">
        <f>IFERROR(__xludf.DUMMYFUNCTION("if(regexmatch(B204,""e(.*)$""),regexextract(B204,""e(.*)$""),"""")"),"")</f>
        <v/>
      </c>
      <c r="M204" s="45"/>
      <c r="N204" s="45">
        <f>countif(Constants!F:F,F204)</f>
        <v>1</v>
      </c>
      <c r="O204" s="21" t="str">
        <f>VLOOKUP($A204,Constants!$D:$D,1,false)</f>
        <v>muon-electron mass ratio</v>
      </c>
    </row>
    <row r="205">
      <c r="A205" s="6" t="s">
        <v>1530</v>
      </c>
      <c r="B205" s="6" t="s">
        <v>3025</v>
      </c>
      <c r="C205" s="6" t="s">
        <v>3026</v>
      </c>
      <c r="E205" s="42">
        <f>countif(Constants!F:F,F205)</f>
        <v>1</v>
      </c>
      <c r="F205" s="21" t="str">
        <f>VLOOKUP($A205,Constants!$D:$F,3,false)</f>
        <v>MuonGFactor</v>
      </c>
      <c r="G205" s="43" t="str">
        <f t="shared" si="1"/>
        <v>-2.0023318418</v>
      </c>
      <c r="H205" s="43">
        <f t="shared" si="2"/>
        <v>-2.002331842</v>
      </c>
      <c r="I205" s="43" t="str">
        <f t="shared" si="3"/>
        <v>0.0000000013</v>
      </c>
      <c r="J205" s="44">
        <f t="shared" si="4"/>
        <v>0.0000000013</v>
      </c>
      <c r="K205" s="43" t="b">
        <f t="shared" si="5"/>
        <v>0</v>
      </c>
      <c r="L205" s="21" t="str">
        <f>IFERROR(__xludf.DUMMYFUNCTION("if(regexmatch(B205,""e(.*)$""),regexextract(B205,""e(.*)$""),"""")"),"")</f>
        <v/>
      </c>
      <c r="M205" s="45"/>
      <c r="N205" s="45">
        <f>countif(Constants!F:F,F205)</f>
        <v>1</v>
      </c>
      <c r="O205" s="21" t="str">
        <f>VLOOKUP($A205,Constants!$D:$D,1,false)</f>
        <v>muon g factor</v>
      </c>
    </row>
    <row r="206">
      <c r="A206" s="6" t="s">
        <v>1534</v>
      </c>
      <c r="B206" s="6" t="s">
        <v>3027</v>
      </c>
      <c r="C206" s="6" t="s">
        <v>2529</v>
      </c>
      <c r="D206" s="6" t="s">
        <v>714</v>
      </c>
      <c r="E206" s="42">
        <f>countif(Constants!F:F,F206)</f>
        <v>1</v>
      </c>
      <c r="F206" s="21" t="str">
        <f>VLOOKUP($A206,Constants!$D:$F,3,false)</f>
        <v>MuonMagneticMoment</v>
      </c>
      <c r="G206" s="43" t="str">
        <f t="shared" si="1"/>
        <v>-4.49044830e-26</v>
      </c>
      <c r="H206" s="43">
        <f t="shared" si="2"/>
        <v>0</v>
      </c>
      <c r="I206" s="43" t="str">
        <f t="shared" si="3"/>
        <v>0.00000010e-26</v>
      </c>
      <c r="J206" s="44">
        <f t="shared" si="4"/>
        <v>0</v>
      </c>
      <c r="K206" s="43" t="b">
        <f t="shared" si="5"/>
        <v>0</v>
      </c>
      <c r="L206" s="21" t="str">
        <f>IFERROR(__xludf.DUMMYFUNCTION("if(regexmatch(B206,""e(.*)$""),regexextract(B206,""e(.*)$""),"""")"),"-26")</f>
        <v>-26</v>
      </c>
      <c r="M206" s="45"/>
      <c r="N206" s="45">
        <f>countif(Constants!F:F,F206)</f>
        <v>1</v>
      </c>
      <c r="O206" s="21" t="str">
        <f>VLOOKUP($A206,Constants!$D:$D,1,false)</f>
        <v>muon mag. mom.</v>
      </c>
    </row>
    <row r="207">
      <c r="A207" s="6" t="s">
        <v>1540</v>
      </c>
      <c r="B207" s="6" t="s">
        <v>3028</v>
      </c>
      <c r="C207" s="6" t="s">
        <v>3029</v>
      </c>
      <c r="E207" s="42">
        <f>countif(Constants!F:F,F207)</f>
        <v>1</v>
      </c>
      <c r="F207" s="21" t="str">
        <f>VLOOKUP($A207,Constants!$D:$F,3,false)</f>
        <v>MuonMagneticMomentAnomaly</v>
      </c>
      <c r="G207" s="43" t="str">
        <f t="shared" si="1"/>
        <v>1.16592089e-3</v>
      </c>
      <c r="H207" s="43">
        <f t="shared" si="2"/>
        <v>0.00116592089</v>
      </c>
      <c r="I207" s="43" t="str">
        <f t="shared" si="3"/>
        <v>0.00000063e-3</v>
      </c>
      <c r="J207" s="44">
        <f t="shared" si="4"/>
        <v>0.00000000063</v>
      </c>
      <c r="K207" s="43" t="b">
        <f t="shared" si="5"/>
        <v>0</v>
      </c>
      <c r="L207" s="21" t="str">
        <f>IFERROR(__xludf.DUMMYFUNCTION("if(regexmatch(B207,""e(.*)$""),regexextract(B207,""e(.*)$""),"""")"),"-3")</f>
        <v>-3</v>
      </c>
      <c r="M207" s="45"/>
      <c r="N207" s="45">
        <f>countif(Constants!F:F,F207)</f>
        <v>1</v>
      </c>
      <c r="O207" s="21" t="str">
        <f>VLOOKUP($A207,Constants!$D:$D,1,false)</f>
        <v>muon mag. mom. anomaly</v>
      </c>
    </row>
    <row r="208">
      <c r="A208" s="6" t="s">
        <v>1545</v>
      </c>
      <c r="B208" s="6" t="s">
        <v>3030</v>
      </c>
      <c r="C208" s="6" t="s">
        <v>2390</v>
      </c>
      <c r="E208" s="42">
        <f>countif(Constants!F:F,F208)</f>
        <v>1</v>
      </c>
      <c r="F208" s="21" t="str">
        <f>VLOOKUP($A208,Constants!$D:$F,3,false)</f>
        <v>MuonMagneticMomentToBohrMagnetonRatio</v>
      </c>
      <c r="G208" s="43" t="str">
        <f t="shared" si="1"/>
        <v>-4.84197047e-3</v>
      </c>
      <c r="H208" s="43">
        <f t="shared" si="2"/>
        <v>-0.00484197047</v>
      </c>
      <c r="I208" s="43" t="str">
        <f t="shared" si="3"/>
        <v>0.00000011e-3</v>
      </c>
      <c r="J208" s="44">
        <f t="shared" si="4"/>
        <v>0.00000000011</v>
      </c>
      <c r="K208" s="43" t="b">
        <f t="shared" si="5"/>
        <v>0</v>
      </c>
      <c r="L208" s="21" t="str">
        <f>IFERROR(__xludf.DUMMYFUNCTION("if(regexmatch(B208,""e(.*)$""),regexextract(B208,""e(.*)$""),"""")"),"-3")</f>
        <v>-3</v>
      </c>
      <c r="M208" s="45"/>
      <c r="N208" s="45">
        <f>countif(Constants!F:F,F208)</f>
        <v>1</v>
      </c>
      <c r="O208" s="21" t="str">
        <f>VLOOKUP($A208,Constants!$D:$D,1,false)</f>
        <v>muon mag. mom. to Bohr magneton ratio</v>
      </c>
    </row>
    <row r="209">
      <c r="A209" s="6" t="s">
        <v>1550</v>
      </c>
      <c r="B209" s="6" t="s">
        <v>3031</v>
      </c>
      <c r="C209" s="6" t="s">
        <v>2534</v>
      </c>
      <c r="E209" s="42">
        <f>countif(Constants!F:F,F209)</f>
        <v>1</v>
      </c>
      <c r="F209" s="21" t="str">
        <f>VLOOKUP($A209,Constants!$D:$F,3,false)</f>
        <v>MuonMagneticMomentToNuclearMagnetonRatio</v>
      </c>
      <c r="G209" s="43" t="str">
        <f t="shared" si="1"/>
        <v>-8.89059703</v>
      </c>
      <c r="H209" s="43">
        <f t="shared" si="2"/>
        <v>-8.89059703</v>
      </c>
      <c r="I209" s="43" t="str">
        <f t="shared" si="3"/>
        <v>0.00000020</v>
      </c>
      <c r="J209" s="44">
        <f t="shared" si="4"/>
        <v>0.0000002</v>
      </c>
      <c r="K209" s="43" t="b">
        <f t="shared" si="5"/>
        <v>0</v>
      </c>
      <c r="L209" s="21" t="str">
        <f>IFERROR(__xludf.DUMMYFUNCTION("if(regexmatch(B209,""e(.*)$""),regexextract(B209,""e(.*)$""),"""")"),"")</f>
        <v/>
      </c>
      <c r="M209" s="45"/>
      <c r="N209" s="45">
        <f>countif(Constants!F:F,F209)</f>
        <v>1</v>
      </c>
      <c r="O209" s="21" t="str">
        <f>VLOOKUP($A209,Constants!$D:$D,1,false)</f>
        <v>muon mag. mom. to nuclear magneton ratio</v>
      </c>
    </row>
    <row r="210">
      <c r="A210" s="6" t="s">
        <v>1555</v>
      </c>
      <c r="B210" s="6" t="s">
        <v>3032</v>
      </c>
      <c r="C210" s="6" t="s">
        <v>2536</v>
      </c>
      <c r="D210" s="6" t="s">
        <v>538</v>
      </c>
      <c r="E210" s="42">
        <f>countif(Constants!F:F,F210)</f>
        <v>1</v>
      </c>
      <c r="F210" s="21" t="str">
        <f>VLOOKUP($A210,Constants!$D:$F,3,false)</f>
        <v>MuonMass</v>
      </c>
      <c r="G210" s="43" t="str">
        <f t="shared" si="1"/>
        <v>1.883531627e-28</v>
      </c>
      <c r="H210" s="43">
        <f t="shared" si="2"/>
        <v>0</v>
      </c>
      <c r="I210" s="43" t="str">
        <f t="shared" si="3"/>
        <v>0.000000042e-28</v>
      </c>
      <c r="J210" s="44">
        <f t="shared" si="4"/>
        <v>0</v>
      </c>
      <c r="K210" s="43" t="b">
        <f t="shared" si="5"/>
        <v>0</v>
      </c>
      <c r="L210" s="21" t="str">
        <f>IFERROR(__xludf.DUMMYFUNCTION("if(regexmatch(B210,""e(.*)$""),regexextract(B210,""e(.*)$""),"""")"),"-28")</f>
        <v>-28</v>
      </c>
      <c r="M210" s="45"/>
      <c r="N210" s="45">
        <f>countif(Constants!F:F,F210)</f>
        <v>1</v>
      </c>
      <c r="O210" s="21" t="str">
        <f>VLOOKUP($A210,Constants!$D:$D,1,false)</f>
        <v>muon mass</v>
      </c>
    </row>
    <row r="211">
      <c r="A211" s="6" t="s">
        <v>1559</v>
      </c>
      <c r="B211" s="6" t="s">
        <v>3033</v>
      </c>
      <c r="C211" s="6" t="s">
        <v>2538</v>
      </c>
      <c r="D211" s="6" t="s">
        <v>543</v>
      </c>
      <c r="E211" s="42">
        <f>countif(Constants!F:F,F211)</f>
        <v>1</v>
      </c>
      <c r="F211" s="21" t="str">
        <f>VLOOKUP($A211,Constants!$D:$F,3,false)</f>
        <v>MuonMassEnergyEquivalent</v>
      </c>
      <c r="G211" s="43" t="str">
        <f t="shared" si="1"/>
        <v>1.692833804e-11</v>
      </c>
      <c r="H211" s="43">
        <f t="shared" si="2"/>
        <v>0</v>
      </c>
      <c r="I211" s="43" t="str">
        <f t="shared" si="3"/>
        <v>0.000000038e-11</v>
      </c>
      <c r="J211" s="44">
        <f t="shared" si="4"/>
        <v>0</v>
      </c>
      <c r="K211" s="43" t="b">
        <f t="shared" si="5"/>
        <v>0</v>
      </c>
      <c r="L211" s="21" t="str">
        <f>IFERROR(__xludf.DUMMYFUNCTION("if(regexmatch(B211,""e(.*)$""),regexextract(B211,""e(.*)$""),"""")"),"-11")</f>
        <v>-11</v>
      </c>
      <c r="M211" s="45"/>
      <c r="N211" s="45">
        <f>countif(Constants!F:F,F211)</f>
        <v>1</v>
      </c>
      <c r="O211" s="21" t="str">
        <f>VLOOKUP($A211,Constants!$D:$D,1,false)</f>
        <v>muon mass energy equivalent</v>
      </c>
    </row>
    <row r="212">
      <c r="A212" s="6" t="s">
        <v>1563</v>
      </c>
      <c r="B212" s="6" t="s">
        <v>3034</v>
      </c>
      <c r="C212" s="6" t="s">
        <v>2540</v>
      </c>
      <c r="D212" s="6" t="s">
        <v>548</v>
      </c>
      <c r="E212" s="42">
        <f>countif(Constants!F:F,F212)</f>
        <v>1</v>
      </c>
      <c r="F212" s="21" t="str">
        <f>VLOOKUP($A212,Constants!$D:$F,3,false)</f>
        <v>MuonMassEnergyEquivalentInMeV</v>
      </c>
      <c r="G212" s="43" t="str">
        <f t="shared" si="1"/>
        <v>105.6583755</v>
      </c>
      <c r="H212" s="43">
        <f t="shared" si="2"/>
        <v>105.6583755</v>
      </c>
      <c r="I212" s="43" t="str">
        <f t="shared" si="3"/>
        <v>0.0000023</v>
      </c>
      <c r="J212" s="44">
        <f t="shared" si="4"/>
        <v>0.0000023</v>
      </c>
      <c r="K212" s="43" t="b">
        <f t="shared" si="5"/>
        <v>0</v>
      </c>
      <c r="L212" s="21" t="str">
        <f>IFERROR(__xludf.DUMMYFUNCTION("if(regexmatch(B212,""e(.*)$""),regexextract(B212,""e(.*)$""),"""")"),"")</f>
        <v/>
      </c>
      <c r="M212" s="45"/>
      <c r="N212" s="45">
        <f>countif(Constants!F:F,F212)</f>
        <v>1</v>
      </c>
      <c r="O212" s="21" t="str">
        <f>VLOOKUP($A212,Constants!$D:$D,1,false)</f>
        <v>muon mass energy equivalent in MeV</v>
      </c>
    </row>
    <row r="213">
      <c r="A213" s="6" t="s">
        <v>1566</v>
      </c>
      <c r="B213" s="6" t="s">
        <v>3035</v>
      </c>
      <c r="C213" s="6" t="s">
        <v>2542</v>
      </c>
      <c r="D213" s="6" t="s">
        <v>553</v>
      </c>
      <c r="E213" s="42">
        <f>countif(Constants!F:F,F213)</f>
        <v>1</v>
      </c>
      <c r="F213" s="21" t="str">
        <f>VLOOKUP($A213,Constants!$D:$F,3,false)</f>
        <v>MuonMassInAtomicMassUnit</v>
      </c>
      <c r="G213" s="43" t="str">
        <f t="shared" si="1"/>
        <v>0.1134289259</v>
      </c>
      <c r="H213" s="43">
        <f t="shared" si="2"/>
        <v>0.1134289259</v>
      </c>
      <c r="I213" s="43" t="str">
        <f t="shared" si="3"/>
        <v>0.0000000025</v>
      </c>
      <c r="J213" s="44">
        <f t="shared" si="4"/>
        <v>0.0000000025</v>
      </c>
      <c r="K213" s="43" t="b">
        <f t="shared" si="5"/>
        <v>0</v>
      </c>
      <c r="L213" s="21" t="str">
        <f>IFERROR(__xludf.DUMMYFUNCTION("if(regexmatch(B213,""e(.*)$""),regexextract(B213,""e(.*)$""),"""")"),"")</f>
        <v/>
      </c>
      <c r="M213" s="45"/>
      <c r="N213" s="45">
        <f>countif(Constants!F:F,F213)</f>
        <v>1</v>
      </c>
      <c r="O213" s="21" t="str">
        <f>VLOOKUP($A213,Constants!$D:$D,1,false)</f>
        <v>muon mass in u</v>
      </c>
    </row>
    <row r="214">
      <c r="A214" s="6" t="s">
        <v>1569</v>
      </c>
      <c r="B214" s="6" t="s">
        <v>3036</v>
      </c>
      <c r="C214" s="6" t="s">
        <v>2544</v>
      </c>
      <c r="D214" s="6" t="s">
        <v>557</v>
      </c>
      <c r="E214" s="42">
        <f>countif(Constants!F:F,F214)</f>
        <v>1</v>
      </c>
      <c r="F214" s="21" t="str">
        <f>VLOOKUP($A214,Constants!$D:$F,3,false)</f>
        <v>MuonMolarMass</v>
      </c>
      <c r="G214" s="43" t="str">
        <f t="shared" si="1"/>
        <v>1.134289259e-4</v>
      </c>
      <c r="H214" s="43">
        <f t="shared" si="2"/>
        <v>0.0001134289259</v>
      </c>
      <c r="I214" s="43" t="str">
        <f t="shared" si="3"/>
        <v>0.000000025e-4</v>
      </c>
      <c r="J214" s="44">
        <f t="shared" si="4"/>
        <v>0</v>
      </c>
      <c r="K214" s="43" t="b">
        <f t="shared" si="5"/>
        <v>0</v>
      </c>
      <c r="L214" s="21" t="str">
        <f>IFERROR(__xludf.DUMMYFUNCTION("if(regexmatch(B214,""e(.*)$""),regexextract(B214,""e(.*)$""),"""")"),"-4")</f>
        <v>-4</v>
      </c>
      <c r="M214" s="45"/>
      <c r="N214" s="45">
        <f>countif(Constants!F:F,F214)</f>
        <v>1</v>
      </c>
      <c r="O214" s="21" t="str">
        <f>VLOOKUP($A214,Constants!$D:$D,1,false)</f>
        <v>muon molar mass</v>
      </c>
    </row>
    <row r="215">
      <c r="A215" s="6" t="s">
        <v>1573</v>
      </c>
      <c r="B215" s="6" t="s">
        <v>3037</v>
      </c>
      <c r="C215" s="6" t="s">
        <v>2542</v>
      </c>
      <c r="E215" s="42">
        <f>countif(Constants!F:F,F215)</f>
        <v>1</v>
      </c>
      <c r="F215" s="21" t="str">
        <f>VLOOKUP($A215,Constants!$D:$F,3,false)</f>
        <v>MuonNeutronMassRatio</v>
      </c>
      <c r="G215" s="43" t="str">
        <f t="shared" si="1"/>
        <v>0.1124545170</v>
      </c>
      <c r="H215" s="43">
        <f t="shared" si="2"/>
        <v>0.112454517</v>
      </c>
      <c r="I215" s="43" t="str">
        <f t="shared" si="3"/>
        <v>0.0000000025</v>
      </c>
      <c r="J215" s="44">
        <f t="shared" si="4"/>
        <v>0.0000000025</v>
      </c>
      <c r="K215" s="43" t="b">
        <f t="shared" si="5"/>
        <v>0</v>
      </c>
      <c r="L215" s="21" t="str">
        <f>IFERROR(__xludf.DUMMYFUNCTION("if(regexmatch(B215,""e(.*)$""),regexextract(B215,""e(.*)$""),"""")"),"")</f>
        <v/>
      </c>
      <c r="M215" s="45"/>
      <c r="N215" s="45">
        <f>countif(Constants!F:F,F215)</f>
        <v>1</v>
      </c>
      <c r="O215" s="21" t="str">
        <f>VLOOKUP($A215,Constants!$D:$D,1,false)</f>
        <v>muon-neutron mass ratio</v>
      </c>
    </row>
    <row r="216">
      <c r="A216" s="6" t="s">
        <v>1578</v>
      </c>
      <c r="B216" s="6" t="s">
        <v>3038</v>
      </c>
      <c r="C216" s="6" t="s">
        <v>2547</v>
      </c>
      <c r="E216" s="42">
        <f>countif(Constants!F:F,F216)</f>
        <v>1</v>
      </c>
      <c r="F216" s="21" t="str">
        <f>VLOOKUP($A216,Constants!$D:$F,3,false)</f>
        <v>MuonProtonMagneticMomentRatio</v>
      </c>
      <c r="G216" s="43" t="str">
        <f t="shared" si="1"/>
        <v>-3.183345142</v>
      </c>
      <c r="H216" s="43">
        <f t="shared" si="2"/>
        <v>-3.183345142</v>
      </c>
      <c r="I216" s="43" t="str">
        <f t="shared" si="3"/>
        <v>0.000000071</v>
      </c>
      <c r="J216" s="44">
        <f t="shared" si="4"/>
        <v>0.000000071</v>
      </c>
      <c r="K216" s="43" t="b">
        <f t="shared" si="5"/>
        <v>0</v>
      </c>
      <c r="L216" s="21" t="str">
        <f>IFERROR(__xludf.DUMMYFUNCTION("if(regexmatch(B216,""e(.*)$""),regexextract(B216,""e(.*)$""),"""")"),"")</f>
        <v/>
      </c>
      <c r="M216" s="45"/>
      <c r="N216" s="45">
        <f>countif(Constants!F:F,F216)</f>
        <v>1</v>
      </c>
      <c r="O216" s="21" t="str">
        <f>VLOOKUP($A216,Constants!$D:$D,1,false)</f>
        <v>muon-proton mag. mom. ratio</v>
      </c>
    </row>
    <row r="217">
      <c r="A217" s="6" t="s">
        <v>1583</v>
      </c>
      <c r="B217" s="6" t="s">
        <v>3039</v>
      </c>
      <c r="C217" s="6" t="s">
        <v>2542</v>
      </c>
      <c r="E217" s="42">
        <f>countif(Constants!F:F,F217)</f>
        <v>1</v>
      </c>
      <c r="F217" s="21" t="str">
        <f>VLOOKUP($A217,Constants!$D:$F,3,false)</f>
        <v>MuonProtonMassRatio</v>
      </c>
      <c r="G217" s="43" t="str">
        <f t="shared" si="1"/>
        <v>0.1126095264</v>
      </c>
      <c r="H217" s="43">
        <f t="shared" si="2"/>
        <v>0.1126095264</v>
      </c>
      <c r="I217" s="43" t="str">
        <f t="shared" si="3"/>
        <v>0.0000000025</v>
      </c>
      <c r="J217" s="44">
        <f t="shared" si="4"/>
        <v>0.0000000025</v>
      </c>
      <c r="K217" s="43" t="b">
        <f t="shared" si="5"/>
        <v>0</v>
      </c>
      <c r="L217" s="21" t="str">
        <f>IFERROR(__xludf.DUMMYFUNCTION("if(regexmatch(B217,""e(.*)$""),regexextract(B217,""e(.*)$""),"""")"),"")</f>
        <v/>
      </c>
      <c r="M217" s="45"/>
      <c r="N217" s="45">
        <f>countif(Constants!F:F,F217)</f>
        <v>1</v>
      </c>
      <c r="O217" s="21" t="str">
        <f>VLOOKUP($A217,Constants!$D:$D,1,false)</f>
        <v>muon-proton mass ratio</v>
      </c>
    </row>
    <row r="218">
      <c r="A218" s="6" t="s">
        <v>1588</v>
      </c>
      <c r="B218" s="6" t="s">
        <v>3040</v>
      </c>
      <c r="C218" s="6" t="s">
        <v>2550</v>
      </c>
      <c r="E218" s="42">
        <f>countif(Constants!F:F,F218)</f>
        <v>1</v>
      </c>
      <c r="F218" s="21" t="str">
        <f>VLOOKUP($A218,Constants!$D:$F,3,false)</f>
        <v>MuonTauMassRatio</v>
      </c>
      <c r="G218" s="43" t="str">
        <f t="shared" si="1"/>
        <v>5.94635e-2</v>
      </c>
      <c r="H218" s="43">
        <f t="shared" si="2"/>
        <v>0.0594635</v>
      </c>
      <c r="I218" s="43" t="str">
        <f t="shared" si="3"/>
        <v>0.00040e-2</v>
      </c>
      <c r="J218" s="44">
        <f t="shared" si="4"/>
        <v>0.000004</v>
      </c>
      <c r="K218" s="43" t="b">
        <f t="shared" si="5"/>
        <v>0</v>
      </c>
      <c r="L218" s="21" t="str">
        <f>IFERROR(__xludf.DUMMYFUNCTION("if(regexmatch(B218,""e(.*)$""),regexextract(B218,""e(.*)$""),"""")"),"-2")</f>
        <v>-2</v>
      </c>
      <c r="M218" s="45"/>
      <c r="N218" s="45">
        <f>countif(Constants!F:F,F218)</f>
        <v>1</v>
      </c>
      <c r="O218" s="21" t="str">
        <f>VLOOKUP($A218,Constants!$D:$D,1,false)</f>
        <v>muon-tau mass ratio</v>
      </c>
    </row>
    <row r="219">
      <c r="A219" s="6" t="s">
        <v>1593</v>
      </c>
      <c r="B219" s="6" t="s">
        <v>2790</v>
      </c>
      <c r="C219" s="6" t="s">
        <v>2261</v>
      </c>
      <c r="D219" s="6" t="s">
        <v>643</v>
      </c>
      <c r="E219" s="42">
        <f>countif(Constants!F:F,F219)</f>
        <v>1</v>
      </c>
      <c r="F219" s="21" t="str">
        <f>VLOOKUP($A219,Constants!$D:$F,3,false)</f>
        <v>NaturalUnitOfAction</v>
      </c>
      <c r="G219" s="43" t="str">
        <f t="shared" si="1"/>
        <v>1.054571817e-34</v>
      </c>
      <c r="H219" s="43">
        <f t="shared" si="2"/>
        <v>0</v>
      </c>
      <c r="I219" s="43" t="str">
        <f t="shared" si="3"/>
        <v>(exact)</v>
      </c>
      <c r="J219" s="44" t="str">
        <f t="shared" si="4"/>
        <v/>
      </c>
      <c r="K219" s="43" t="b">
        <f t="shared" si="5"/>
        <v>1</v>
      </c>
      <c r="L219" s="21" t="str">
        <f>IFERROR(__xludf.DUMMYFUNCTION("if(regexmatch(B219,""e(.*)$""),regexextract(B219,""e(.*)$""),"""")"),"-34")</f>
        <v>-34</v>
      </c>
      <c r="M219" s="45"/>
      <c r="N219" s="45">
        <f>countif(Constants!F:F,F219)</f>
        <v>1</v>
      </c>
      <c r="O219" s="21" t="str">
        <f>VLOOKUP($A219,Constants!$D:$D,1,false)</f>
        <v>natural unit of action</v>
      </c>
    </row>
    <row r="220">
      <c r="A220" s="6" t="s">
        <v>1597</v>
      </c>
      <c r="B220" s="6" t="s">
        <v>3041</v>
      </c>
      <c r="C220" s="6" t="s">
        <v>2261</v>
      </c>
      <c r="D220" s="6" t="s">
        <v>1598</v>
      </c>
      <c r="E220" s="42">
        <f>countif(Constants!F:F,F220)</f>
        <v>1</v>
      </c>
      <c r="F220" s="21" t="str">
        <f>VLOOKUP($A220,Constants!$D:$F,3,false)</f>
        <v>NaturalUnitOfActionInEVS</v>
      </c>
      <c r="G220" s="43" t="str">
        <f t="shared" si="1"/>
        <v>6.582119569e-16</v>
      </c>
      <c r="H220" s="43">
        <f t="shared" si="2"/>
        <v>0</v>
      </c>
      <c r="I220" s="43" t="str">
        <f t="shared" si="3"/>
        <v>(exact)</v>
      </c>
      <c r="J220" s="44" t="str">
        <f t="shared" si="4"/>
        <v/>
      </c>
      <c r="K220" s="43" t="b">
        <f t="shared" si="5"/>
        <v>1</v>
      </c>
      <c r="L220" s="21" t="str">
        <f>IFERROR(__xludf.DUMMYFUNCTION("if(regexmatch(B220,""e(.*)$""),regexextract(B220,""e(.*)$""),"""")"),"-16")</f>
        <v>-16</v>
      </c>
      <c r="M220" s="45"/>
      <c r="N220" s="45">
        <f>countif(Constants!F:F,F220)</f>
        <v>1</v>
      </c>
      <c r="O220" s="21" t="str">
        <f>VLOOKUP($A220,Constants!$D:$D,1,false)</f>
        <v>natural unit of action in eV s</v>
      </c>
    </row>
    <row r="221">
      <c r="A221" s="6" t="s">
        <v>1602</v>
      </c>
      <c r="B221" s="6" t="s">
        <v>2892</v>
      </c>
      <c r="C221" s="6" t="s">
        <v>2893</v>
      </c>
      <c r="D221" s="6" t="s">
        <v>543</v>
      </c>
      <c r="E221" s="42">
        <f>countif(Constants!F:F,F221)</f>
        <v>1</v>
      </c>
      <c r="F221" s="21" t="str">
        <f>VLOOKUP($A221,Constants!$D:$F,3,false)</f>
        <v>NaturalUnitOfEnergy</v>
      </c>
      <c r="G221" s="43" t="str">
        <f t="shared" si="1"/>
        <v>8.1871057769e-14</v>
      </c>
      <c r="H221" s="43">
        <f t="shared" si="2"/>
        <v>0</v>
      </c>
      <c r="I221" s="43" t="str">
        <f t="shared" si="3"/>
        <v>0.0000000025e-14</v>
      </c>
      <c r="J221" s="44">
        <f t="shared" si="4"/>
        <v>0</v>
      </c>
      <c r="K221" s="43" t="b">
        <f t="shared" si="5"/>
        <v>0</v>
      </c>
      <c r="L221" s="21" t="str">
        <f>IFERROR(__xludf.DUMMYFUNCTION("if(regexmatch(B221,""e(.*)$""),regexextract(B221,""e(.*)$""),"""")"),"-14")</f>
        <v>-14</v>
      </c>
      <c r="M221" s="45"/>
      <c r="N221" s="45">
        <f>countif(Constants!F:F,F221)</f>
        <v>1</v>
      </c>
      <c r="O221" s="21" t="str">
        <f>VLOOKUP($A221,Constants!$D:$D,1,false)</f>
        <v>natural unit of energy</v>
      </c>
    </row>
    <row r="222">
      <c r="A222" s="6" t="s">
        <v>1606</v>
      </c>
      <c r="B222" s="6" t="s">
        <v>2894</v>
      </c>
      <c r="C222" s="6" t="s">
        <v>2895</v>
      </c>
      <c r="D222" s="6" t="s">
        <v>548</v>
      </c>
      <c r="E222" s="42">
        <f>countif(Constants!F:F,F222)</f>
        <v>1</v>
      </c>
      <c r="F222" s="21" t="str">
        <f>VLOOKUP($A222,Constants!$D:$F,3,false)</f>
        <v>NaturalUnitOfEnergyInMeV</v>
      </c>
      <c r="G222" s="43" t="str">
        <f t="shared" si="1"/>
        <v>0.51099895000</v>
      </c>
      <c r="H222" s="43">
        <f t="shared" si="2"/>
        <v>0.51099895</v>
      </c>
      <c r="I222" s="43" t="str">
        <f t="shared" si="3"/>
        <v>0.00000000015</v>
      </c>
      <c r="J222" s="44">
        <f t="shared" si="4"/>
        <v>0.00000000015</v>
      </c>
      <c r="K222" s="43" t="b">
        <f t="shared" si="5"/>
        <v>0</v>
      </c>
      <c r="L222" s="21" t="str">
        <f>IFERROR(__xludf.DUMMYFUNCTION("if(regexmatch(B222,""e(.*)$""),regexextract(B222,""e(.*)$""),"""")"),"")</f>
        <v/>
      </c>
      <c r="M222" s="45"/>
      <c r="N222" s="45">
        <f>countif(Constants!F:F,F222)</f>
        <v>1</v>
      </c>
      <c r="O222" s="21" t="str">
        <f>VLOOKUP($A222,Constants!$D:$D,1,false)</f>
        <v>natural unit of energy in MeV</v>
      </c>
    </row>
    <row r="223">
      <c r="A223" s="6" t="s">
        <v>1609</v>
      </c>
      <c r="B223" s="6" t="s">
        <v>3042</v>
      </c>
      <c r="C223" s="6" t="s">
        <v>2553</v>
      </c>
      <c r="D223" s="6" t="s">
        <v>571</v>
      </c>
      <c r="E223" s="42">
        <f>countif(Constants!F:F,F223)</f>
        <v>1</v>
      </c>
      <c r="F223" s="21" t="str">
        <f>VLOOKUP($A223,Constants!$D:$F,3,false)</f>
        <v>NaturalUnitOfLength</v>
      </c>
      <c r="G223" s="43" t="str">
        <f t="shared" si="1"/>
        <v>3.8615926796e-13</v>
      </c>
      <c r="H223" s="43">
        <f t="shared" si="2"/>
        <v>0</v>
      </c>
      <c r="I223" s="43" t="str">
        <f t="shared" si="3"/>
        <v>0.0000000012e-13</v>
      </c>
      <c r="J223" s="44">
        <f t="shared" si="4"/>
        <v>0</v>
      </c>
      <c r="K223" s="43" t="b">
        <f t="shared" si="5"/>
        <v>0</v>
      </c>
      <c r="L223" s="21" t="str">
        <f>IFERROR(__xludf.DUMMYFUNCTION("if(regexmatch(B223,""e(.*)$""),regexextract(B223,""e(.*)$""),"""")"),"-13")</f>
        <v>-13</v>
      </c>
      <c r="M223" s="45"/>
      <c r="N223" s="45">
        <f>countif(Constants!F:F,F223)</f>
        <v>1</v>
      </c>
      <c r="O223" s="21" t="str">
        <f>VLOOKUP($A223,Constants!$D:$D,1,false)</f>
        <v>natural unit of length</v>
      </c>
    </row>
    <row r="224">
      <c r="A224" s="6" t="s">
        <v>1613</v>
      </c>
      <c r="B224" s="6" t="s">
        <v>2818</v>
      </c>
      <c r="C224" s="6" t="s">
        <v>2292</v>
      </c>
      <c r="D224" s="6" t="s">
        <v>538</v>
      </c>
      <c r="E224" s="42">
        <f>countif(Constants!F:F,F224)</f>
        <v>1</v>
      </c>
      <c r="F224" s="21" t="str">
        <f>VLOOKUP($A224,Constants!$D:$F,3,false)</f>
        <v>NaturalUnitOfMass</v>
      </c>
      <c r="G224" s="43" t="str">
        <f t="shared" si="1"/>
        <v>9.1093837015e-31</v>
      </c>
      <c r="H224" s="43">
        <f t="shared" si="2"/>
        <v>0</v>
      </c>
      <c r="I224" s="43" t="str">
        <f t="shared" si="3"/>
        <v>0.0000000028e-31</v>
      </c>
      <c r="J224" s="44">
        <f t="shared" si="4"/>
        <v>0</v>
      </c>
      <c r="K224" s="43" t="b">
        <f t="shared" si="5"/>
        <v>0</v>
      </c>
      <c r="L224" s="21" t="str">
        <f>IFERROR(__xludf.DUMMYFUNCTION("if(regexmatch(B224,""e(.*)$""),regexextract(B224,""e(.*)$""),"""")"),"-31")</f>
        <v>-31</v>
      </c>
      <c r="M224" s="45"/>
      <c r="N224" s="45">
        <f>countif(Constants!F:F,F224)</f>
        <v>1</v>
      </c>
      <c r="O224" s="21" t="str">
        <f>VLOOKUP($A224,Constants!$D:$D,1,false)</f>
        <v>natural unit of mass</v>
      </c>
    </row>
    <row r="225">
      <c r="A225" s="6" t="s">
        <v>1617</v>
      </c>
      <c r="B225" s="6" t="s">
        <v>3043</v>
      </c>
      <c r="C225" s="6" t="s">
        <v>3044</v>
      </c>
      <c r="D225" s="6" t="s">
        <v>736</v>
      </c>
      <c r="E225" s="42">
        <f>countif(Constants!F:F,F225)</f>
        <v>1</v>
      </c>
      <c r="F225" s="21" t="str">
        <f>VLOOKUP($A225,Constants!$D:$F,3,false)</f>
        <v>NaturalUnitOfMomentum</v>
      </c>
      <c r="G225" s="43" t="str">
        <f t="shared" si="1"/>
        <v>2.73092453075e-22</v>
      </c>
      <c r="H225" s="43">
        <f t="shared" si="2"/>
        <v>0</v>
      </c>
      <c r="I225" s="43" t="str">
        <f t="shared" si="3"/>
        <v>0.00000000082e-22</v>
      </c>
      <c r="J225" s="44">
        <f t="shared" si="4"/>
        <v>0</v>
      </c>
      <c r="K225" s="43" t="b">
        <f t="shared" si="5"/>
        <v>0</v>
      </c>
      <c r="L225" s="21" t="str">
        <f>IFERROR(__xludf.DUMMYFUNCTION("if(regexmatch(B225,""e(.*)$""),regexextract(B225,""e(.*)$""),"""")"),"-22")</f>
        <v>-22</v>
      </c>
      <c r="M225" s="45"/>
      <c r="N225" s="45">
        <f>countif(Constants!F:F,F225)</f>
        <v>1</v>
      </c>
      <c r="O225" s="21" t="str">
        <f>VLOOKUP($A225,Constants!$D:$D,1,false)</f>
        <v>natural unit of momentum</v>
      </c>
    </row>
    <row r="226">
      <c r="A226" s="6" t="s">
        <v>1622</v>
      </c>
      <c r="B226" s="6" t="s">
        <v>2894</v>
      </c>
      <c r="C226" s="6" t="s">
        <v>2895</v>
      </c>
      <c r="D226" s="6" t="s">
        <v>1623</v>
      </c>
      <c r="E226" s="42">
        <f>countif(Constants!F:F,F226)</f>
        <v>1</v>
      </c>
      <c r="F226" s="21" t="str">
        <f>VLOOKUP($A226,Constants!$D:$F,3,false)</f>
        <v>NaturalUnitOfMomentumInMeV-PER-c</v>
      </c>
      <c r="G226" s="43" t="str">
        <f t="shared" si="1"/>
        <v>0.51099895000</v>
      </c>
      <c r="H226" s="43">
        <f t="shared" si="2"/>
        <v>0.51099895</v>
      </c>
      <c r="I226" s="43" t="str">
        <f t="shared" si="3"/>
        <v>0.00000000015</v>
      </c>
      <c r="J226" s="44">
        <f t="shared" si="4"/>
        <v>0.00000000015</v>
      </c>
      <c r="K226" s="43" t="b">
        <f t="shared" si="5"/>
        <v>0</v>
      </c>
      <c r="L226" s="21" t="str">
        <f>IFERROR(__xludf.DUMMYFUNCTION("if(regexmatch(B226,""e(.*)$""),regexextract(B226,""e(.*)$""),"""")"),"")</f>
        <v/>
      </c>
      <c r="M226" s="45"/>
      <c r="N226" s="45">
        <f>countif(Constants!F:F,F226)</f>
        <v>1</v>
      </c>
      <c r="O226" s="21" t="str">
        <f>VLOOKUP($A226,Constants!$D:$D,1,false)</f>
        <v>natural unit of momentum in MeV/c</v>
      </c>
    </row>
    <row r="227">
      <c r="A227" s="6" t="s">
        <v>1628</v>
      </c>
      <c r="B227" s="6" t="s">
        <v>3045</v>
      </c>
      <c r="C227" s="6" t="s">
        <v>3046</v>
      </c>
      <c r="D227" s="6" t="s">
        <v>749</v>
      </c>
      <c r="E227" s="42">
        <f>countif(Constants!F:F,F227)</f>
        <v>1</v>
      </c>
      <c r="F227" s="21" t="str">
        <f>VLOOKUP($A227,Constants!$D:$F,3,false)</f>
        <v>NaturalUnitOfTime</v>
      </c>
      <c r="G227" s="43" t="str">
        <f t="shared" si="1"/>
        <v>1.28808866819e-21</v>
      </c>
      <c r="H227" s="43">
        <f t="shared" si="2"/>
        <v>0</v>
      </c>
      <c r="I227" s="43" t="str">
        <f t="shared" si="3"/>
        <v>0.00000000039e-21</v>
      </c>
      <c r="J227" s="44">
        <f t="shared" si="4"/>
        <v>0</v>
      </c>
      <c r="K227" s="43" t="b">
        <f t="shared" si="5"/>
        <v>0</v>
      </c>
      <c r="L227" s="21" t="str">
        <f>IFERROR(__xludf.DUMMYFUNCTION("if(regexmatch(B227,""e(.*)$""),regexextract(B227,""e(.*)$""),"""")"),"-21")</f>
        <v>-21</v>
      </c>
      <c r="M227" s="45"/>
      <c r="N227" s="45">
        <f>countif(Constants!F:F,F227)</f>
        <v>1</v>
      </c>
      <c r="O227" s="21" t="str">
        <f>VLOOKUP($A227,Constants!$D:$D,1,false)</f>
        <v>natural unit of time</v>
      </c>
    </row>
    <row r="228">
      <c r="A228" s="6" t="s">
        <v>1632</v>
      </c>
      <c r="B228" s="6" t="s">
        <v>2978</v>
      </c>
      <c r="C228" s="6" t="s">
        <v>2261</v>
      </c>
      <c r="D228" s="6" t="s">
        <v>754</v>
      </c>
      <c r="E228" s="42">
        <f>countif(Constants!F:F,F228)</f>
        <v>1</v>
      </c>
      <c r="F228" s="21" t="str">
        <f>VLOOKUP($A228,Constants!$D:$F,3,false)</f>
        <v>NaturalUnitOfVelocity</v>
      </c>
      <c r="G228" s="43" t="str">
        <f t="shared" si="1"/>
        <v>299792458</v>
      </c>
      <c r="H228" s="43">
        <f t="shared" si="2"/>
        <v>299792458</v>
      </c>
      <c r="I228" s="43" t="str">
        <f t="shared" si="3"/>
        <v>(exact)</v>
      </c>
      <c r="J228" s="44" t="str">
        <f t="shared" si="4"/>
        <v/>
      </c>
      <c r="K228" s="43" t="b">
        <f t="shared" si="5"/>
        <v>0</v>
      </c>
      <c r="L228" s="21" t="str">
        <f>IFERROR(__xludf.DUMMYFUNCTION("if(regexmatch(B228,""e(.*)$""),regexextract(B228,""e(.*)$""),"""")"),"")</f>
        <v/>
      </c>
      <c r="M228" s="45"/>
      <c r="N228" s="45">
        <f>countif(Constants!F:F,F228)</f>
        <v>1</v>
      </c>
      <c r="O228" s="21" t="str">
        <f>VLOOKUP($A228,Constants!$D:$D,1,false)</f>
        <v>natural unit of velocity</v>
      </c>
    </row>
    <row r="229">
      <c r="A229" s="6" t="s">
        <v>1636</v>
      </c>
      <c r="B229" s="6" t="s">
        <v>3047</v>
      </c>
      <c r="C229" s="6" t="s">
        <v>3048</v>
      </c>
      <c r="D229" s="6" t="s">
        <v>571</v>
      </c>
      <c r="E229" s="42">
        <f>countif(Constants!F:F,F229)</f>
        <v>1</v>
      </c>
      <c r="F229" s="21" t="str">
        <f>VLOOKUP($A229,Constants!$D:$F,3,false)</f>
        <v>NeutronComptonWavelength</v>
      </c>
      <c r="G229" s="43" t="str">
        <f t="shared" si="1"/>
        <v>1.31959090581e-15</v>
      </c>
      <c r="H229" s="43">
        <f t="shared" si="2"/>
        <v>0</v>
      </c>
      <c r="I229" s="43" t="str">
        <f t="shared" si="3"/>
        <v>0.00000000075e-15</v>
      </c>
      <c r="J229" s="44">
        <f t="shared" si="4"/>
        <v>0</v>
      </c>
      <c r="K229" s="43" t="b">
        <f t="shared" si="5"/>
        <v>0</v>
      </c>
      <c r="L229" s="21" t="str">
        <f>IFERROR(__xludf.DUMMYFUNCTION("if(regexmatch(B229,""e(.*)$""),regexextract(B229,""e(.*)$""),"""")"),"-15")</f>
        <v>-15</v>
      </c>
      <c r="M229" s="45"/>
      <c r="N229" s="45">
        <f>countif(Constants!F:F,F229)</f>
        <v>1</v>
      </c>
      <c r="O229" s="21" t="str">
        <f>VLOOKUP($A229,Constants!$D:$D,1,false)</f>
        <v>neutron Compton wavelength</v>
      </c>
    </row>
    <row r="230">
      <c r="A230" s="6" t="s">
        <v>1640</v>
      </c>
      <c r="B230" s="6" t="s">
        <v>3049</v>
      </c>
      <c r="C230" s="6" t="s">
        <v>2575</v>
      </c>
      <c r="E230" s="42">
        <f>countif(Constants!F:F,F230)</f>
        <v>1</v>
      </c>
      <c r="F230" s="21" t="str">
        <f>VLOOKUP($A230,Constants!$D:$F,3,false)</f>
        <v>NeutronElectronMagneticMomentRatio</v>
      </c>
      <c r="G230" s="43" t="str">
        <f t="shared" si="1"/>
        <v>1.04066882e-3</v>
      </c>
      <c r="H230" s="43">
        <f t="shared" si="2"/>
        <v>0.00104066882</v>
      </c>
      <c r="I230" s="43" t="str">
        <f t="shared" si="3"/>
        <v>0.00000025e-3</v>
      </c>
      <c r="J230" s="44">
        <f t="shared" si="4"/>
        <v>0.00000000025</v>
      </c>
      <c r="K230" s="43" t="b">
        <f t="shared" si="5"/>
        <v>0</v>
      </c>
      <c r="L230" s="21" t="str">
        <f>IFERROR(__xludf.DUMMYFUNCTION("if(regexmatch(B230,""e(.*)$""),regexextract(B230,""e(.*)$""),"""")"),"-3")</f>
        <v>-3</v>
      </c>
      <c r="M230" s="45"/>
      <c r="N230" s="45">
        <f>countif(Constants!F:F,F230)</f>
        <v>1</v>
      </c>
      <c r="O230" s="21" t="str">
        <f>VLOOKUP($A230,Constants!$D:$D,1,false)</f>
        <v>neutron-electron mag. mom. ratio</v>
      </c>
    </row>
    <row r="231">
      <c r="A231" s="6" t="s">
        <v>1645</v>
      </c>
      <c r="B231" s="6" t="s">
        <v>3050</v>
      </c>
      <c r="C231" s="6" t="s">
        <v>3051</v>
      </c>
      <c r="E231" s="42">
        <f>countif(Constants!F:F,F231)</f>
        <v>1</v>
      </c>
      <c r="F231" s="21" t="str">
        <f>VLOOKUP($A231,Constants!$D:$F,3,false)</f>
        <v>NeutronElectronMassRatio</v>
      </c>
      <c r="G231" s="43" t="str">
        <f t="shared" si="1"/>
        <v>1838.68366173</v>
      </c>
      <c r="H231" s="43">
        <f t="shared" si="2"/>
        <v>1838.683662</v>
      </c>
      <c r="I231" s="43" t="str">
        <f t="shared" si="3"/>
        <v>0.00000089</v>
      </c>
      <c r="J231" s="44">
        <f t="shared" si="4"/>
        <v>0.00000089</v>
      </c>
      <c r="K231" s="43" t="b">
        <f t="shared" si="5"/>
        <v>0</v>
      </c>
      <c r="L231" s="21" t="str">
        <f>IFERROR(__xludf.DUMMYFUNCTION("if(regexmatch(B231,""e(.*)$""),regexextract(B231,""e(.*)$""),"""")"),"")</f>
        <v/>
      </c>
      <c r="M231" s="45"/>
      <c r="N231" s="45">
        <f>countif(Constants!F:F,F231)</f>
        <v>1</v>
      </c>
      <c r="O231" s="21" t="str">
        <f>VLOOKUP($A231,Constants!$D:$D,1,false)</f>
        <v>neutron-electron mass ratio</v>
      </c>
    </row>
    <row r="232">
      <c r="A232" s="6" t="s">
        <v>1650</v>
      </c>
      <c r="B232" s="6" t="s">
        <v>3052</v>
      </c>
      <c r="C232" s="6" t="s">
        <v>2565</v>
      </c>
      <c r="E232" s="42">
        <f>countif(Constants!F:F,F232)</f>
        <v>1</v>
      </c>
      <c r="F232" s="21" t="str">
        <f>VLOOKUP($A232,Constants!$D:$F,3,false)</f>
        <v>NeutronGFactor</v>
      </c>
      <c r="G232" s="43" t="str">
        <f t="shared" si="1"/>
        <v>-3.82608545</v>
      </c>
      <c r="H232" s="43">
        <f t="shared" si="2"/>
        <v>-3.82608545</v>
      </c>
      <c r="I232" s="43" t="str">
        <f t="shared" si="3"/>
        <v>0.00000090</v>
      </c>
      <c r="J232" s="44">
        <f t="shared" si="4"/>
        <v>0.0000009</v>
      </c>
      <c r="K232" s="43" t="b">
        <f t="shared" si="5"/>
        <v>0</v>
      </c>
      <c r="L232" s="21" t="str">
        <f>IFERROR(__xludf.DUMMYFUNCTION("if(regexmatch(B232,""e(.*)$""),regexextract(B232,""e(.*)$""),"""")"),"")</f>
        <v/>
      </c>
      <c r="M232" s="45"/>
      <c r="N232" s="45">
        <f>countif(Constants!F:F,F232)</f>
        <v>1</v>
      </c>
      <c r="O232" s="21" t="str">
        <f>VLOOKUP($A232,Constants!$D:$D,1,false)</f>
        <v>neutron g factor</v>
      </c>
    </row>
    <row r="233">
      <c r="A233" s="6" t="s">
        <v>1654</v>
      </c>
      <c r="B233" s="6" t="s">
        <v>3053</v>
      </c>
      <c r="C233" s="6" t="s">
        <v>2567</v>
      </c>
      <c r="D233" s="6" t="s">
        <v>961</v>
      </c>
      <c r="E233" s="42">
        <f>countif(Constants!F:F,F233)</f>
        <v>1</v>
      </c>
      <c r="F233" s="21" t="str">
        <f>VLOOKUP($A233,Constants!$D:$F,3,false)</f>
        <v>NeutronGyromagneticRatio</v>
      </c>
      <c r="G233" s="43" t="str">
        <f t="shared" si="1"/>
        <v>1.83247171e8</v>
      </c>
      <c r="H233" s="43">
        <f t="shared" si="2"/>
        <v>183247171</v>
      </c>
      <c r="I233" s="43" t="str">
        <f t="shared" si="3"/>
        <v>0.00000043e8</v>
      </c>
      <c r="J233" s="44">
        <f t="shared" si="4"/>
        <v>43</v>
      </c>
      <c r="K233" s="43" t="b">
        <f t="shared" si="5"/>
        <v>0</v>
      </c>
      <c r="L233" s="21" t="str">
        <f>IFERROR(__xludf.DUMMYFUNCTION("if(regexmatch(B233,""e(.*)$""),regexextract(B233,""e(.*)$""),"""")"),"8")</f>
        <v>8</v>
      </c>
      <c r="M233" s="45"/>
      <c r="N233" s="45">
        <f>countif(Constants!F:F,F233)</f>
        <v>1</v>
      </c>
      <c r="O233" s="21" t="str">
        <f>VLOOKUP($A233,Constants!$D:$D,1,false)</f>
        <v>neutron gyromag. ratio</v>
      </c>
    </row>
    <row r="234">
      <c r="A234" s="6" t="s">
        <v>2568</v>
      </c>
      <c r="B234" s="6" t="s">
        <v>3054</v>
      </c>
      <c r="C234" s="6" t="s">
        <v>2570</v>
      </c>
      <c r="D234" s="6" t="s">
        <v>969</v>
      </c>
      <c r="E234" s="42">
        <f>countif(Constants!F:F,F234)</f>
        <v>1</v>
      </c>
      <c r="F234" s="47" t="s">
        <v>2571</v>
      </c>
      <c r="G234" s="43" t="str">
        <f t="shared" si="1"/>
        <v>29.1646931</v>
      </c>
      <c r="H234" s="43">
        <f t="shared" si="2"/>
        <v>29.1646931</v>
      </c>
      <c r="I234" s="43" t="str">
        <f t="shared" si="3"/>
        <v>0.0000069</v>
      </c>
      <c r="J234" s="44">
        <f t="shared" si="4"/>
        <v>0.0000069</v>
      </c>
      <c r="K234" s="43" t="b">
        <f t="shared" si="5"/>
        <v>0</v>
      </c>
      <c r="L234" s="21" t="str">
        <f>IFERROR(__xludf.DUMMYFUNCTION("if(regexmatch(B234,""e(.*)$""),regexextract(B234,""e(.*)$""),"""")"),"")</f>
        <v/>
      </c>
      <c r="M234" s="45"/>
      <c r="N234" s="45">
        <f>countif(Constants!F:F,F234)</f>
        <v>1</v>
      </c>
      <c r="O234" s="21" t="str">
        <f>VLOOKUP($A234,Constants!$D:$D,1,false)</f>
        <v>#N/A</v>
      </c>
    </row>
    <row r="235">
      <c r="A235" s="6" t="s">
        <v>1663</v>
      </c>
      <c r="B235" s="6" t="s">
        <v>3055</v>
      </c>
      <c r="C235" s="6" t="s">
        <v>2573</v>
      </c>
      <c r="D235" s="6" t="s">
        <v>714</v>
      </c>
      <c r="E235" s="42">
        <f>countif(Constants!F:F,F235)</f>
        <v>1</v>
      </c>
      <c r="F235" s="21" t="str">
        <f>VLOOKUP($A235,Constants!$D:$F,3,false)</f>
        <v>NeutronMagneticMoment</v>
      </c>
      <c r="G235" s="43" t="str">
        <f t="shared" si="1"/>
        <v>-9.6623651e-27</v>
      </c>
      <c r="H235" s="43">
        <f t="shared" si="2"/>
        <v>0</v>
      </c>
      <c r="I235" s="43" t="str">
        <f t="shared" si="3"/>
        <v>0.0000023e-27</v>
      </c>
      <c r="J235" s="44">
        <f t="shared" si="4"/>
        <v>0</v>
      </c>
      <c r="K235" s="43" t="b">
        <f t="shared" si="5"/>
        <v>0</v>
      </c>
      <c r="L235" s="21" t="str">
        <f>IFERROR(__xludf.DUMMYFUNCTION("if(regexmatch(B235,""e(.*)$""),regexextract(B235,""e(.*)$""),"""")"),"-27")</f>
        <v>-27</v>
      </c>
      <c r="M235" s="45"/>
      <c r="N235" s="45">
        <f>countif(Constants!F:F,F235)</f>
        <v>1</v>
      </c>
      <c r="O235" s="21" t="str">
        <f>VLOOKUP($A235,Constants!$D:$D,1,false)</f>
        <v>neutron mag. mom.</v>
      </c>
    </row>
    <row r="236">
      <c r="A236" s="6" t="s">
        <v>1668</v>
      </c>
      <c r="B236" s="6" t="s">
        <v>3056</v>
      </c>
      <c r="C236" s="6" t="s">
        <v>2575</v>
      </c>
      <c r="E236" s="42">
        <f>countif(Constants!F:F,F236)</f>
        <v>1</v>
      </c>
      <c r="F236" s="21" t="str">
        <f>VLOOKUP($A236,Constants!$D:$F,3,false)</f>
        <v>NeutronMagneticMomentToBohrMagnetonRatio</v>
      </c>
      <c r="G236" s="43" t="str">
        <f t="shared" si="1"/>
        <v>-1.04187563e-3</v>
      </c>
      <c r="H236" s="43">
        <f t="shared" si="2"/>
        <v>-0.00104187563</v>
      </c>
      <c r="I236" s="43" t="str">
        <f t="shared" si="3"/>
        <v>0.00000025e-3</v>
      </c>
      <c r="J236" s="44">
        <f t="shared" si="4"/>
        <v>0.00000000025</v>
      </c>
      <c r="K236" s="43" t="b">
        <f t="shared" si="5"/>
        <v>0</v>
      </c>
      <c r="L236" s="21" t="str">
        <f>IFERROR(__xludf.DUMMYFUNCTION("if(regexmatch(B236,""e(.*)$""),regexextract(B236,""e(.*)$""),"""")"),"-3")</f>
        <v>-3</v>
      </c>
      <c r="M236" s="45"/>
      <c r="N236" s="45">
        <f>countif(Constants!F:F,F236)</f>
        <v>1</v>
      </c>
      <c r="O236" s="21" t="str">
        <f>VLOOKUP($A236,Constants!$D:$D,1,false)</f>
        <v>neutron mag. mom. to Bohr magneton ratio</v>
      </c>
    </row>
    <row r="237">
      <c r="A237" s="6" t="s">
        <v>1673</v>
      </c>
      <c r="B237" s="6" t="s">
        <v>3057</v>
      </c>
      <c r="C237" s="6" t="s">
        <v>2577</v>
      </c>
      <c r="E237" s="42">
        <f>countif(Constants!F:F,F237)</f>
        <v>1</v>
      </c>
      <c r="F237" s="21" t="str">
        <f>VLOOKUP($A237,Constants!$D:$F,3,false)</f>
        <v>NeutronMagneticMomentToNuclearMagnetonRatio</v>
      </c>
      <c r="G237" s="43" t="str">
        <f t="shared" si="1"/>
        <v>-1.91304273</v>
      </c>
      <c r="H237" s="43">
        <f t="shared" si="2"/>
        <v>-1.91304273</v>
      </c>
      <c r="I237" s="43" t="str">
        <f t="shared" si="3"/>
        <v>0.00000045</v>
      </c>
      <c r="J237" s="44">
        <f t="shared" si="4"/>
        <v>0.00000045</v>
      </c>
      <c r="K237" s="43" t="b">
        <f t="shared" si="5"/>
        <v>0</v>
      </c>
      <c r="L237" s="21" t="str">
        <f>IFERROR(__xludf.DUMMYFUNCTION("if(regexmatch(B237,""e(.*)$""),regexextract(B237,""e(.*)$""),"""")"),"")</f>
        <v/>
      </c>
      <c r="M237" s="45"/>
      <c r="N237" s="45">
        <f>countif(Constants!F:F,F237)</f>
        <v>1</v>
      </c>
      <c r="O237" s="21" t="str">
        <f>VLOOKUP($A237,Constants!$D:$D,1,false)</f>
        <v>neutron mag. mom. to nuclear magneton ratio</v>
      </c>
    </row>
    <row r="238">
      <c r="A238" s="6" t="s">
        <v>1678</v>
      </c>
      <c r="B238" s="6" t="s">
        <v>3058</v>
      </c>
      <c r="C238" s="6" t="s">
        <v>3059</v>
      </c>
      <c r="D238" s="6" t="s">
        <v>538</v>
      </c>
      <c r="E238" s="42">
        <f>countif(Constants!F:F,F238)</f>
        <v>1</v>
      </c>
      <c r="F238" s="21" t="str">
        <f>VLOOKUP($A238,Constants!$D:$F,3,false)</f>
        <v>NeutronMass</v>
      </c>
      <c r="G238" s="43" t="str">
        <f t="shared" si="1"/>
        <v>1.67492749804e-27</v>
      </c>
      <c r="H238" s="43">
        <f t="shared" si="2"/>
        <v>0</v>
      </c>
      <c r="I238" s="43" t="str">
        <f t="shared" si="3"/>
        <v>0.00000000095e-27</v>
      </c>
      <c r="J238" s="44">
        <f t="shared" si="4"/>
        <v>0</v>
      </c>
      <c r="K238" s="43" t="b">
        <f t="shared" si="5"/>
        <v>0</v>
      </c>
      <c r="L238" s="21" t="str">
        <f>IFERROR(__xludf.DUMMYFUNCTION("if(regexmatch(B238,""e(.*)$""),regexextract(B238,""e(.*)$""),"""")"),"-27")</f>
        <v>-27</v>
      </c>
      <c r="M238" s="45"/>
      <c r="N238" s="45">
        <f>countif(Constants!F:F,F238)</f>
        <v>1</v>
      </c>
      <c r="O238" s="21" t="str">
        <f>VLOOKUP($A238,Constants!$D:$D,1,false)</f>
        <v>neutron mass</v>
      </c>
    </row>
    <row r="239">
      <c r="A239" s="6" t="s">
        <v>1682</v>
      </c>
      <c r="B239" s="6" t="s">
        <v>3060</v>
      </c>
      <c r="C239" s="6" t="s">
        <v>3061</v>
      </c>
      <c r="D239" s="6" t="s">
        <v>543</v>
      </c>
      <c r="E239" s="42">
        <f>countif(Constants!F:F,F239)</f>
        <v>1</v>
      </c>
      <c r="F239" s="21" t="str">
        <f>VLOOKUP($A239,Constants!$D:$F,3,false)</f>
        <v>NeutronMassEnergyEquivalent</v>
      </c>
      <c r="G239" s="43" t="str">
        <f t="shared" si="1"/>
        <v>1.50534976287e-10</v>
      </c>
      <c r="H239" s="43">
        <f t="shared" si="2"/>
        <v>0.0000000001505349763</v>
      </c>
      <c r="I239" s="43" t="str">
        <f t="shared" si="3"/>
        <v>0.00000000086e-10</v>
      </c>
      <c r="J239" s="44">
        <f t="shared" si="4"/>
        <v>0</v>
      </c>
      <c r="K239" s="43" t="b">
        <f t="shared" si="5"/>
        <v>0</v>
      </c>
      <c r="L239" s="21" t="str">
        <f>IFERROR(__xludf.DUMMYFUNCTION("if(regexmatch(B239,""e(.*)$""),regexextract(B239,""e(.*)$""),"""")"),"-10")</f>
        <v>-10</v>
      </c>
      <c r="M239" s="45"/>
      <c r="N239" s="45">
        <f>countif(Constants!F:F,F239)</f>
        <v>1</v>
      </c>
      <c r="O239" s="21" t="str">
        <f>VLOOKUP($A239,Constants!$D:$D,1,false)</f>
        <v>neutron mass energy equivalent</v>
      </c>
    </row>
    <row r="240">
      <c r="A240" s="6" t="s">
        <v>1686</v>
      </c>
      <c r="B240" s="6" t="s">
        <v>3062</v>
      </c>
      <c r="C240" s="6" t="s">
        <v>3063</v>
      </c>
      <c r="D240" s="6" t="s">
        <v>548</v>
      </c>
      <c r="E240" s="42">
        <f>countif(Constants!F:F,F240)</f>
        <v>1</v>
      </c>
      <c r="F240" s="21" t="str">
        <f>VLOOKUP($A240,Constants!$D:$F,3,false)</f>
        <v>NeutronMassEnergyEquivalentInMeV</v>
      </c>
      <c r="G240" s="43" t="str">
        <f t="shared" si="1"/>
        <v>939.56542052</v>
      </c>
      <c r="H240" s="43">
        <f t="shared" si="2"/>
        <v>939.5654205</v>
      </c>
      <c r="I240" s="43" t="str">
        <f t="shared" si="3"/>
        <v>0.00000054</v>
      </c>
      <c r="J240" s="44">
        <f t="shared" si="4"/>
        <v>0.00000054</v>
      </c>
      <c r="K240" s="43" t="b">
        <f t="shared" si="5"/>
        <v>0</v>
      </c>
      <c r="L240" s="21" t="str">
        <f>IFERROR(__xludf.DUMMYFUNCTION("if(regexmatch(B240,""e(.*)$""),regexextract(B240,""e(.*)$""),"""")"),"")</f>
        <v/>
      </c>
      <c r="M240" s="45"/>
      <c r="N240" s="45">
        <f>countif(Constants!F:F,F240)</f>
        <v>1</v>
      </c>
      <c r="O240" s="21" t="str">
        <f>VLOOKUP($A240,Constants!$D:$D,1,false)</f>
        <v>neutron mass energy equivalent in MeV</v>
      </c>
    </row>
    <row r="241">
      <c r="A241" s="6" t="s">
        <v>1689</v>
      </c>
      <c r="B241" s="6" t="s">
        <v>3064</v>
      </c>
      <c r="C241" s="6" t="s">
        <v>3065</v>
      </c>
      <c r="D241" s="6" t="s">
        <v>553</v>
      </c>
      <c r="E241" s="42">
        <f>countif(Constants!F:F,F241)</f>
        <v>1</v>
      </c>
      <c r="F241" s="21" t="str">
        <f>VLOOKUP($A241,Constants!$D:$F,3,false)</f>
        <v>NeutronMassInAtomicMassUnit</v>
      </c>
      <c r="G241" s="43" t="str">
        <f t="shared" si="1"/>
        <v>1.00866491595</v>
      </c>
      <c r="H241" s="43">
        <f t="shared" si="2"/>
        <v>1.008664916</v>
      </c>
      <c r="I241" s="43" t="str">
        <f t="shared" si="3"/>
        <v>0.00000000049</v>
      </c>
      <c r="J241" s="44">
        <f t="shared" si="4"/>
        <v>0.00000000049</v>
      </c>
      <c r="K241" s="43" t="b">
        <f t="shared" si="5"/>
        <v>0</v>
      </c>
      <c r="L241" s="21" t="str">
        <f>IFERROR(__xludf.DUMMYFUNCTION("if(regexmatch(B241,""e(.*)$""),regexextract(B241,""e(.*)$""),"""")"),"")</f>
        <v/>
      </c>
      <c r="M241" s="45"/>
      <c r="N241" s="45">
        <f>countif(Constants!F:F,F241)</f>
        <v>1</v>
      </c>
      <c r="O241" s="21" t="str">
        <f>VLOOKUP($A241,Constants!$D:$D,1,false)</f>
        <v>neutron mass in u</v>
      </c>
    </row>
    <row r="242">
      <c r="A242" s="6" t="s">
        <v>1692</v>
      </c>
      <c r="B242" s="6" t="s">
        <v>3066</v>
      </c>
      <c r="C242" s="6" t="s">
        <v>3067</v>
      </c>
      <c r="D242" s="6" t="s">
        <v>557</v>
      </c>
      <c r="E242" s="42">
        <f>countif(Constants!F:F,F242)</f>
        <v>1</v>
      </c>
      <c r="F242" s="21" t="str">
        <f>VLOOKUP($A242,Constants!$D:$F,3,false)</f>
        <v>NeutronMolarMass</v>
      </c>
      <c r="G242" s="43" t="str">
        <f t="shared" si="1"/>
        <v>1.00866491560e-3</v>
      </c>
      <c r="H242" s="43">
        <f t="shared" si="2"/>
        <v>0.001008664916</v>
      </c>
      <c r="I242" s="43" t="str">
        <f t="shared" si="3"/>
        <v>0.00000000057e-3</v>
      </c>
      <c r="J242" s="44">
        <f t="shared" si="4"/>
        <v>0</v>
      </c>
      <c r="K242" s="43" t="b">
        <f t="shared" si="5"/>
        <v>0</v>
      </c>
      <c r="L242" s="21" t="str">
        <f>IFERROR(__xludf.DUMMYFUNCTION("if(regexmatch(B242,""e(.*)$""),regexextract(B242,""e(.*)$""),"""")"),"-3")</f>
        <v>-3</v>
      </c>
      <c r="M242" s="45"/>
      <c r="N242" s="45">
        <f>countif(Constants!F:F,F242)</f>
        <v>1</v>
      </c>
      <c r="O242" s="21" t="str">
        <f>VLOOKUP($A242,Constants!$D:$D,1,false)</f>
        <v>neutron molar mass</v>
      </c>
    </row>
    <row r="243">
      <c r="A243" s="6" t="s">
        <v>1696</v>
      </c>
      <c r="B243" s="6" t="s">
        <v>3068</v>
      </c>
      <c r="C243" s="6" t="s">
        <v>2534</v>
      </c>
      <c r="E243" s="42">
        <f>countif(Constants!F:F,F243)</f>
        <v>1</v>
      </c>
      <c r="F243" s="21" t="str">
        <f>VLOOKUP($A243,Constants!$D:$F,3,false)</f>
        <v>NeutronMuonMassRatio</v>
      </c>
      <c r="G243" s="43" t="str">
        <f t="shared" si="1"/>
        <v>8.89248406</v>
      </c>
      <c r="H243" s="43">
        <f t="shared" si="2"/>
        <v>8.89248406</v>
      </c>
      <c r="I243" s="43" t="str">
        <f t="shared" si="3"/>
        <v>0.00000020</v>
      </c>
      <c r="J243" s="44">
        <f t="shared" si="4"/>
        <v>0.0000002</v>
      </c>
      <c r="K243" s="43" t="b">
        <f t="shared" si="5"/>
        <v>0</v>
      </c>
      <c r="L243" s="21" t="str">
        <f>IFERROR(__xludf.DUMMYFUNCTION("if(regexmatch(B243,""e(.*)$""),regexextract(B243,""e(.*)$""),"""")"),"")</f>
        <v/>
      </c>
      <c r="M243" s="45"/>
      <c r="N243" s="45">
        <f>countif(Constants!F:F,F243)</f>
        <v>1</v>
      </c>
      <c r="O243" s="21" t="str">
        <f>VLOOKUP($A243,Constants!$D:$D,1,false)</f>
        <v>neutron-muon mass ratio</v>
      </c>
    </row>
    <row r="244">
      <c r="A244" s="6" t="s">
        <v>1701</v>
      </c>
      <c r="B244" s="6" t="s">
        <v>3069</v>
      </c>
      <c r="C244" s="6" t="s">
        <v>2436</v>
      </c>
      <c r="E244" s="42">
        <f>countif(Constants!F:F,F244)</f>
        <v>1</v>
      </c>
      <c r="F244" s="21" t="str">
        <f>VLOOKUP($A244,Constants!$D:$F,3,false)</f>
        <v>NeutronProtonMagneticMomentRatio</v>
      </c>
      <c r="G244" s="43" t="str">
        <f t="shared" si="1"/>
        <v>-0.68497934</v>
      </c>
      <c r="H244" s="43">
        <f t="shared" si="2"/>
        <v>-0.68497934</v>
      </c>
      <c r="I244" s="43" t="str">
        <f t="shared" si="3"/>
        <v>0.00000016</v>
      </c>
      <c r="J244" s="44">
        <f t="shared" si="4"/>
        <v>0.00000016</v>
      </c>
      <c r="K244" s="43" t="b">
        <f t="shared" si="5"/>
        <v>0</v>
      </c>
      <c r="L244" s="21" t="str">
        <f>IFERROR(__xludf.DUMMYFUNCTION("if(regexmatch(B244,""e(.*)$""),regexextract(B244,""e(.*)$""),"""")"),"")</f>
        <v/>
      </c>
      <c r="M244" s="45"/>
      <c r="N244" s="45">
        <f>countif(Constants!F:F,F244)</f>
        <v>1</v>
      </c>
      <c r="O244" s="21" t="str">
        <f>VLOOKUP($A244,Constants!$D:$D,1,false)</f>
        <v>neutron-proton mag. mom. ratio</v>
      </c>
    </row>
    <row r="245">
      <c r="A245" s="6" t="s">
        <v>1706</v>
      </c>
      <c r="B245" s="6" t="s">
        <v>3070</v>
      </c>
      <c r="C245" s="6" t="s">
        <v>3071</v>
      </c>
      <c r="D245" s="6" t="s">
        <v>538</v>
      </c>
      <c r="E245" s="42">
        <f>countif(Constants!F:F,F245)</f>
        <v>1</v>
      </c>
      <c r="F245" s="21" t="str">
        <f>VLOOKUP($A245,Constants!$D:$F,3,false)</f>
        <v>Neutron-ProtonMassDifference</v>
      </c>
      <c r="G245" s="43" t="str">
        <f t="shared" si="1"/>
        <v>2.30557435e-30</v>
      </c>
      <c r="H245" s="43">
        <f t="shared" si="2"/>
        <v>0</v>
      </c>
      <c r="I245" s="43" t="str">
        <f t="shared" si="3"/>
        <v>0.00000082e-30</v>
      </c>
      <c r="J245" s="44">
        <f t="shared" si="4"/>
        <v>0</v>
      </c>
      <c r="K245" s="43" t="b">
        <f t="shared" si="5"/>
        <v>0</v>
      </c>
      <c r="L245" s="21" t="str">
        <f>IFERROR(__xludf.DUMMYFUNCTION("if(regexmatch(B245,""e(.*)$""),regexextract(B245,""e(.*)$""),"""")"),"-30")</f>
        <v>-30</v>
      </c>
      <c r="M245" s="45"/>
      <c r="N245" s="45">
        <f>countif(Constants!F:F,F245)</f>
        <v>1</v>
      </c>
      <c r="O245" s="21" t="str">
        <f>VLOOKUP($A245,Constants!$D:$D,1,false)</f>
        <v>neutron-proton mass difference</v>
      </c>
    </row>
    <row r="246">
      <c r="A246" s="6" t="s">
        <v>1710</v>
      </c>
      <c r="B246" s="6" t="s">
        <v>3072</v>
      </c>
      <c r="C246" s="6" t="s">
        <v>3073</v>
      </c>
      <c r="D246" s="6" t="s">
        <v>543</v>
      </c>
      <c r="E246" s="42">
        <f>countif(Constants!F:F,F246)</f>
        <v>1</v>
      </c>
      <c r="F246" s="21" t="str">
        <f>VLOOKUP($A246,Constants!$D:$F,3,false)</f>
        <v>Neutron-ProtonMassDifferenceEnergyEquivalent</v>
      </c>
      <c r="G246" s="43" t="str">
        <f t="shared" si="1"/>
        <v>2.07214689e-13</v>
      </c>
      <c r="H246" s="43">
        <f t="shared" si="2"/>
        <v>0</v>
      </c>
      <c r="I246" s="43" t="str">
        <f t="shared" si="3"/>
        <v>0.00000074e-13</v>
      </c>
      <c r="J246" s="44">
        <f t="shared" si="4"/>
        <v>0</v>
      </c>
      <c r="K246" s="43" t="b">
        <f t="shared" si="5"/>
        <v>0</v>
      </c>
      <c r="L246" s="21" t="str">
        <f>IFERROR(__xludf.DUMMYFUNCTION("if(regexmatch(B246,""e(.*)$""),regexextract(B246,""e(.*)$""),"""")"),"-13")</f>
        <v>-13</v>
      </c>
      <c r="M246" s="45"/>
      <c r="N246" s="45">
        <f>countif(Constants!F:F,F246)</f>
        <v>1</v>
      </c>
      <c r="O246" s="21" t="str">
        <f>VLOOKUP($A246,Constants!$D:$D,1,false)</f>
        <v>neutron-proton mass difference energy equivalent</v>
      </c>
    </row>
    <row r="247">
      <c r="A247" s="6" t="s">
        <v>1714</v>
      </c>
      <c r="B247" s="6" t="s">
        <v>3074</v>
      </c>
      <c r="C247" s="6" t="s">
        <v>3075</v>
      </c>
      <c r="D247" s="6" t="s">
        <v>548</v>
      </c>
      <c r="E247" s="42">
        <f>countif(Constants!F:F,F247)</f>
        <v>1</v>
      </c>
      <c r="F247" s="21" t="str">
        <f>VLOOKUP($A247,Constants!$D:$F,3,false)</f>
        <v>Neutron-ProtonMassDifferenceEnergyEquivalentInMev</v>
      </c>
      <c r="G247" s="43" t="str">
        <f t="shared" si="1"/>
        <v>1.29333236</v>
      </c>
      <c r="H247" s="43">
        <f t="shared" si="2"/>
        <v>1.29333236</v>
      </c>
      <c r="I247" s="43" t="str">
        <f t="shared" si="3"/>
        <v>0.00000046</v>
      </c>
      <c r="J247" s="44">
        <f t="shared" si="4"/>
        <v>0.00000046</v>
      </c>
      <c r="K247" s="43" t="b">
        <f t="shared" si="5"/>
        <v>0</v>
      </c>
      <c r="L247" s="21" t="str">
        <f>IFERROR(__xludf.DUMMYFUNCTION("if(regexmatch(B247,""e(.*)$""),regexextract(B247,""e(.*)$""),"""")"),"")</f>
        <v/>
      </c>
      <c r="M247" s="45"/>
      <c r="N247" s="45">
        <f>countif(Constants!F:F,F247)</f>
        <v>1</v>
      </c>
      <c r="O247" s="21" t="str">
        <f>VLOOKUP($A247,Constants!$D:$D,1,false)</f>
        <v>neutron-proton mass difference energy equivalent in MeV</v>
      </c>
    </row>
    <row r="248">
      <c r="A248" s="6" t="s">
        <v>1717</v>
      </c>
      <c r="B248" s="6" t="s">
        <v>3076</v>
      </c>
      <c r="C248" s="6" t="s">
        <v>3077</v>
      </c>
      <c r="D248" s="6" t="s">
        <v>553</v>
      </c>
      <c r="E248" s="42">
        <f>countif(Constants!F:F,F248)</f>
        <v>1</v>
      </c>
      <c r="F248" s="21" t="str">
        <f>VLOOKUP($A248,Constants!$D:$F,3,false)</f>
        <v>Neutron-ProtonMassDifferenceInU</v>
      </c>
      <c r="G248" s="43" t="str">
        <f t="shared" si="1"/>
        <v>1.38844933e-3</v>
      </c>
      <c r="H248" s="43">
        <f t="shared" si="2"/>
        <v>0.00138844933</v>
      </c>
      <c r="I248" s="43" t="str">
        <f t="shared" si="3"/>
        <v>0.00000049e-3</v>
      </c>
      <c r="J248" s="44">
        <f t="shared" si="4"/>
        <v>0.00000000049</v>
      </c>
      <c r="K248" s="43" t="b">
        <f t="shared" si="5"/>
        <v>0</v>
      </c>
      <c r="L248" s="21" t="str">
        <f>IFERROR(__xludf.DUMMYFUNCTION("if(regexmatch(B248,""e(.*)$""),regexextract(B248,""e(.*)$""),"""")"),"-3")</f>
        <v>-3</v>
      </c>
      <c r="M248" s="45"/>
      <c r="N248" s="45">
        <f>countif(Constants!F:F,F248)</f>
        <v>1</v>
      </c>
      <c r="O248" s="21" t="str">
        <f>VLOOKUP($A248,Constants!$D:$D,1,false)</f>
        <v>neutron-proton mass difference in u</v>
      </c>
    </row>
    <row r="249">
      <c r="A249" s="6" t="s">
        <v>1719</v>
      </c>
      <c r="B249" s="6" t="s">
        <v>3078</v>
      </c>
      <c r="C249" s="6" t="s">
        <v>3065</v>
      </c>
      <c r="E249" s="42">
        <f>countif(Constants!F:F,F249)</f>
        <v>1</v>
      </c>
      <c r="F249" s="21" t="str">
        <f>VLOOKUP($A249,Constants!$D:$F,3,false)</f>
        <v>NeutronProtonMassRatio</v>
      </c>
      <c r="G249" s="43" t="str">
        <f t="shared" si="1"/>
        <v>1.00137841931</v>
      </c>
      <c r="H249" s="43">
        <f t="shared" si="2"/>
        <v>1.001378419</v>
      </c>
      <c r="I249" s="43" t="str">
        <f t="shared" si="3"/>
        <v>0.00000000049</v>
      </c>
      <c r="J249" s="44">
        <f t="shared" si="4"/>
        <v>0.00000000049</v>
      </c>
      <c r="K249" s="43" t="b">
        <f t="shared" si="5"/>
        <v>0</v>
      </c>
      <c r="L249" s="21" t="str">
        <f>IFERROR(__xludf.DUMMYFUNCTION("if(regexmatch(B249,""e(.*)$""),regexextract(B249,""e(.*)$""),"""")"),"")</f>
        <v/>
      </c>
      <c r="M249" s="45"/>
      <c r="N249" s="45">
        <f>countif(Constants!F:F,F249)</f>
        <v>1</v>
      </c>
      <c r="O249" s="21" t="str">
        <f>VLOOKUP($A249,Constants!$D:$D,1,false)</f>
        <v>neutron-proton mass ratio</v>
      </c>
    </row>
    <row r="250">
      <c r="A250" s="6" t="s">
        <v>1724</v>
      </c>
      <c r="B250" s="6" t="s">
        <v>3064</v>
      </c>
      <c r="C250" s="6" t="s">
        <v>3065</v>
      </c>
      <c r="E250" s="42">
        <f>countif(Constants!F:F,F250)</f>
        <v>1</v>
      </c>
      <c r="F250" s="21" t="str">
        <f>VLOOKUP($A250,Constants!$D:$F,3,false)</f>
        <v>NeutronRelativeAtomicMass</v>
      </c>
      <c r="G250" s="43" t="str">
        <f t="shared" si="1"/>
        <v>1.00866491595</v>
      </c>
      <c r="H250" s="43">
        <f t="shared" si="2"/>
        <v>1.008664916</v>
      </c>
      <c r="I250" s="43" t="str">
        <f t="shared" si="3"/>
        <v>0.00000000049</v>
      </c>
      <c r="J250" s="44">
        <f t="shared" si="4"/>
        <v>0.00000000049</v>
      </c>
      <c r="K250" s="43" t="b">
        <f t="shared" si="5"/>
        <v>0</v>
      </c>
      <c r="L250" s="21" t="str">
        <f>IFERROR(__xludf.DUMMYFUNCTION("if(regexmatch(B250,""e(.*)$""),regexextract(B250,""e(.*)$""),"""")"),"")</f>
        <v/>
      </c>
      <c r="M250" s="45"/>
      <c r="N250" s="45">
        <f>countif(Constants!F:F,F250)</f>
        <v>1</v>
      </c>
      <c r="O250" s="21" t="str">
        <f>VLOOKUP($A250,Constants!$D:$D,1,false)</f>
        <v>neutron relative atomic mass</v>
      </c>
    </row>
    <row r="251">
      <c r="A251" s="6" t="s">
        <v>1727</v>
      </c>
      <c r="B251" s="6" t="s">
        <v>3079</v>
      </c>
      <c r="C251" s="6" t="s">
        <v>2600</v>
      </c>
      <c r="E251" s="42">
        <f>countif(Constants!F:F,F251)</f>
        <v>1</v>
      </c>
      <c r="F251" s="21" t="str">
        <f>VLOOKUP($A251,Constants!$D:$F,3,false)</f>
        <v>NeutronTauMassRatio</v>
      </c>
      <c r="G251" s="43" t="str">
        <f t="shared" si="1"/>
        <v>0.528779</v>
      </c>
      <c r="H251" s="43">
        <f t="shared" si="2"/>
        <v>0.528779</v>
      </c>
      <c r="I251" s="43" t="str">
        <f t="shared" si="3"/>
        <v>0.000036</v>
      </c>
      <c r="J251" s="44">
        <f t="shared" si="4"/>
        <v>0.000036</v>
      </c>
      <c r="K251" s="43" t="b">
        <f t="shared" si="5"/>
        <v>0</v>
      </c>
      <c r="L251" s="21" t="str">
        <f>IFERROR(__xludf.DUMMYFUNCTION("if(regexmatch(B251,""e(.*)$""),regexextract(B251,""e(.*)$""),"""")"),"")</f>
        <v/>
      </c>
      <c r="M251" s="45"/>
      <c r="N251" s="45">
        <f>countif(Constants!F:F,F251)</f>
        <v>1</v>
      </c>
      <c r="O251" s="21" t="str">
        <f>VLOOKUP($A251,Constants!$D:$D,1,false)</f>
        <v>neutron-tau mass ratio</v>
      </c>
    </row>
    <row r="252">
      <c r="A252" s="6" t="s">
        <v>1732</v>
      </c>
      <c r="B252" s="6" t="s">
        <v>3080</v>
      </c>
      <c r="C252" s="6" t="s">
        <v>2436</v>
      </c>
      <c r="E252" s="42">
        <f>countif(Constants!F:F,F252)</f>
        <v>1</v>
      </c>
      <c r="F252" s="21" t="str">
        <f>VLOOKUP($A252,Constants!$D:$F,3,false)</f>
        <v>NeutronToShieldedProtonMagneticMomentRatio</v>
      </c>
      <c r="G252" s="43" t="str">
        <f t="shared" si="1"/>
        <v>-0.68499694</v>
      </c>
      <c r="H252" s="43">
        <f t="shared" si="2"/>
        <v>-0.68499694</v>
      </c>
      <c r="I252" s="43" t="str">
        <f t="shared" si="3"/>
        <v>0.00000016</v>
      </c>
      <c r="J252" s="44">
        <f t="shared" si="4"/>
        <v>0.00000016</v>
      </c>
      <c r="K252" s="43" t="b">
        <f t="shared" si="5"/>
        <v>0</v>
      </c>
      <c r="L252" s="21" t="str">
        <f>IFERROR(__xludf.DUMMYFUNCTION("if(regexmatch(B252,""e(.*)$""),regexextract(B252,""e(.*)$""),"""")"),"")</f>
        <v/>
      </c>
      <c r="M252" s="45"/>
      <c r="N252" s="45">
        <f>countif(Constants!F:F,F252)</f>
        <v>1</v>
      </c>
      <c r="O252" s="21" t="str">
        <f>VLOOKUP($A252,Constants!$D:$D,1,false)</f>
        <v>neutron to shielded proton mag. mom. ratio</v>
      </c>
    </row>
    <row r="253">
      <c r="A253" s="6" t="s">
        <v>1737</v>
      </c>
      <c r="B253" s="6" t="s">
        <v>3081</v>
      </c>
      <c r="C253" s="6" t="s">
        <v>2603</v>
      </c>
      <c r="D253" s="6" t="s">
        <v>1738</v>
      </c>
      <c r="E253" s="42">
        <f>countif(Constants!F:F,F253)</f>
        <v>1</v>
      </c>
      <c r="F253" s="21" t="str">
        <f>VLOOKUP($A253,Constants!$D:$F,3,false)</f>
        <v>NewtonianConstantOfGravitation</v>
      </c>
      <c r="G253" s="43" t="str">
        <f t="shared" si="1"/>
        <v>6.67430e-11</v>
      </c>
      <c r="H253" s="43">
        <f t="shared" si="2"/>
        <v>0</v>
      </c>
      <c r="I253" s="43" t="str">
        <f t="shared" si="3"/>
        <v>0.00015e-11</v>
      </c>
      <c r="J253" s="44">
        <f t="shared" si="4"/>
        <v>0</v>
      </c>
      <c r="K253" s="43" t="b">
        <f t="shared" si="5"/>
        <v>0</v>
      </c>
      <c r="L253" s="21" t="str">
        <f>IFERROR(__xludf.DUMMYFUNCTION("if(regexmatch(B253,""e(.*)$""),regexextract(B253,""e(.*)$""),"""")"),"-11")</f>
        <v>-11</v>
      </c>
      <c r="M253" s="45"/>
      <c r="N253" s="45">
        <f>countif(Constants!F:F,F253)</f>
        <v>1</v>
      </c>
      <c r="O253" s="21" t="str">
        <f>VLOOKUP($A253,Constants!$D:$D,1,false)</f>
        <v>Newtonian constant of gravitation</v>
      </c>
    </row>
    <row r="254">
      <c r="A254" s="6" t="s">
        <v>1744</v>
      </c>
      <c r="B254" s="6" t="s">
        <v>3082</v>
      </c>
      <c r="C254" s="6" t="s">
        <v>2605</v>
      </c>
      <c r="D254" s="6" t="s">
        <v>1745</v>
      </c>
      <c r="E254" s="42">
        <f>countif(Constants!F:F,F254)</f>
        <v>1</v>
      </c>
      <c r="F254" s="21" t="str">
        <f>VLOOKUP($A254,Constants!$D:$F,3,false)</f>
        <v>NewtonianConstantOfGravitationOverHBarC</v>
      </c>
      <c r="G254" s="43" t="str">
        <f t="shared" si="1"/>
        <v>6.70883e-39</v>
      </c>
      <c r="H254" s="43">
        <f t="shared" si="2"/>
        <v>0</v>
      </c>
      <c r="I254" s="43" t="str">
        <f t="shared" si="3"/>
        <v>0.00015e-39</v>
      </c>
      <c r="J254" s="44">
        <f t="shared" si="4"/>
        <v>0</v>
      </c>
      <c r="K254" s="43" t="b">
        <f t="shared" si="5"/>
        <v>0</v>
      </c>
      <c r="L254" s="21" t="str">
        <f>IFERROR(__xludf.DUMMYFUNCTION("if(regexmatch(B254,""e(.*)$""),regexextract(B254,""e(.*)$""),"""")"),"-39")</f>
        <v>-39</v>
      </c>
      <c r="M254" s="45"/>
      <c r="N254" s="45">
        <f>countif(Constants!F:F,F254)</f>
        <v>1</v>
      </c>
      <c r="O254" s="21" t="str">
        <f>VLOOKUP($A254,Constants!$D:$D,1,false)</f>
        <v>Newtonian constant of gravitation over h-bar c</v>
      </c>
    </row>
    <row r="255">
      <c r="A255" s="6" t="s">
        <v>1750</v>
      </c>
      <c r="B255" s="6" t="s">
        <v>3083</v>
      </c>
      <c r="C255" s="6" t="s">
        <v>2950</v>
      </c>
      <c r="D255" s="6" t="s">
        <v>714</v>
      </c>
      <c r="E255" s="42">
        <f>countif(Constants!F:F,F255)</f>
        <v>1</v>
      </c>
      <c r="F255" s="21" t="str">
        <f>VLOOKUP($A255,Constants!$D:$F,3,false)</f>
        <v>NuclearMagneton</v>
      </c>
      <c r="G255" s="43" t="str">
        <f t="shared" si="1"/>
        <v>5.0507837461e-27</v>
      </c>
      <c r="H255" s="43">
        <f t="shared" si="2"/>
        <v>0</v>
      </c>
      <c r="I255" s="43" t="str">
        <f t="shared" si="3"/>
        <v>0.0000000015e-27</v>
      </c>
      <c r="J255" s="44">
        <f t="shared" si="4"/>
        <v>0</v>
      </c>
      <c r="K255" s="43" t="b">
        <f t="shared" si="5"/>
        <v>0</v>
      </c>
      <c r="L255" s="21" t="str">
        <f>IFERROR(__xludf.DUMMYFUNCTION("if(regexmatch(B255,""e(.*)$""),regexextract(B255,""e(.*)$""),"""")"),"-27")</f>
        <v>-27</v>
      </c>
      <c r="M255" s="45"/>
      <c r="N255" s="45">
        <f>countif(Constants!F:F,F255)</f>
        <v>1</v>
      </c>
      <c r="O255" s="21" t="str">
        <f>VLOOKUP($A255,Constants!$D:$D,1,false)</f>
        <v>nuclear magneton</v>
      </c>
    </row>
    <row r="256">
      <c r="A256" s="6" t="s">
        <v>1754</v>
      </c>
      <c r="B256" s="6" t="s">
        <v>3084</v>
      </c>
      <c r="C256" s="6" t="s">
        <v>3085</v>
      </c>
      <c r="D256" s="6" t="s">
        <v>769</v>
      </c>
      <c r="E256" s="42">
        <f>countif(Constants!F:F,F256)</f>
        <v>1</v>
      </c>
      <c r="F256" s="21" t="str">
        <f>VLOOKUP($A256,Constants!$D:$F,3,false)</f>
        <v>NuclearMagnetonInEVPerT</v>
      </c>
      <c r="G256" s="43" t="str">
        <f t="shared" si="1"/>
        <v>3.15245125844e-8</v>
      </c>
      <c r="H256" s="43">
        <f t="shared" si="2"/>
        <v>0.00000003152451258</v>
      </c>
      <c r="I256" s="43" t="str">
        <f t="shared" si="3"/>
        <v>0.00000000096e-8</v>
      </c>
      <c r="J256" s="44">
        <f t="shared" si="4"/>
        <v>0</v>
      </c>
      <c r="K256" s="43" t="b">
        <f t="shared" si="5"/>
        <v>0</v>
      </c>
      <c r="L256" s="21" t="str">
        <f>IFERROR(__xludf.DUMMYFUNCTION("if(regexmatch(B256,""e(.*)$""),regexextract(B256,""e(.*)$""),"""")"),"-8")</f>
        <v>-8</v>
      </c>
      <c r="M256" s="45"/>
      <c r="N256" s="45">
        <f>countif(Constants!F:F,F256)</f>
        <v>1</v>
      </c>
      <c r="O256" s="21" t="str">
        <f>VLOOKUP($A256,Constants!$D:$D,1,false)</f>
        <v>nuclear magneton in eV/T</v>
      </c>
    </row>
    <row r="257">
      <c r="A257" s="6" t="s">
        <v>1757</v>
      </c>
      <c r="B257" s="6" t="s">
        <v>3086</v>
      </c>
      <c r="C257" s="6" t="s">
        <v>3087</v>
      </c>
      <c r="D257" s="6" t="s">
        <v>779</v>
      </c>
      <c r="E257" s="42">
        <f>countif(Constants!F:F,F257)</f>
        <v>1</v>
      </c>
      <c r="F257" s="21" t="str">
        <f>VLOOKUP($A257,Constants!$D:$F,3,false)</f>
        <v>NuclearMagnetonInInverseMetersPerTesla</v>
      </c>
      <c r="G257" s="43" t="str">
        <f t="shared" si="1"/>
        <v>2.54262341353e-2</v>
      </c>
      <c r="H257" s="43">
        <f t="shared" si="2"/>
        <v>0.02542623414</v>
      </c>
      <c r="I257" s="43" t="str">
        <f t="shared" si="3"/>
        <v>0.00000000078e-2</v>
      </c>
      <c r="J257" s="44">
        <f t="shared" si="4"/>
        <v>0</v>
      </c>
      <c r="K257" s="43" t="b">
        <f t="shared" si="5"/>
        <v>0</v>
      </c>
      <c r="L257" s="21" t="str">
        <f>IFERROR(__xludf.DUMMYFUNCTION("if(regexmatch(B257,""e(.*)$""),regexextract(B257,""e(.*)$""),"""")"),"-2")</f>
        <v>-2</v>
      </c>
      <c r="M257" s="45"/>
      <c r="N257" s="45">
        <f>countif(Constants!F:F,F257)</f>
        <v>1</v>
      </c>
      <c r="O257" s="21" t="str">
        <f>VLOOKUP($A257,Constants!$D:$D,1,false)</f>
        <v>nuclear magneton in inverse meter per tesla</v>
      </c>
    </row>
    <row r="258">
      <c r="A258" s="6" t="s">
        <v>1760</v>
      </c>
      <c r="B258" s="6" t="s">
        <v>3088</v>
      </c>
      <c r="C258" s="6" t="s">
        <v>2612</v>
      </c>
      <c r="D258" s="6" t="s">
        <v>784</v>
      </c>
      <c r="E258" s="42">
        <f>countif(Constants!F:F,F258)</f>
        <v>1</v>
      </c>
      <c r="F258" s="21" t="str">
        <f>VLOOKUP($A258,Constants!$D:$F,3,false)</f>
        <v>NuclearMagnetonInKPerT</v>
      </c>
      <c r="G258" s="43" t="str">
        <f t="shared" si="1"/>
        <v>3.6582677756e-4</v>
      </c>
      <c r="H258" s="43">
        <f t="shared" si="2"/>
        <v>0.0003658267776</v>
      </c>
      <c r="I258" s="43" t="str">
        <f t="shared" si="3"/>
        <v>0.0000000011e-4</v>
      </c>
      <c r="J258" s="44">
        <f t="shared" si="4"/>
        <v>0</v>
      </c>
      <c r="K258" s="43" t="b">
        <f t="shared" si="5"/>
        <v>0</v>
      </c>
      <c r="L258" s="21" t="str">
        <f>IFERROR(__xludf.DUMMYFUNCTION("if(regexmatch(B258,""e(.*)$""),regexextract(B258,""e(.*)$""),"""")"),"-4")</f>
        <v>-4</v>
      </c>
      <c r="M258" s="45"/>
      <c r="N258" s="45">
        <f>countif(Constants!F:F,F258)</f>
        <v>1</v>
      </c>
      <c r="O258" s="21" t="str">
        <f>VLOOKUP($A258,Constants!$D:$D,1,false)</f>
        <v>nuclear magneton in K/T</v>
      </c>
    </row>
    <row r="259">
      <c r="A259" s="6" t="s">
        <v>1763</v>
      </c>
      <c r="B259" s="6" t="s">
        <v>3089</v>
      </c>
      <c r="C259" s="6" t="s">
        <v>3090</v>
      </c>
      <c r="D259" s="6" t="s">
        <v>969</v>
      </c>
      <c r="E259" s="42">
        <f>countif(Constants!F:F,F259)</f>
        <v>1</v>
      </c>
      <c r="F259" s="21" t="str">
        <f>VLOOKUP($A259,Constants!$D:$F,3,false)</f>
        <v>NuclearMagnetonInMHzPerT</v>
      </c>
      <c r="G259" s="43" t="str">
        <f t="shared" si="1"/>
        <v>7.6225932291</v>
      </c>
      <c r="H259" s="43">
        <f t="shared" si="2"/>
        <v>7.622593229</v>
      </c>
      <c r="I259" s="43" t="str">
        <f t="shared" si="3"/>
        <v>0.0000000023</v>
      </c>
      <c r="J259" s="44">
        <f t="shared" si="4"/>
        <v>0.0000000023</v>
      </c>
      <c r="K259" s="43" t="b">
        <f t="shared" si="5"/>
        <v>0</v>
      </c>
      <c r="L259" s="21" t="str">
        <f>IFERROR(__xludf.DUMMYFUNCTION("if(regexmatch(B259,""e(.*)$""),regexextract(B259,""e(.*)$""),"""")"),"")</f>
        <v/>
      </c>
      <c r="M259" s="45"/>
      <c r="N259" s="45">
        <f>countif(Constants!F:F,F259)</f>
        <v>1</v>
      </c>
      <c r="O259" s="21" t="str">
        <f>VLOOKUP($A259,Constants!$D:$D,1,false)</f>
        <v>nuclear magneton in MHz/T</v>
      </c>
    </row>
    <row r="260">
      <c r="A260" s="6" t="s">
        <v>1766</v>
      </c>
      <c r="B260" s="6" t="s">
        <v>2968</v>
      </c>
      <c r="C260" s="6" t="s">
        <v>2261</v>
      </c>
      <c r="D260" s="6" t="s">
        <v>1767</v>
      </c>
      <c r="E260" s="42">
        <f>countif(Constants!F:F,F260)</f>
        <v>1</v>
      </c>
      <c r="F260" s="21" t="str">
        <f>VLOOKUP($A260,Constants!$D:$F,3,false)</f>
        <v>PlanckConstant</v>
      </c>
      <c r="G260" s="43" t="str">
        <f t="shared" si="1"/>
        <v>6.62607015e-34</v>
      </c>
      <c r="H260" s="43">
        <f t="shared" si="2"/>
        <v>0</v>
      </c>
      <c r="I260" s="43" t="str">
        <f t="shared" si="3"/>
        <v>(exact)</v>
      </c>
      <c r="J260" s="44" t="str">
        <f t="shared" si="4"/>
        <v/>
      </c>
      <c r="K260" s="43" t="b">
        <f t="shared" si="5"/>
        <v>0</v>
      </c>
      <c r="L260" s="21" t="str">
        <f>IFERROR(__xludf.DUMMYFUNCTION("if(regexmatch(B260,""e(.*)$""),regexextract(B260,""e(.*)$""),"""")"),"-34")</f>
        <v>-34</v>
      </c>
      <c r="M260" s="45"/>
      <c r="N260" s="45">
        <f>countif(Constants!F:F,F260)</f>
        <v>1</v>
      </c>
      <c r="O260" s="21" t="str">
        <f>VLOOKUP($A260,Constants!$D:$D,1,false)</f>
        <v>Planck constant</v>
      </c>
    </row>
    <row r="261">
      <c r="A261" s="6" t="s">
        <v>1772</v>
      </c>
      <c r="B261" s="6" t="s">
        <v>2964</v>
      </c>
      <c r="C261" s="6" t="s">
        <v>2261</v>
      </c>
      <c r="D261" s="6" t="s">
        <v>1773</v>
      </c>
      <c r="E261" s="42">
        <f>countif(Constants!F:F,F261)</f>
        <v>1</v>
      </c>
      <c r="F261" s="21" t="str">
        <f>VLOOKUP($A261,Constants!$D:$F,3,false)</f>
        <v>PlanckConstantInEVS</v>
      </c>
      <c r="G261" s="43" t="str">
        <f t="shared" si="1"/>
        <v>4.135667696e-15</v>
      </c>
      <c r="H261" s="43">
        <f t="shared" si="2"/>
        <v>0</v>
      </c>
      <c r="I261" s="43" t="str">
        <f t="shared" si="3"/>
        <v>(exact)</v>
      </c>
      <c r="J261" s="44" t="str">
        <f t="shared" si="4"/>
        <v/>
      </c>
      <c r="K261" s="43" t="b">
        <f t="shared" si="5"/>
        <v>1</v>
      </c>
      <c r="L261" s="21" t="str">
        <f>IFERROR(__xludf.DUMMYFUNCTION("if(regexmatch(B261,""e(.*)$""),regexextract(B261,""e(.*)$""),"""")"),"-15")</f>
        <v>-15</v>
      </c>
      <c r="M261" s="45"/>
      <c r="N261" s="45">
        <f>countif(Constants!F:F,F261)</f>
        <v>1</v>
      </c>
      <c r="O261" s="21" t="str">
        <f>VLOOKUP($A261,Constants!$D:$D,1,false)</f>
        <v>Planck constant in eV/Hz</v>
      </c>
    </row>
    <row r="262">
      <c r="A262" s="6" t="s">
        <v>1777</v>
      </c>
      <c r="B262" s="6" t="s">
        <v>3091</v>
      </c>
      <c r="C262" s="6" t="s">
        <v>2616</v>
      </c>
      <c r="D262" s="6" t="s">
        <v>571</v>
      </c>
      <c r="E262" s="42">
        <f>countif(Constants!F:F,F262)</f>
        <v>1</v>
      </c>
      <c r="F262" s="21" t="str">
        <f>VLOOKUP($A262,Constants!$D:$F,3,false)</f>
        <v>PlanckLength</v>
      </c>
      <c r="G262" s="43" t="str">
        <f t="shared" si="1"/>
        <v>1.616255e-35</v>
      </c>
      <c r="H262" s="43">
        <f t="shared" si="2"/>
        <v>0</v>
      </c>
      <c r="I262" s="43" t="str">
        <f t="shared" si="3"/>
        <v>0.000018e-35</v>
      </c>
      <c r="J262" s="44">
        <f t="shared" si="4"/>
        <v>0</v>
      </c>
      <c r="K262" s="43" t="b">
        <f t="shared" si="5"/>
        <v>0</v>
      </c>
      <c r="L262" s="21" t="str">
        <f>IFERROR(__xludf.DUMMYFUNCTION("if(regexmatch(B262,""e(.*)$""),regexextract(B262,""e(.*)$""),"""")"),"-35")</f>
        <v>-35</v>
      </c>
      <c r="M262" s="45"/>
      <c r="N262" s="45">
        <f>countif(Constants!F:F,F262)</f>
        <v>1</v>
      </c>
      <c r="O262" s="21" t="str">
        <f>VLOOKUP($A262,Constants!$D:$D,1,false)</f>
        <v>Planck length</v>
      </c>
    </row>
    <row r="263">
      <c r="A263" s="6" t="s">
        <v>1781</v>
      </c>
      <c r="B263" s="6" t="s">
        <v>3092</v>
      </c>
      <c r="C263" s="6" t="s">
        <v>2618</v>
      </c>
      <c r="D263" s="6" t="s">
        <v>538</v>
      </c>
      <c r="E263" s="42">
        <f>countif(Constants!F:F,F263)</f>
        <v>1</v>
      </c>
      <c r="F263" s="21" t="str">
        <f>VLOOKUP($A263,Constants!$D:$F,3,false)</f>
        <v>PlanckMass</v>
      </c>
      <c r="G263" s="43" t="str">
        <f t="shared" si="1"/>
        <v>2.176434e-8</v>
      </c>
      <c r="H263" s="43">
        <f t="shared" si="2"/>
        <v>0.00000002176434</v>
      </c>
      <c r="I263" s="43" t="str">
        <f t="shared" si="3"/>
        <v>0.000024e-8</v>
      </c>
      <c r="J263" s="44">
        <f t="shared" si="4"/>
        <v>0</v>
      </c>
      <c r="K263" s="43" t="b">
        <f t="shared" si="5"/>
        <v>0</v>
      </c>
      <c r="L263" s="21" t="str">
        <f>IFERROR(__xludf.DUMMYFUNCTION("if(regexmatch(B263,""e(.*)$""),regexextract(B263,""e(.*)$""),"""")"),"-8")</f>
        <v>-8</v>
      </c>
      <c r="M263" s="45"/>
      <c r="N263" s="45">
        <f>countif(Constants!F:F,F263)</f>
        <v>1</v>
      </c>
      <c r="O263" s="21" t="str">
        <f>VLOOKUP($A263,Constants!$D:$D,1,false)</f>
        <v>Planck mass</v>
      </c>
    </row>
    <row r="264">
      <c r="A264" s="6" t="s">
        <v>1785</v>
      </c>
      <c r="B264" s="6" t="s">
        <v>3093</v>
      </c>
      <c r="C264" s="6" t="s">
        <v>2620</v>
      </c>
      <c r="D264" s="6" t="s">
        <v>1786</v>
      </c>
      <c r="E264" s="42">
        <f>countif(Constants!F:F,F264)</f>
        <v>1</v>
      </c>
      <c r="F264" s="21" t="str">
        <f>VLOOKUP($A264,Constants!$D:$F,3,false)</f>
        <v>PlanckMassEnergyEquivalentInGeV</v>
      </c>
      <c r="G264" s="43" t="str">
        <f t="shared" si="1"/>
        <v>1.220890e19</v>
      </c>
      <c r="H264" s="43">
        <f t="shared" si="2"/>
        <v>1.22089E+19</v>
      </c>
      <c r="I264" s="43" t="str">
        <f t="shared" si="3"/>
        <v>0.000014e19</v>
      </c>
      <c r="J264" s="44">
        <f t="shared" si="4"/>
        <v>140000000000000</v>
      </c>
      <c r="K264" s="43" t="b">
        <f t="shared" si="5"/>
        <v>0</v>
      </c>
      <c r="L264" s="21" t="str">
        <f>IFERROR(__xludf.DUMMYFUNCTION("if(regexmatch(B264,""e(.*)$""),regexextract(B264,""e(.*)$""),"""")"),"19")</f>
        <v>19</v>
      </c>
      <c r="M264" s="45"/>
      <c r="N264" s="45">
        <f>countif(Constants!F:F,F264)</f>
        <v>1</v>
      </c>
      <c r="O264" s="21" t="str">
        <f>VLOOKUP($A264,Constants!$D:$D,1,false)</f>
        <v>Planck mass energy equivalent in GeV</v>
      </c>
    </row>
    <row r="265">
      <c r="A265" s="6" t="s">
        <v>1790</v>
      </c>
      <c r="B265" s="6" t="s">
        <v>3094</v>
      </c>
      <c r="C265" s="6" t="s">
        <v>2622</v>
      </c>
      <c r="D265" s="6" t="s">
        <v>618</v>
      </c>
      <c r="E265" s="42">
        <f>countif(Constants!F:F,F265)</f>
        <v>1</v>
      </c>
      <c r="F265" s="21" t="str">
        <f>VLOOKUP($A265,Constants!$D:$F,3,false)</f>
        <v>PlanckTemperature</v>
      </c>
      <c r="G265" s="43" t="str">
        <f t="shared" si="1"/>
        <v>1.416784e32</v>
      </c>
      <c r="H265" s="43">
        <f t="shared" si="2"/>
        <v>1.41678E+32</v>
      </c>
      <c r="I265" s="43" t="str">
        <f t="shared" si="3"/>
        <v>0.000016e32</v>
      </c>
      <c r="J265" s="44">
        <f t="shared" si="4"/>
        <v>1.6E+27</v>
      </c>
      <c r="K265" s="43" t="b">
        <f t="shared" si="5"/>
        <v>0</v>
      </c>
      <c r="L265" s="21" t="str">
        <f>IFERROR(__xludf.DUMMYFUNCTION("if(regexmatch(B265,""e(.*)$""),regexextract(B265,""e(.*)$""),"""")"),"32")</f>
        <v>32</v>
      </c>
      <c r="M265" s="45"/>
      <c r="N265" s="45">
        <f>countif(Constants!F:F,F265)</f>
        <v>1</v>
      </c>
      <c r="O265" s="21" t="str">
        <f>VLOOKUP($A265,Constants!$D:$D,1,false)</f>
        <v>Planck temperature</v>
      </c>
    </row>
    <row r="266">
      <c r="A266" s="6" t="s">
        <v>1795</v>
      </c>
      <c r="B266" s="6" t="s">
        <v>3095</v>
      </c>
      <c r="C266" s="6" t="s">
        <v>2624</v>
      </c>
      <c r="D266" s="6" t="s">
        <v>749</v>
      </c>
      <c r="E266" s="42">
        <f>countif(Constants!F:F,F266)</f>
        <v>1</v>
      </c>
      <c r="F266" s="21" t="str">
        <f>VLOOKUP($A266,Constants!$D:$F,3,false)</f>
        <v>PlanckTime</v>
      </c>
      <c r="G266" s="43" t="str">
        <f t="shared" si="1"/>
        <v>5.391247e-44</v>
      </c>
      <c r="H266" s="43">
        <f t="shared" si="2"/>
        <v>0</v>
      </c>
      <c r="I266" s="43" t="str">
        <f t="shared" si="3"/>
        <v>0.000060e-44</v>
      </c>
      <c r="J266" s="44">
        <f t="shared" si="4"/>
        <v>0</v>
      </c>
      <c r="K266" s="43" t="b">
        <f t="shared" si="5"/>
        <v>0</v>
      </c>
      <c r="L266" s="21" t="str">
        <f>IFERROR(__xludf.DUMMYFUNCTION("if(regexmatch(B266,""e(.*)$""),regexextract(B266,""e(.*)$""),"""")"),"-44")</f>
        <v>-44</v>
      </c>
      <c r="M266" s="45"/>
      <c r="N266" s="45">
        <f>countif(Constants!F:F,F266)</f>
        <v>1</v>
      </c>
      <c r="O266" s="21" t="str">
        <f>VLOOKUP($A266,Constants!$D:$D,1,false)</f>
        <v>Planck time</v>
      </c>
    </row>
    <row r="267">
      <c r="A267" s="6" t="s">
        <v>1799</v>
      </c>
      <c r="B267" s="6" t="s">
        <v>3096</v>
      </c>
      <c r="C267" s="6" t="s">
        <v>3097</v>
      </c>
      <c r="D267" s="6" t="s">
        <v>941</v>
      </c>
      <c r="E267" s="42">
        <f>countif(Constants!F:F,F267)</f>
        <v>1</v>
      </c>
      <c r="F267" s="21" t="str">
        <f>VLOOKUP($A267,Constants!$D:$F,3,false)</f>
        <v>ProtonChargeToMassQuotient</v>
      </c>
      <c r="G267" s="43" t="str">
        <f t="shared" si="1"/>
        <v>9.5788331560e7</v>
      </c>
      <c r="H267" s="43">
        <f t="shared" si="2"/>
        <v>95788331.56</v>
      </c>
      <c r="I267" s="43" t="str">
        <f t="shared" si="3"/>
        <v>0.0000000029e7</v>
      </c>
      <c r="J267" s="44">
        <f t="shared" si="4"/>
        <v>0.029</v>
      </c>
      <c r="K267" s="43" t="b">
        <f t="shared" si="5"/>
        <v>0</v>
      </c>
      <c r="L267" s="21" t="str">
        <f>IFERROR(__xludf.DUMMYFUNCTION("if(regexmatch(B267,""e(.*)$""),regexextract(B267,""e(.*)$""),"""")"),"7")</f>
        <v>7</v>
      </c>
      <c r="M267" s="45"/>
      <c r="N267" s="45">
        <f>countif(Constants!F:F,F267)</f>
        <v>1</v>
      </c>
      <c r="O267" s="21" t="str">
        <f>VLOOKUP($A267,Constants!$D:$D,1,false)</f>
        <v>proton charge to mass quotient</v>
      </c>
    </row>
    <row r="268">
      <c r="A268" s="6" t="s">
        <v>1803</v>
      </c>
      <c r="B268" s="6" t="s">
        <v>3098</v>
      </c>
      <c r="C268" s="6" t="s">
        <v>2974</v>
      </c>
      <c r="D268" s="6" t="s">
        <v>571</v>
      </c>
      <c r="E268" s="42">
        <f>countif(Constants!F:F,F268)</f>
        <v>1</v>
      </c>
      <c r="F268" s="21" t="str">
        <f>VLOOKUP($A268,Constants!$D:$F,3,false)</f>
        <v>ProtonComptonWavelength</v>
      </c>
      <c r="G268" s="43" t="str">
        <f t="shared" si="1"/>
        <v>1.32140985539e-15</v>
      </c>
      <c r="H268" s="43">
        <f t="shared" si="2"/>
        <v>0</v>
      </c>
      <c r="I268" s="43" t="str">
        <f t="shared" si="3"/>
        <v>0.00000000040e-15</v>
      </c>
      <c r="J268" s="44">
        <f t="shared" si="4"/>
        <v>0</v>
      </c>
      <c r="K268" s="43" t="b">
        <f t="shared" si="5"/>
        <v>0</v>
      </c>
      <c r="L268" s="21" t="str">
        <f>IFERROR(__xludf.DUMMYFUNCTION("if(regexmatch(B268,""e(.*)$""),regexextract(B268,""e(.*)$""),"""")"),"-15")</f>
        <v>-15</v>
      </c>
      <c r="M268" s="45"/>
      <c r="N268" s="45">
        <f>countif(Constants!F:F,F268)</f>
        <v>1</v>
      </c>
      <c r="O268" s="21" t="str">
        <f>VLOOKUP($A268,Constants!$D:$D,1,false)</f>
        <v>proton Compton wavelength</v>
      </c>
    </row>
    <row r="269">
      <c r="A269" s="6" t="s">
        <v>1807</v>
      </c>
      <c r="B269" s="6" t="s">
        <v>3099</v>
      </c>
      <c r="C269" s="6" t="s">
        <v>2352</v>
      </c>
      <c r="E269" s="42">
        <f>countif(Constants!F:F,F269)</f>
        <v>1</v>
      </c>
      <c r="F269" s="21" t="str">
        <f>VLOOKUP($A269,Constants!$D:$F,3,false)</f>
        <v>ProtonElectronMassRatio</v>
      </c>
      <c r="G269" s="43" t="str">
        <f t="shared" si="1"/>
        <v>1836.15267343</v>
      </c>
      <c r="H269" s="43">
        <f t="shared" si="2"/>
        <v>1836.152673</v>
      </c>
      <c r="I269" s="43" t="str">
        <f t="shared" si="3"/>
        <v>0.00000011</v>
      </c>
      <c r="J269" s="44">
        <f t="shared" si="4"/>
        <v>0.00000011</v>
      </c>
      <c r="K269" s="43" t="b">
        <f t="shared" si="5"/>
        <v>0</v>
      </c>
      <c r="L269" s="21" t="str">
        <f>IFERROR(__xludf.DUMMYFUNCTION("if(regexmatch(B269,""e(.*)$""),regexextract(B269,""e(.*)$""),"""")"),"")</f>
        <v/>
      </c>
      <c r="M269" s="45"/>
      <c r="N269" s="45">
        <f>countif(Constants!F:F,F269)</f>
        <v>1</v>
      </c>
      <c r="O269" s="21" t="str">
        <f>VLOOKUP($A269,Constants!$D:$D,1,false)</f>
        <v>proton-electron mass ratio</v>
      </c>
    </row>
    <row r="270">
      <c r="A270" s="6" t="s">
        <v>1811</v>
      </c>
      <c r="B270" s="6" t="s">
        <v>3100</v>
      </c>
      <c r="C270" s="6" t="s">
        <v>2630</v>
      </c>
      <c r="E270" s="42">
        <f>countif(Constants!F:F,F270)</f>
        <v>1</v>
      </c>
      <c r="F270" s="21" t="str">
        <f>VLOOKUP($A270,Constants!$D:$F,3,false)</f>
        <v>ProtonGFactor</v>
      </c>
      <c r="G270" s="43" t="str">
        <f t="shared" si="1"/>
        <v>5.5856946893</v>
      </c>
      <c r="H270" s="43">
        <f t="shared" si="2"/>
        <v>5.585694689</v>
      </c>
      <c r="I270" s="43" t="str">
        <f t="shared" si="3"/>
        <v>0.0000000016</v>
      </c>
      <c r="J270" s="44">
        <f t="shared" si="4"/>
        <v>0.0000000016</v>
      </c>
      <c r="K270" s="43" t="b">
        <f t="shared" si="5"/>
        <v>0</v>
      </c>
      <c r="L270" s="21" t="str">
        <f>IFERROR(__xludf.DUMMYFUNCTION("if(regexmatch(B270,""e(.*)$""),regexextract(B270,""e(.*)$""),"""")"),"")</f>
        <v/>
      </c>
      <c r="M270" s="45"/>
      <c r="N270" s="45">
        <f>countif(Constants!F:F,F270)</f>
        <v>1</v>
      </c>
      <c r="O270" s="21" t="str">
        <f>VLOOKUP($A270,Constants!$D:$D,1,false)</f>
        <v>proton g factor</v>
      </c>
    </row>
    <row r="271">
      <c r="A271" s="6" t="s">
        <v>1815</v>
      </c>
      <c r="B271" s="6" t="s">
        <v>3101</v>
      </c>
      <c r="C271" s="6" t="s">
        <v>2632</v>
      </c>
      <c r="D271" s="6" t="s">
        <v>961</v>
      </c>
      <c r="E271" s="42">
        <f>countif(Constants!F:F,F271)</f>
        <v>1</v>
      </c>
      <c r="F271" s="21" t="str">
        <f>VLOOKUP($A271,Constants!$D:$F,3,false)</f>
        <v>ProtonGyromagneticRatio</v>
      </c>
      <c r="G271" s="43" t="str">
        <f t="shared" si="1"/>
        <v>2.6752218744e8</v>
      </c>
      <c r="H271" s="43">
        <f t="shared" si="2"/>
        <v>267522187.4</v>
      </c>
      <c r="I271" s="43" t="str">
        <f t="shared" si="3"/>
        <v>0.0000000011e8</v>
      </c>
      <c r="J271" s="44">
        <f t="shared" si="4"/>
        <v>0.11</v>
      </c>
      <c r="K271" s="43" t="b">
        <f t="shared" si="5"/>
        <v>0</v>
      </c>
      <c r="L271" s="21" t="str">
        <f>IFERROR(__xludf.DUMMYFUNCTION("if(regexmatch(B271,""e(.*)$""),regexextract(B271,""e(.*)$""),"""")"),"8")</f>
        <v>8</v>
      </c>
      <c r="M271" s="45"/>
      <c r="N271" s="45">
        <f>countif(Constants!F:F,F271)</f>
        <v>1</v>
      </c>
      <c r="O271" s="21" t="str">
        <f>VLOOKUP($A271,Constants!$D:$D,1,false)</f>
        <v>proton gyromag. ratio</v>
      </c>
    </row>
    <row r="272">
      <c r="A272" s="6" t="s">
        <v>2633</v>
      </c>
      <c r="B272" s="6" t="s">
        <v>3102</v>
      </c>
      <c r="C272" s="6" t="s">
        <v>2635</v>
      </c>
      <c r="D272" s="6" t="s">
        <v>969</v>
      </c>
      <c r="E272" s="42">
        <f>countif(Constants!F:F,F272)</f>
        <v>1</v>
      </c>
      <c r="F272" s="47" t="s">
        <v>2636</v>
      </c>
      <c r="G272" s="43" t="str">
        <f t="shared" si="1"/>
        <v>42.577478518</v>
      </c>
      <c r="H272" s="43">
        <f t="shared" si="2"/>
        <v>42.57747852</v>
      </c>
      <c r="I272" s="43" t="str">
        <f t="shared" si="3"/>
        <v>0.000000018</v>
      </c>
      <c r="J272" s="44">
        <f t="shared" si="4"/>
        <v>0.000000018</v>
      </c>
      <c r="K272" s="43" t="b">
        <f t="shared" si="5"/>
        <v>0</v>
      </c>
      <c r="L272" s="21" t="str">
        <f>IFERROR(__xludf.DUMMYFUNCTION("if(regexmatch(B272,""e(.*)$""),regexextract(B272,""e(.*)$""),"""")"),"")</f>
        <v/>
      </c>
      <c r="M272" s="45"/>
      <c r="N272" s="45">
        <f>countif(Constants!F:F,F272)</f>
        <v>1</v>
      </c>
      <c r="O272" s="21" t="str">
        <f>VLOOKUP($A272,Constants!$D:$D,1,false)</f>
        <v>#N/A</v>
      </c>
    </row>
    <row r="273">
      <c r="A273" s="6" t="s">
        <v>1824</v>
      </c>
      <c r="B273" s="6" t="s">
        <v>3103</v>
      </c>
      <c r="C273" s="6" t="s">
        <v>2638</v>
      </c>
      <c r="D273" s="6" t="s">
        <v>714</v>
      </c>
      <c r="E273" s="42">
        <f>countif(Constants!F:F,F273)</f>
        <v>1</v>
      </c>
      <c r="F273" s="21" t="str">
        <f>VLOOKUP($A273,Constants!$D:$F,3,false)</f>
        <v>ProtonMagneticMoment</v>
      </c>
      <c r="G273" s="43" t="str">
        <f t="shared" si="1"/>
        <v>1.41060679736e-26</v>
      </c>
      <c r="H273" s="43">
        <f t="shared" si="2"/>
        <v>0</v>
      </c>
      <c r="I273" s="43" t="str">
        <f t="shared" si="3"/>
        <v>0.00000000060e-26</v>
      </c>
      <c r="J273" s="44">
        <f t="shared" si="4"/>
        <v>0</v>
      </c>
      <c r="K273" s="43" t="b">
        <f t="shared" si="5"/>
        <v>0</v>
      </c>
      <c r="L273" s="21" t="str">
        <f>IFERROR(__xludf.DUMMYFUNCTION("if(regexmatch(B273,""e(.*)$""),regexextract(B273,""e(.*)$""),"""")"),"-26")</f>
        <v>-26</v>
      </c>
      <c r="M273" s="45"/>
      <c r="N273" s="45">
        <f>countif(Constants!F:F,F273)</f>
        <v>1</v>
      </c>
      <c r="O273" s="21" t="str">
        <f>VLOOKUP($A273,Constants!$D:$D,1,false)</f>
        <v>proton mag. mom.</v>
      </c>
    </row>
    <row r="274">
      <c r="A274" s="6" t="s">
        <v>1829</v>
      </c>
      <c r="B274" s="6" t="s">
        <v>3104</v>
      </c>
      <c r="C274" s="6" t="s">
        <v>3105</v>
      </c>
      <c r="E274" s="42">
        <f>countif(Constants!F:F,F274)</f>
        <v>1</v>
      </c>
      <c r="F274" s="21" t="str">
        <f>VLOOKUP($A274,Constants!$D:$F,3,false)</f>
        <v>ProtonMagneticMomentToBohrMagnetonRatio</v>
      </c>
      <c r="G274" s="43" t="str">
        <f t="shared" si="1"/>
        <v>1.52103220230e-3</v>
      </c>
      <c r="H274" s="43">
        <f t="shared" si="2"/>
        <v>0.001521032202</v>
      </c>
      <c r="I274" s="43" t="str">
        <f t="shared" si="3"/>
        <v>0.00000000046e-3</v>
      </c>
      <c r="J274" s="44">
        <f t="shared" si="4"/>
        <v>0</v>
      </c>
      <c r="K274" s="43" t="b">
        <f t="shared" si="5"/>
        <v>0</v>
      </c>
      <c r="L274" s="21" t="str">
        <f>IFERROR(__xludf.DUMMYFUNCTION("if(regexmatch(B274,""e(.*)$""),regexextract(B274,""e(.*)$""),"""")"),"-3")</f>
        <v>-3</v>
      </c>
      <c r="M274" s="45"/>
      <c r="N274" s="45">
        <f>countif(Constants!F:F,F274)</f>
        <v>1</v>
      </c>
      <c r="O274" s="21" t="str">
        <f>VLOOKUP($A274,Constants!$D:$D,1,false)</f>
        <v>proton mag. mom. to Bohr magneton ratio</v>
      </c>
    </row>
    <row r="275">
      <c r="A275" s="6" t="s">
        <v>1834</v>
      </c>
      <c r="B275" s="6" t="s">
        <v>3106</v>
      </c>
      <c r="C275" s="6" t="s">
        <v>2527</v>
      </c>
      <c r="E275" s="42">
        <f>countif(Constants!F:F,F275)</f>
        <v>1</v>
      </c>
      <c r="F275" s="21" t="str">
        <f>VLOOKUP($A275,Constants!$D:$F,3,false)</f>
        <v>ProtonMagneticMomentToNuclearMagnetonRatio</v>
      </c>
      <c r="G275" s="43" t="str">
        <f t="shared" si="1"/>
        <v>2.79284734463</v>
      </c>
      <c r="H275" s="43">
        <f t="shared" si="2"/>
        <v>2.792847345</v>
      </c>
      <c r="I275" s="43" t="str">
        <f t="shared" si="3"/>
        <v>0.00000000082</v>
      </c>
      <c r="J275" s="44">
        <f t="shared" si="4"/>
        <v>0.00000000082</v>
      </c>
      <c r="K275" s="43" t="b">
        <f t="shared" si="5"/>
        <v>0</v>
      </c>
      <c r="L275" s="21" t="str">
        <f>IFERROR(__xludf.DUMMYFUNCTION("if(regexmatch(B275,""e(.*)$""),regexextract(B275,""e(.*)$""),"""")"),"")</f>
        <v/>
      </c>
      <c r="M275" s="45"/>
      <c r="N275" s="45">
        <f>countif(Constants!F:F,F275)</f>
        <v>1</v>
      </c>
      <c r="O275" s="21" t="str">
        <f>VLOOKUP($A275,Constants!$D:$D,1,false)</f>
        <v>proton mag. mom. to nuclear magneton ratio</v>
      </c>
    </row>
    <row r="276">
      <c r="A276" s="6" t="s">
        <v>1839</v>
      </c>
      <c r="B276" s="46" t="s">
        <v>3107</v>
      </c>
      <c r="C276" s="46" t="s">
        <v>3108</v>
      </c>
      <c r="E276" s="42">
        <f>countif(Constants!F:F,F276)</f>
        <v>1</v>
      </c>
      <c r="F276" s="21" t="str">
        <f>VLOOKUP($A276,Constants!$D:$F,3,false)</f>
        <v>ProtonMagneticShieldingCorrection</v>
      </c>
      <c r="G276" s="43" t="str">
        <f t="shared" si="1"/>
        <v>2.5689e-5</v>
      </c>
      <c r="H276" s="43">
        <f t="shared" si="2"/>
        <v>0.000025689</v>
      </c>
      <c r="I276" s="43" t="str">
        <f t="shared" si="3"/>
        <v>0.0011e-5</v>
      </c>
      <c r="J276" s="44">
        <f t="shared" si="4"/>
        <v>0.000000011</v>
      </c>
      <c r="K276" s="43" t="b">
        <f t="shared" si="5"/>
        <v>0</v>
      </c>
      <c r="L276" s="21" t="str">
        <f>IFERROR(__xludf.DUMMYFUNCTION("if(regexmatch(B276,""e(.*)$""),regexextract(B276,""e(.*)$""),"""")"),"-5")</f>
        <v>-5</v>
      </c>
      <c r="M276" s="45"/>
      <c r="N276" s="45">
        <f>countif(Constants!F:F,F276)</f>
        <v>1</v>
      </c>
      <c r="O276" s="21" t="str">
        <f>VLOOKUP($A276,Constants!$D:$D,1,false)</f>
        <v>proton mag. shielding correction</v>
      </c>
    </row>
    <row r="277">
      <c r="A277" s="6" t="s">
        <v>1843</v>
      </c>
      <c r="B277" s="6" t="s">
        <v>3109</v>
      </c>
      <c r="C277" s="6" t="s">
        <v>3110</v>
      </c>
      <c r="D277" s="6" t="s">
        <v>538</v>
      </c>
      <c r="E277" s="42">
        <f>countif(Constants!F:F,F277)</f>
        <v>1</v>
      </c>
      <c r="F277" s="21" t="str">
        <f>VLOOKUP($A277,Constants!$D:$F,3,false)</f>
        <v>ProtonMass</v>
      </c>
      <c r="G277" s="43" t="str">
        <f t="shared" si="1"/>
        <v>1.67262192369e-27</v>
      </c>
      <c r="H277" s="43">
        <f t="shared" si="2"/>
        <v>0</v>
      </c>
      <c r="I277" s="43" t="str">
        <f t="shared" si="3"/>
        <v>0.00000000051e-27</v>
      </c>
      <c r="J277" s="44">
        <f t="shared" si="4"/>
        <v>0</v>
      </c>
      <c r="K277" s="43" t="b">
        <f t="shared" si="5"/>
        <v>0</v>
      </c>
      <c r="L277" s="21" t="str">
        <f>IFERROR(__xludf.DUMMYFUNCTION("if(regexmatch(B277,""e(.*)$""),regexextract(B277,""e(.*)$""),"""")"),"-27")</f>
        <v>-27</v>
      </c>
      <c r="M277" s="45"/>
      <c r="N277" s="45">
        <f>countif(Constants!F:F,F277)</f>
        <v>1</v>
      </c>
      <c r="O277" s="21" t="str">
        <f>VLOOKUP($A277,Constants!$D:$D,1,false)</f>
        <v>proton mass</v>
      </c>
    </row>
    <row r="278">
      <c r="A278" s="6" t="s">
        <v>1848</v>
      </c>
      <c r="B278" s="6" t="s">
        <v>3111</v>
      </c>
      <c r="C278" s="6" t="s">
        <v>2243</v>
      </c>
      <c r="D278" s="6" t="s">
        <v>543</v>
      </c>
      <c r="E278" s="42">
        <f>countif(Constants!F:F,F278)</f>
        <v>1</v>
      </c>
      <c r="F278" s="21" t="str">
        <f>VLOOKUP($A278,Constants!$D:$F,3,false)</f>
        <v>ProtonMassEnergyEquivalent</v>
      </c>
      <c r="G278" s="43" t="str">
        <f t="shared" si="1"/>
        <v>1.50327761598e-10</v>
      </c>
      <c r="H278" s="43">
        <f t="shared" si="2"/>
        <v>0.0000000001503277616</v>
      </c>
      <c r="I278" s="43" t="str">
        <f t="shared" si="3"/>
        <v>0.00000000046e-10</v>
      </c>
      <c r="J278" s="44">
        <f t="shared" si="4"/>
        <v>0</v>
      </c>
      <c r="K278" s="43" t="b">
        <f t="shared" si="5"/>
        <v>0</v>
      </c>
      <c r="L278" s="21" t="str">
        <f>IFERROR(__xludf.DUMMYFUNCTION("if(regexmatch(B278,""e(.*)$""),regexextract(B278,""e(.*)$""),"""")"),"-10")</f>
        <v>-10</v>
      </c>
      <c r="M278" s="45"/>
      <c r="N278" s="45">
        <f>countif(Constants!F:F,F278)</f>
        <v>1</v>
      </c>
      <c r="O278" s="21" t="str">
        <f>VLOOKUP($A278,Constants!$D:$D,1,false)</f>
        <v>proton mass energy equivalent</v>
      </c>
    </row>
    <row r="279">
      <c r="A279" s="6" t="s">
        <v>1852</v>
      </c>
      <c r="B279" s="6" t="s">
        <v>3112</v>
      </c>
      <c r="C279" s="6" t="s">
        <v>2245</v>
      </c>
      <c r="D279" s="6" t="s">
        <v>548</v>
      </c>
      <c r="E279" s="42">
        <f>countif(Constants!F:F,F279)</f>
        <v>1</v>
      </c>
      <c r="F279" s="21" t="str">
        <f>VLOOKUP($A279,Constants!$D:$F,3,false)</f>
        <v>ProtonMassEnergyEquivalentInMeV</v>
      </c>
      <c r="G279" s="43" t="str">
        <f t="shared" si="1"/>
        <v>938.27208816</v>
      </c>
      <c r="H279" s="43">
        <f t="shared" si="2"/>
        <v>938.2720882</v>
      </c>
      <c r="I279" s="43" t="str">
        <f t="shared" si="3"/>
        <v>0.00000029</v>
      </c>
      <c r="J279" s="44">
        <f t="shared" si="4"/>
        <v>0.00000029</v>
      </c>
      <c r="K279" s="43" t="b">
        <f t="shared" si="5"/>
        <v>0</v>
      </c>
      <c r="L279" s="21" t="str">
        <f>IFERROR(__xludf.DUMMYFUNCTION("if(regexmatch(B279,""e(.*)$""),regexextract(B279,""e(.*)$""),"""")"),"")</f>
        <v/>
      </c>
      <c r="M279" s="45"/>
      <c r="N279" s="45">
        <f>countif(Constants!F:F,F279)</f>
        <v>1</v>
      </c>
      <c r="O279" s="21" t="str">
        <f>VLOOKUP($A279,Constants!$D:$D,1,false)</f>
        <v>proton mass energy equivalent in MeV</v>
      </c>
    </row>
    <row r="280">
      <c r="A280" s="6" t="s">
        <v>1855</v>
      </c>
      <c r="B280" s="6" t="s">
        <v>3113</v>
      </c>
      <c r="C280" s="6" t="s">
        <v>2804</v>
      </c>
      <c r="D280" s="6" t="s">
        <v>553</v>
      </c>
      <c r="E280" s="42">
        <f>countif(Constants!F:F,F280)</f>
        <v>1</v>
      </c>
      <c r="F280" s="21" t="str">
        <f>VLOOKUP($A280,Constants!$D:$F,3,false)</f>
        <v>ProtonMassInAtomicMassUnit</v>
      </c>
      <c r="G280" s="43" t="str">
        <f t="shared" si="1"/>
        <v>1.007276466621</v>
      </c>
      <c r="H280" s="43">
        <f t="shared" si="2"/>
        <v>1.007276467</v>
      </c>
      <c r="I280" s="43" t="str">
        <f t="shared" si="3"/>
        <v>0.000000000053</v>
      </c>
      <c r="J280" s="44">
        <f t="shared" si="4"/>
        <v>0</v>
      </c>
      <c r="K280" s="43" t="b">
        <f t="shared" si="5"/>
        <v>0</v>
      </c>
      <c r="L280" s="21" t="str">
        <f>IFERROR(__xludf.DUMMYFUNCTION("if(regexmatch(B280,""e(.*)$""),regexextract(B280,""e(.*)$""),"""")"),"")</f>
        <v/>
      </c>
      <c r="M280" s="45"/>
      <c r="N280" s="45">
        <f>countif(Constants!F:F,F280)</f>
        <v>1</v>
      </c>
      <c r="O280" s="21" t="str">
        <f>VLOOKUP($A280,Constants!$D:$D,1,false)</f>
        <v>proton mass in u</v>
      </c>
    </row>
    <row r="281">
      <c r="A281" s="6" t="s">
        <v>1858</v>
      </c>
      <c r="B281" s="6" t="s">
        <v>3114</v>
      </c>
      <c r="C281" s="6" t="s">
        <v>2513</v>
      </c>
      <c r="D281" s="6" t="s">
        <v>557</v>
      </c>
      <c r="E281" s="42">
        <f>countif(Constants!F:F,F281)</f>
        <v>1</v>
      </c>
      <c r="F281" s="21" t="str">
        <f>VLOOKUP($A281,Constants!$D:$F,3,false)</f>
        <v>ProtonMolarMass</v>
      </c>
      <c r="G281" s="43" t="str">
        <f t="shared" si="1"/>
        <v>1.00727646627e-3</v>
      </c>
      <c r="H281" s="43">
        <f t="shared" si="2"/>
        <v>0.001007276466</v>
      </c>
      <c r="I281" s="43" t="str">
        <f t="shared" si="3"/>
        <v>0.00000000031e-3</v>
      </c>
      <c r="J281" s="44">
        <f t="shared" si="4"/>
        <v>0</v>
      </c>
      <c r="K281" s="43" t="b">
        <f t="shared" si="5"/>
        <v>0</v>
      </c>
      <c r="L281" s="21" t="str">
        <f>IFERROR(__xludf.DUMMYFUNCTION("if(regexmatch(B281,""e(.*)$""),regexextract(B281,""e(.*)$""),"""")"),"-3")</f>
        <v>-3</v>
      </c>
      <c r="M281" s="45"/>
      <c r="N281" s="45">
        <f>countif(Constants!F:F,F281)</f>
        <v>1</v>
      </c>
      <c r="O281" s="21" t="str">
        <f>VLOOKUP($A281,Constants!$D:$D,1,false)</f>
        <v>proton molar mass</v>
      </c>
    </row>
    <row r="282">
      <c r="A282" s="6" t="s">
        <v>1862</v>
      </c>
      <c r="B282" s="6" t="s">
        <v>3115</v>
      </c>
      <c r="C282" s="6" t="s">
        <v>2534</v>
      </c>
      <c r="E282" s="42">
        <f>countif(Constants!F:F,F282)</f>
        <v>1</v>
      </c>
      <c r="F282" s="21" t="str">
        <f>VLOOKUP($A282,Constants!$D:$F,3,false)</f>
        <v>ProtonMuonMassRatio</v>
      </c>
      <c r="G282" s="43" t="str">
        <f t="shared" si="1"/>
        <v>8.88024337</v>
      </c>
      <c r="H282" s="43">
        <f t="shared" si="2"/>
        <v>8.88024337</v>
      </c>
      <c r="I282" s="43" t="str">
        <f t="shared" si="3"/>
        <v>0.00000020</v>
      </c>
      <c r="J282" s="44">
        <f t="shared" si="4"/>
        <v>0.0000002</v>
      </c>
      <c r="K282" s="43" t="b">
        <f t="shared" si="5"/>
        <v>0</v>
      </c>
      <c r="L282" s="21" t="str">
        <f>IFERROR(__xludf.DUMMYFUNCTION("if(regexmatch(B282,""e(.*)$""),regexextract(B282,""e(.*)$""),"""")"),"")</f>
        <v/>
      </c>
      <c r="M282" s="45"/>
      <c r="N282" s="45">
        <f>countif(Constants!F:F,F282)</f>
        <v>1</v>
      </c>
      <c r="O282" s="21" t="str">
        <f>VLOOKUP($A282,Constants!$D:$D,1,false)</f>
        <v>proton-muon mass ratio</v>
      </c>
    </row>
    <row r="283">
      <c r="A283" s="6" t="s">
        <v>1867</v>
      </c>
      <c r="B283" s="6" t="s">
        <v>3116</v>
      </c>
      <c r="C283" s="6" t="s">
        <v>2653</v>
      </c>
      <c r="E283" s="42">
        <f>countif(Constants!F:F,F283)</f>
        <v>1</v>
      </c>
      <c r="F283" s="21" t="str">
        <f>VLOOKUP($A283,Constants!$D:$F,3,false)</f>
        <v>ProtonNeutronMagneticMomentRatio</v>
      </c>
      <c r="G283" s="43" t="str">
        <f t="shared" si="1"/>
        <v>-1.45989805</v>
      </c>
      <c r="H283" s="43">
        <f t="shared" si="2"/>
        <v>-1.45989805</v>
      </c>
      <c r="I283" s="43" t="str">
        <f t="shared" si="3"/>
        <v>0.00000034</v>
      </c>
      <c r="J283" s="44">
        <f t="shared" si="4"/>
        <v>0.00000034</v>
      </c>
      <c r="K283" s="43" t="b">
        <f t="shared" si="5"/>
        <v>0</v>
      </c>
      <c r="L283" s="21" t="str">
        <f>IFERROR(__xludf.DUMMYFUNCTION("if(regexmatch(B283,""e(.*)$""),regexextract(B283,""e(.*)$""),"""")"),"")</f>
        <v/>
      </c>
      <c r="M283" s="45"/>
      <c r="N283" s="45">
        <f>countif(Constants!F:F,F283)</f>
        <v>1</v>
      </c>
      <c r="O283" s="21" t="str">
        <f>VLOOKUP($A283,Constants!$D:$D,1,false)</f>
        <v>proton-neutron mag. mom. ratio</v>
      </c>
    </row>
    <row r="284">
      <c r="A284" s="6" t="s">
        <v>1872</v>
      </c>
      <c r="B284" s="6" t="s">
        <v>3117</v>
      </c>
      <c r="C284" s="6" t="s">
        <v>3065</v>
      </c>
      <c r="E284" s="42">
        <f>countif(Constants!F:F,F284)</f>
        <v>1</v>
      </c>
      <c r="F284" s="21" t="str">
        <f>VLOOKUP($A284,Constants!$D:$F,3,false)</f>
        <v>ProtonNeutronMassRatio</v>
      </c>
      <c r="G284" s="43" t="str">
        <f t="shared" si="1"/>
        <v>0.99862347812</v>
      </c>
      <c r="H284" s="43">
        <f t="shared" si="2"/>
        <v>0.9986234781</v>
      </c>
      <c r="I284" s="43" t="str">
        <f t="shared" si="3"/>
        <v>0.00000000049</v>
      </c>
      <c r="J284" s="44">
        <f t="shared" si="4"/>
        <v>0.00000000049</v>
      </c>
      <c r="K284" s="43" t="b">
        <f t="shared" si="5"/>
        <v>0</v>
      </c>
      <c r="L284" s="21" t="str">
        <f>IFERROR(__xludf.DUMMYFUNCTION("if(regexmatch(B284,""e(.*)$""),regexextract(B284,""e(.*)$""),"""")"),"")</f>
        <v/>
      </c>
      <c r="M284" s="45"/>
      <c r="N284" s="45">
        <f>countif(Constants!F:F,F284)</f>
        <v>1</v>
      </c>
      <c r="O284" s="21" t="str">
        <f>VLOOKUP($A284,Constants!$D:$D,1,false)</f>
        <v>proton-neutron mass ratio</v>
      </c>
    </row>
    <row r="285">
      <c r="A285" s="6" t="s">
        <v>1877</v>
      </c>
      <c r="B285" s="6" t="s">
        <v>3113</v>
      </c>
      <c r="C285" s="6" t="s">
        <v>2804</v>
      </c>
      <c r="E285" s="42">
        <f>countif(Constants!F:F,F285)</f>
        <v>1</v>
      </c>
      <c r="F285" s="21" t="str">
        <f>VLOOKUP($A285,Constants!$D:$F,3,false)</f>
        <v>ProtonRelativeAtomicMass</v>
      </c>
      <c r="G285" s="43" t="str">
        <f t="shared" si="1"/>
        <v>1.007276466621</v>
      </c>
      <c r="H285" s="43">
        <f t="shared" si="2"/>
        <v>1.007276467</v>
      </c>
      <c r="I285" s="43" t="str">
        <f t="shared" si="3"/>
        <v>0.000000000053</v>
      </c>
      <c r="J285" s="44">
        <f t="shared" si="4"/>
        <v>0</v>
      </c>
      <c r="K285" s="43" t="b">
        <f t="shared" si="5"/>
        <v>0</v>
      </c>
      <c r="L285" s="21" t="str">
        <f>IFERROR(__xludf.DUMMYFUNCTION("if(regexmatch(B285,""e(.*)$""),regexextract(B285,""e(.*)$""),"""")"),"")</f>
        <v/>
      </c>
      <c r="M285" s="45"/>
      <c r="N285" s="45">
        <f>countif(Constants!F:F,F285)</f>
        <v>1</v>
      </c>
      <c r="O285" s="21" t="str">
        <f>VLOOKUP($A285,Constants!$D:$D,1,false)</f>
        <v>proton relative atomic mass</v>
      </c>
    </row>
    <row r="286">
      <c r="A286" s="6" t="s">
        <v>1880</v>
      </c>
      <c r="B286" s="46" t="s">
        <v>3118</v>
      </c>
      <c r="C286" s="46" t="s">
        <v>3119</v>
      </c>
      <c r="D286" s="6" t="s">
        <v>571</v>
      </c>
      <c r="E286" s="42">
        <f>countif(Constants!F:F,F286)</f>
        <v>1</v>
      </c>
      <c r="F286" s="21" t="str">
        <f>VLOOKUP($A286,Constants!$D:$F,3,false)</f>
        <v>ProtonRmsChargeRadius</v>
      </c>
      <c r="G286" s="43" t="str">
        <f t="shared" si="1"/>
        <v>8.414e-16</v>
      </c>
      <c r="H286" s="43">
        <f t="shared" si="2"/>
        <v>0</v>
      </c>
      <c r="I286" s="43" t="str">
        <f t="shared" si="3"/>
        <v>0.019e-16</v>
      </c>
      <c r="J286" s="44">
        <f t="shared" si="4"/>
        <v>0</v>
      </c>
      <c r="K286" s="43" t="b">
        <f t="shared" si="5"/>
        <v>0</v>
      </c>
      <c r="L286" s="21" t="str">
        <f>IFERROR(__xludf.DUMMYFUNCTION("if(regexmatch(B286,""e(.*)$""),regexextract(B286,""e(.*)$""),"""")"),"-16")</f>
        <v>-16</v>
      </c>
      <c r="M286" s="45"/>
      <c r="N286" s="45">
        <f>countif(Constants!F:F,F286)</f>
        <v>1</v>
      </c>
      <c r="O286" s="21" t="str">
        <f>VLOOKUP($A286,Constants!$D:$D,1,false)</f>
        <v>proton rms charge radius</v>
      </c>
    </row>
    <row r="287">
      <c r="A287" s="6" t="s">
        <v>1884</v>
      </c>
      <c r="B287" s="6" t="s">
        <v>3120</v>
      </c>
      <c r="C287" s="6" t="s">
        <v>2600</v>
      </c>
      <c r="E287" s="42">
        <f>countif(Constants!F:F,F287)</f>
        <v>1</v>
      </c>
      <c r="F287" s="21" t="str">
        <f>VLOOKUP($A287,Constants!$D:$F,3,false)</f>
        <v>ProtonTauMassRatio</v>
      </c>
      <c r="G287" s="43" t="str">
        <f t="shared" si="1"/>
        <v>0.528051</v>
      </c>
      <c r="H287" s="43">
        <f t="shared" si="2"/>
        <v>0.528051</v>
      </c>
      <c r="I287" s="43" t="str">
        <f t="shared" si="3"/>
        <v>0.000036</v>
      </c>
      <c r="J287" s="44">
        <f t="shared" si="4"/>
        <v>0.000036</v>
      </c>
      <c r="K287" s="43" t="b">
        <f t="shared" si="5"/>
        <v>0</v>
      </c>
      <c r="L287" s="21" t="str">
        <f>IFERROR(__xludf.DUMMYFUNCTION("if(regexmatch(B287,""e(.*)$""),regexextract(B287,""e(.*)$""),"""")"),"")</f>
        <v/>
      </c>
      <c r="M287" s="45"/>
      <c r="N287" s="45">
        <f>countif(Constants!F:F,F287)</f>
        <v>1</v>
      </c>
      <c r="O287" s="21" t="str">
        <f>VLOOKUP($A287,Constants!$D:$D,1,false)</f>
        <v>proton-tau mass ratio</v>
      </c>
    </row>
    <row r="288">
      <c r="A288" s="6" t="s">
        <v>1889</v>
      </c>
      <c r="B288" s="6" t="s">
        <v>3121</v>
      </c>
      <c r="C288" s="6" t="s">
        <v>2612</v>
      </c>
      <c r="D288" s="6" t="s">
        <v>1890</v>
      </c>
      <c r="E288" s="42">
        <f>countif(Constants!F:F,F288)</f>
        <v>1</v>
      </c>
      <c r="F288" s="21" t="str">
        <f>VLOOKUP($A288,Constants!$D:$F,3,false)</f>
        <v>QuantumOfCirculation</v>
      </c>
      <c r="G288" s="43" t="str">
        <f t="shared" si="1"/>
        <v>3.6369475516e-4</v>
      </c>
      <c r="H288" s="43">
        <f t="shared" si="2"/>
        <v>0.0003636947552</v>
      </c>
      <c r="I288" s="43" t="str">
        <f t="shared" si="3"/>
        <v>0.0000000011e-4</v>
      </c>
      <c r="J288" s="44">
        <f t="shared" si="4"/>
        <v>0</v>
      </c>
      <c r="K288" s="43" t="b">
        <f t="shared" si="5"/>
        <v>0</v>
      </c>
      <c r="L288" s="21" t="str">
        <f>IFERROR(__xludf.DUMMYFUNCTION("if(regexmatch(B288,""e(.*)$""),regexextract(B288,""e(.*)$""),"""")"),"-4")</f>
        <v>-4</v>
      </c>
      <c r="M288" s="45"/>
      <c r="N288" s="45">
        <f>countif(Constants!F:F,F288)</f>
        <v>1</v>
      </c>
      <c r="O288" s="21" t="str">
        <f>VLOOKUP($A288,Constants!$D:$D,1,false)</f>
        <v>quantum of circulation</v>
      </c>
    </row>
    <row r="289">
      <c r="A289" s="6" t="s">
        <v>1895</v>
      </c>
      <c r="B289" s="6" t="s">
        <v>3122</v>
      </c>
      <c r="C289" s="6" t="s">
        <v>2394</v>
      </c>
      <c r="D289" s="6" t="s">
        <v>1890</v>
      </c>
      <c r="E289" s="42">
        <f>countif(Constants!F:F,F289)</f>
        <v>1</v>
      </c>
      <c r="F289" s="21" t="str">
        <f>VLOOKUP($A289,Constants!$D:$F,3,false)</f>
        <v>QuantumOfCirculationTimes2</v>
      </c>
      <c r="G289" s="43" t="str">
        <f t="shared" si="1"/>
        <v>7.2738951032e-4</v>
      </c>
      <c r="H289" s="43">
        <f t="shared" si="2"/>
        <v>0.0007273895103</v>
      </c>
      <c r="I289" s="43" t="str">
        <f t="shared" si="3"/>
        <v>0.0000000022e-4</v>
      </c>
      <c r="J289" s="44">
        <f t="shared" si="4"/>
        <v>0</v>
      </c>
      <c r="K289" s="43" t="b">
        <f t="shared" si="5"/>
        <v>0</v>
      </c>
      <c r="L289" s="21" t="str">
        <f>IFERROR(__xludf.DUMMYFUNCTION("if(regexmatch(B289,""e(.*)$""),regexextract(B289,""e(.*)$""),"""")"),"-4")</f>
        <v>-4</v>
      </c>
      <c r="M289" s="45"/>
      <c r="N289" s="45">
        <f>countif(Constants!F:F,F289)</f>
        <v>1</v>
      </c>
      <c r="O289" s="21" t="str">
        <f>VLOOKUP($A289,Constants!$D:$D,1,false)</f>
        <v>quantum of circulation times 2</v>
      </c>
    </row>
    <row r="290">
      <c r="A290" s="6" t="s">
        <v>1899</v>
      </c>
      <c r="B290" s="6" t="s">
        <v>3042</v>
      </c>
      <c r="C290" s="6" t="s">
        <v>2553</v>
      </c>
      <c r="D290" s="6" t="s">
        <v>571</v>
      </c>
      <c r="E290" s="42">
        <f>countif(Constants!F:F,F290)</f>
        <v>2</v>
      </c>
      <c r="F290" s="21" t="str">
        <f>VLOOKUP($A290,Constants!$D:$F,3,false)</f>
        <v>ComptonWavelengthOver2Pi</v>
      </c>
      <c r="G290" s="43" t="str">
        <f t="shared" si="1"/>
        <v>3.8615926796e-13</v>
      </c>
      <c r="H290" s="43">
        <f t="shared" si="2"/>
        <v>0</v>
      </c>
      <c r="I290" s="43" t="str">
        <f t="shared" si="3"/>
        <v>0.0000000012e-13</v>
      </c>
      <c r="J290" s="44">
        <f t="shared" si="4"/>
        <v>0</v>
      </c>
      <c r="K290" s="43" t="b">
        <f t="shared" si="5"/>
        <v>0</v>
      </c>
      <c r="L290" s="21" t="str">
        <f>IFERROR(__xludf.DUMMYFUNCTION("if(regexmatch(B290,""e(.*)$""),regexextract(B290,""e(.*)$""),"""")"),"-13")</f>
        <v>-13</v>
      </c>
      <c r="M290" s="45"/>
      <c r="N290" s="45">
        <f>countif(Constants!F:F,F290)</f>
        <v>2</v>
      </c>
      <c r="O290" s="21" t="str">
        <f>VLOOKUP($A290,Constants!$D:$D,1,false)</f>
        <v>reduced Compton wavelength</v>
      </c>
    </row>
    <row r="291">
      <c r="A291" s="6" t="s">
        <v>1522</v>
      </c>
      <c r="B291" s="6" t="s">
        <v>3123</v>
      </c>
      <c r="C291" s="6" t="s">
        <v>2662</v>
      </c>
      <c r="D291" s="6" t="s">
        <v>571</v>
      </c>
      <c r="E291" s="42">
        <f>countif(Constants!F:F,F291)</f>
        <v>1</v>
      </c>
      <c r="F291" s="21" t="str">
        <f>VLOOKUP($A291,Constants!$D:$F,3,false)</f>
        <v>ReducedMuonComptonWavelength</v>
      </c>
      <c r="G291" s="43" t="str">
        <f t="shared" si="1"/>
        <v>1.867594306e-15</v>
      </c>
      <c r="H291" s="43">
        <f t="shared" si="2"/>
        <v>0</v>
      </c>
      <c r="I291" s="43" t="str">
        <f t="shared" si="3"/>
        <v>0.000000042e-15</v>
      </c>
      <c r="J291" s="44">
        <f t="shared" si="4"/>
        <v>0</v>
      </c>
      <c r="K291" s="43" t="b">
        <f t="shared" si="5"/>
        <v>0</v>
      </c>
      <c r="L291" s="21" t="str">
        <f>IFERROR(__xludf.DUMMYFUNCTION("if(regexmatch(B291,""e(.*)$""),regexextract(B291,""e(.*)$""),"""")"),"-15")</f>
        <v>-15</v>
      </c>
      <c r="M291" s="45"/>
      <c r="N291" s="45">
        <f>countif(Constants!F:F,F291)</f>
        <v>1</v>
      </c>
      <c r="O291" s="21" t="str">
        <f>VLOOKUP($A291,Constants!$D:$D,1,false)</f>
        <v>reduced muon Compton wavelength</v>
      </c>
    </row>
    <row r="292">
      <c r="A292" s="6" t="s">
        <v>1927</v>
      </c>
      <c r="B292" s="6" t="s">
        <v>3124</v>
      </c>
      <c r="C292" s="6" t="s">
        <v>3125</v>
      </c>
      <c r="D292" s="6" t="s">
        <v>571</v>
      </c>
      <c r="E292" s="42">
        <f>countif(Constants!F:F,F292)</f>
        <v>1</v>
      </c>
      <c r="F292" s="21" t="str">
        <f>VLOOKUP($A292,Constants!$D:$F,3,false)</f>
        <v>ReducedNeutronComptonWavelength</v>
      </c>
      <c r="G292" s="43" t="str">
        <f t="shared" si="1"/>
        <v>2.1001941552e-16</v>
      </c>
      <c r="H292" s="43">
        <f t="shared" si="2"/>
        <v>0</v>
      </c>
      <c r="I292" s="43" t="str">
        <f t="shared" si="3"/>
        <v>0.0000000012e-16</v>
      </c>
      <c r="J292" s="44">
        <f t="shared" si="4"/>
        <v>0</v>
      </c>
      <c r="K292" s="43" t="b">
        <f t="shared" si="5"/>
        <v>0</v>
      </c>
      <c r="L292" s="21" t="str">
        <f>IFERROR(__xludf.DUMMYFUNCTION("if(regexmatch(B292,""e(.*)$""),regexextract(B292,""e(.*)$""),"""")"),"-16")</f>
        <v>-16</v>
      </c>
      <c r="M292" s="45"/>
      <c r="N292" s="45">
        <f>countif(Constants!F:F,F292)</f>
        <v>1</v>
      </c>
      <c r="O292" s="21" t="str">
        <f>VLOOKUP($A292,Constants!$D:$D,1,false)</f>
        <v>reduced neutron Compton wavelength</v>
      </c>
    </row>
    <row r="293">
      <c r="A293" s="6" t="s">
        <v>1904</v>
      </c>
      <c r="B293" s="6" t="s">
        <v>2790</v>
      </c>
      <c r="C293" s="6" t="s">
        <v>2261</v>
      </c>
      <c r="D293" s="6" t="s">
        <v>643</v>
      </c>
      <c r="E293" s="42">
        <f>countif(Constants!F:F,F293)</f>
        <v>1</v>
      </c>
      <c r="F293" s="21" t="str">
        <f>VLOOKUP($A293,Constants!$D:$F,3,false)</f>
        <v>ReducedPlanckConstant</v>
      </c>
      <c r="G293" s="43" t="str">
        <f t="shared" si="1"/>
        <v>1.054571817e-34</v>
      </c>
      <c r="H293" s="43">
        <f t="shared" si="2"/>
        <v>0</v>
      </c>
      <c r="I293" s="43" t="str">
        <f t="shared" si="3"/>
        <v>(exact)</v>
      </c>
      <c r="J293" s="44" t="str">
        <f t="shared" si="4"/>
        <v/>
      </c>
      <c r="K293" s="43" t="b">
        <f t="shared" si="5"/>
        <v>1</v>
      </c>
      <c r="L293" s="21" t="str">
        <f>IFERROR(__xludf.DUMMYFUNCTION("if(regexmatch(B293,""e(.*)$""),regexextract(B293,""e(.*)$""),"""")"),"-34")</f>
        <v>-34</v>
      </c>
      <c r="M293" s="45"/>
      <c r="N293" s="45">
        <f>countif(Constants!F:F,F293)</f>
        <v>1</v>
      </c>
      <c r="O293" s="21" t="str">
        <f>VLOOKUP($A293,Constants!$D:$D,1,false)</f>
        <v>reduced Planck constant</v>
      </c>
    </row>
    <row r="294">
      <c r="A294" s="6" t="s">
        <v>1911</v>
      </c>
      <c r="B294" s="6" t="s">
        <v>3041</v>
      </c>
      <c r="C294" s="6" t="s">
        <v>2261</v>
      </c>
      <c r="D294" s="6" t="s">
        <v>1598</v>
      </c>
      <c r="E294" s="42">
        <f>countif(Constants!F:F,F294)</f>
        <v>1</v>
      </c>
      <c r="F294" s="21" t="str">
        <f>VLOOKUP($A294,Constants!$D:$F,3,false)</f>
        <v>ReducedPlanckConstantInEvS</v>
      </c>
      <c r="G294" s="43" t="str">
        <f t="shared" si="1"/>
        <v>6.582119569e-16</v>
      </c>
      <c r="H294" s="43">
        <f t="shared" si="2"/>
        <v>0</v>
      </c>
      <c r="I294" s="43" t="str">
        <f t="shared" si="3"/>
        <v>(exact)</v>
      </c>
      <c r="J294" s="44" t="str">
        <f t="shared" si="4"/>
        <v/>
      </c>
      <c r="K294" s="43" t="b">
        <f t="shared" si="5"/>
        <v>1</v>
      </c>
      <c r="L294" s="21" t="str">
        <f>IFERROR(__xludf.DUMMYFUNCTION("if(regexmatch(B294,""e(.*)$""),regexextract(B294,""e(.*)$""),"""")"),"-16")</f>
        <v>-16</v>
      </c>
      <c r="M294" s="45"/>
      <c r="N294" s="45">
        <f>countif(Constants!F:F,F294)</f>
        <v>1</v>
      </c>
      <c r="O294" s="21" t="str">
        <f>VLOOKUP($A294,Constants!$D:$D,1,false)</f>
        <v>reduced Planck constant in eV s</v>
      </c>
    </row>
    <row r="295">
      <c r="A295" s="6" t="s">
        <v>1915</v>
      </c>
      <c r="B295" s="6" t="s">
        <v>3126</v>
      </c>
      <c r="C295" s="6" t="s">
        <v>2261</v>
      </c>
      <c r="D295" s="6" t="s">
        <v>1916</v>
      </c>
      <c r="E295" s="42">
        <f>countif(Constants!F:F,F295)</f>
        <v>1</v>
      </c>
      <c r="F295" s="21" t="str">
        <f>VLOOKUP($A295,Constants!$D:$F,3,false)</f>
        <v>ReducedPlanckConstantTimesCInMevFm</v>
      </c>
      <c r="G295" s="43" t="str">
        <f t="shared" si="1"/>
        <v>197.3269804</v>
      </c>
      <c r="H295" s="43">
        <f t="shared" si="2"/>
        <v>197.3269804</v>
      </c>
      <c r="I295" s="43" t="str">
        <f t="shared" si="3"/>
        <v>(exact)</v>
      </c>
      <c r="J295" s="44" t="str">
        <f t="shared" si="4"/>
        <v/>
      </c>
      <c r="K295" s="43" t="b">
        <f t="shared" si="5"/>
        <v>1</v>
      </c>
      <c r="L295" s="21" t="str">
        <f>IFERROR(__xludf.DUMMYFUNCTION("if(regexmatch(B295,""e(.*)$""),regexextract(B295,""e(.*)$""),"""")"),"")</f>
        <v/>
      </c>
      <c r="M295" s="45"/>
      <c r="N295" s="45">
        <f>countif(Constants!F:F,F295)</f>
        <v>1</v>
      </c>
      <c r="O295" s="21" t="str">
        <f>VLOOKUP($A295,Constants!$D:$D,1,false)</f>
        <v>reduced Planck constant times c in MeV fm</v>
      </c>
    </row>
    <row r="296">
      <c r="A296" s="6" t="s">
        <v>1922</v>
      </c>
      <c r="B296" s="6" t="s">
        <v>3127</v>
      </c>
      <c r="C296" s="6" t="s">
        <v>3128</v>
      </c>
      <c r="D296" s="6" t="s">
        <v>571</v>
      </c>
      <c r="E296" s="42">
        <f>countif(Constants!F:F,F296)</f>
        <v>1</v>
      </c>
      <c r="F296" s="21" t="str">
        <f>VLOOKUP($A296,Constants!$D:$F,3,false)</f>
        <v>ReducedProtonComptonWavelength</v>
      </c>
      <c r="G296" s="43" t="str">
        <f t="shared" si="1"/>
        <v>2.10308910336e-16</v>
      </c>
      <c r="H296" s="43">
        <f t="shared" si="2"/>
        <v>0</v>
      </c>
      <c r="I296" s="43" t="str">
        <f t="shared" si="3"/>
        <v>0.00000000064e-16</v>
      </c>
      <c r="J296" s="44">
        <f t="shared" si="4"/>
        <v>0</v>
      </c>
      <c r="K296" s="43" t="b">
        <f t="shared" si="5"/>
        <v>0</v>
      </c>
      <c r="L296" s="21" t="str">
        <f>IFERROR(__xludf.DUMMYFUNCTION("if(regexmatch(B296,""e(.*)$""),regexextract(B296,""e(.*)$""),"""")"),"-16")</f>
        <v>-16</v>
      </c>
      <c r="M296" s="45"/>
      <c r="N296" s="45">
        <f>countif(Constants!F:F,F296)</f>
        <v>1</v>
      </c>
      <c r="O296" s="21" t="str">
        <f>VLOOKUP($A296,Constants!$D:$D,1,false)</f>
        <v>reduced proton Compton wavelength</v>
      </c>
    </row>
    <row r="297">
      <c r="A297" s="6" t="s">
        <v>2054</v>
      </c>
      <c r="B297" s="6" t="s">
        <v>3129</v>
      </c>
      <c r="C297" s="6" t="s">
        <v>2669</v>
      </c>
      <c r="D297" s="6" t="s">
        <v>571</v>
      </c>
      <c r="E297" s="42">
        <f>countif(Constants!F:F,F297)</f>
        <v>1</v>
      </c>
      <c r="F297" s="21" t="str">
        <f>VLOOKUP($A297,Constants!$D:$F,3,false)</f>
        <v>ReducedTauComptonWavelength</v>
      </c>
      <c r="G297" s="43" t="str">
        <f t="shared" si="1"/>
        <v>1.110538e-16</v>
      </c>
      <c r="H297" s="43">
        <f t="shared" si="2"/>
        <v>0</v>
      </c>
      <c r="I297" s="43" t="str">
        <f t="shared" si="3"/>
        <v>0.000075e-16</v>
      </c>
      <c r="J297" s="44">
        <f t="shared" si="4"/>
        <v>0</v>
      </c>
      <c r="K297" s="43" t="b">
        <f t="shared" si="5"/>
        <v>0</v>
      </c>
      <c r="L297" s="21" t="str">
        <f>IFERROR(__xludf.DUMMYFUNCTION("if(regexmatch(B297,""e(.*)$""),regexextract(B297,""e(.*)$""),"""")"),"-16")</f>
        <v>-16</v>
      </c>
      <c r="M297" s="45"/>
      <c r="N297" s="45">
        <f>countif(Constants!F:F,F297)</f>
        <v>1</v>
      </c>
      <c r="O297" s="21" t="str">
        <f>VLOOKUP($A297,Constants!$D:$D,1,false)</f>
        <v>reduced tau Compton wavelength</v>
      </c>
    </row>
    <row r="298">
      <c r="A298" s="6" t="s">
        <v>1933</v>
      </c>
      <c r="B298" s="6" t="s">
        <v>3130</v>
      </c>
      <c r="C298" s="6" t="s">
        <v>3131</v>
      </c>
      <c r="D298" s="6" t="s">
        <v>606</v>
      </c>
      <c r="E298" s="42">
        <f>countif(Constants!F:F,F298)</f>
        <v>1</v>
      </c>
      <c r="F298" s="21" t="str">
        <f>VLOOKUP($A298,Constants!$D:$F,3,false)</f>
        <v>RydbergConstant</v>
      </c>
      <c r="G298" s="43" t="str">
        <f t="shared" si="1"/>
        <v>10973731.568160</v>
      </c>
      <c r="H298" s="43">
        <f t="shared" si="2"/>
        <v>10973731.57</v>
      </c>
      <c r="I298" s="43" t="str">
        <f t="shared" si="3"/>
        <v>0.000021</v>
      </c>
      <c r="J298" s="44">
        <f t="shared" si="4"/>
        <v>0.000021</v>
      </c>
      <c r="K298" s="43" t="b">
        <f t="shared" si="5"/>
        <v>0</v>
      </c>
      <c r="L298" s="21" t="str">
        <f>IFERROR(__xludf.DUMMYFUNCTION("if(regexmatch(B298,""e(.*)$""),regexextract(B298,""e(.*)$""),"""")"),"")</f>
        <v/>
      </c>
      <c r="M298" s="45"/>
      <c r="N298" s="45">
        <f>countif(Constants!F:F,F298)</f>
        <v>1</v>
      </c>
      <c r="O298" s="21" t="str">
        <f>VLOOKUP($A298,Constants!$D:$D,1,false)</f>
        <v>Rydberg constant</v>
      </c>
    </row>
    <row r="299">
      <c r="A299" s="6" t="s">
        <v>1937</v>
      </c>
      <c r="B299" s="6" t="s">
        <v>3132</v>
      </c>
      <c r="C299" s="6" t="s">
        <v>3133</v>
      </c>
      <c r="D299" s="6" t="s">
        <v>600</v>
      </c>
      <c r="E299" s="42">
        <f>countif(Constants!F:F,F299)</f>
        <v>1</v>
      </c>
      <c r="F299" s="21" t="str">
        <f>VLOOKUP($A299,Constants!$D:$F,3,false)</f>
        <v>RydbergConstantTimesCInHz</v>
      </c>
      <c r="G299" s="43" t="str">
        <f t="shared" si="1"/>
        <v>3.2898419602508e15</v>
      </c>
      <c r="H299" s="43">
        <f t="shared" si="2"/>
        <v>3.28984E+15</v>
      </c>
      <c r="I299" s="43" t="str">
        <f t="shared" si="3"/>
        <v>0.0000000000064e15</v>
      </c>
      <c r="J299" s="44">
        <f t="shared" si="4"/>
        <v>6400</v>
      </c>
      <c r="K299" s="43" t="b">
        <f t="shared" si="5"/>
        <v>0</v>
      </c>
      <c r="L299" s="21" t="str">
        <f>IFERROR(__xludf.DUMMYFUNCTION("if(regexmatch(B299,""e(.*)$""),regexextract(B299,""e(.*)$""),"""")"),"15")</f>
        <v>15</v>
      </c>
      <c r="M299" s="45"/>
      <c r="N299" s="45">
        <f>countif(Constants!F:F,F299)</f>
        <v>1</v>
      </c>
      <c r="O299" s="21" t="str">
        <f>VLOOKUP($A299,Constants!$D:$D,1,false)</f>
        <v>Rydberg constant times c in Hz</v>
      </c>
    </row>
    <row r="300">
      <c r="A300" s="6" t="s">
        <v>1941</v>
      </c>
      <c r="B300" s="6" t="s">
        <v>3134</v>
      </c>
      <c r="C300" s="6" t="s">
        <v>3135</v>
      </c>
      <c r="D300" s="6" t="s">
        <v>175</v>
      </c>
      <c r="E300" s="42">
        <f>countif(Constants!F:F,F300)</f>
        <v>1</v>
      </c>
      <c r="F300" s="21" t="str">
        <f>VLOOKUP($A300,Constants!$D:$F,3,false)</f>
        <v>RydbergConstantTimesHcInEV</v>
      </c>
      <c r="G300" s="43" t="str">
        <f t="shared" si="1"/>
        <v>13.605693122994</v>
      </c>
      <c r="H300" s="43">
        <f t="shared" si="2"/>
        <v>13.60569312</v>
      </c>
      <c r="I300" s="43" t="str">
        <f t="shared" si="3"/>
        <v>0.000000000026</v>
      </c>
      <c r="J300" s="44">
        <f t="shared" si="4"/>
        <v>0</v>
      </c>
      <c r="K300" s="43" t="b">
        <f t="shared" si="5"/>
        <v>0</v>
      </c>
      <c r="L300" s="21" t="str">
        <f>IFERROR(__xludf.DUMMYFUNCTION("if(regexmatch(B300,""e(.*)$""),regexextract(B300,""e(.*)$""),"""")"),"")</f>
        <v/>
      </c>
      <c r="M300" s="45"/>
      <c r="N300" s="45">
        <f>countif(Constants!F:F,F300)</f>
        <v>1</v>
      </c>
      <c r="O300" s="21" t="str">
        <f>VLOOKUP($A300,Constants!$D:$D,1,false)</f>
        <v>Rydberg constant times hc in eV</v>
      </c>
    </row>
    <row r="301">
      <c r="A301" s="6" t="s">
        <v>1945</v>
      </c>
      <c r="B301" s="6" t="s">
        <v>3136</v>
      </c>
      <c r="C301" s="6" t="s">
        <v>3137</v>
      </c>
      <c r="D301" s="6" t="s">
        <v>543</v>
      </c>
      <c r="E301" s="42">
        <f>countif(Constants!F:F,F301)</f>
        <v>1</v>
      </c>
      <c r="F301" s="21" t="str">
        <f>VLOOKUP($A301,Constants!$D:$F,3,false)</f>
        <v>RydbergConstantTimesHcInJ</v>
      </c>
      <c r="G301" s="43" t="str">
        <f t="shared" si="1"/>
        <v>2.1798723611035e-18</v>
      </c>
      <c r="H301" s="43">
        <f t="shared" si="2"/>
        <v>0</v>
      </c>
      <c r="I301" s="43" t="str">
        <f t="shared" si="3"/>
        <v>0.0000000000042e-18</v>
      </c>
      <c r="J301" s="44">
        <f t="shared" si="4"/>
        <v>0</v>
      </c>
      <c r="K301" s="43" t="b">
        <f t="shared" si="5"/>
        <v>0</v>
      </c>
      <c r="L301" s="21" t="str">
        <f>IFERROR(__xludf.DUMMYFUNCTION("if(regexmatch(B301,""e(.*)$""),regexextract(B301,""e(.*)$""),"""")"),"-18")</f>
        <v>-18</v>
      </c>
      <c r="M301" s="45"/>
      <c r="N301" s="45">
        <f>countif(Constants!F:F,F301)</f>
        <v>1</v>
      </c>
      <c r="O301" s="21" t="str">
        <f>VLOOKUP($A301,Constants!$D:$D,1,false)</f>
        <v>Rydberg constant times hc in J</v>
      </c>
    </row>
    <row r="302">
      <c r="A302" s="6" t="s">
        <v>1948</v>
      </c>
      <c r="B302" s="6" t="s">
        <v>3138</v>
      </c>
      <c r="C302" s="6" t="s">
        <v>3139</v>
      </c>
      <c r="E302" s="42">
        <f>countif(Constants!F:F,F302)</f>
        <v>1</v>
      </c>
      <c r="F302" s="21" t="str">
        <f>VLOOKUP($A302,Constants!$D:$F,3,false)</f>
        <v>SackurTetrodeConstant</v>
      </c>
      <c r="G302" s="43" t="str">
        <f t="shared" si="1"/>
        <v>-1.15170753706</v>
      </c>
      <c r="H302" s="43">
        <f t="shared" si="2"/>
        <v>-1.151707537</v>
      </c>
      <c r="I302" s="43" t="str">
        <f t="shared" si="3"/>
        <v>0.00000000045</v>
      </c>
      <c r="J302" s="44">
        <f t="shared" si="4"/>
        <v>0.00000000045</v>
      </c>
      <c r="K302" s="43" t="b">
        <f t="shared" si="5"/>
        <v>0</v>
      </c>
      <c r="L302" s="21" t="str">
        <f>IFERROR(__xludf.DUMMYFUNCTION("if(regexmatch(B302,""e(.*)$""),regexextract(B302,""e(.*)$""),"""")"),"")</f>
        <v/>
      </c>
      <c r="M302" s="45"/>
      <c r="N302" s="45">
        <f>countif(Constants!F:F,F302)</f>
        <v>1</v>
      </c>
      <c r="O302" s="21" t="str">
        <f>VLOOKUP($A302,Constants!$D:$D,1,false)</f>
        <v>Sackur-Tetrode constant (1 K, 100 kPa)</v>
      </c>
    </row>
    <row r="303">
      <c r="A303" s="6" t="s">
        <v>1951</v>
      </c>
      <c r="B303" s="6" t="s">
        <v>3140</v>
      </c>
      <c r="C303" s="6" t="s">
        <v>3139</v>
      </c>
      <c r="E303" s="42">
        <f>countif(Constants!F:F,F303)</f>
        <v>1</v>
      </c>
      <c r="F303" s="21" t="str">
        <f>VLOOKUP($A303,Constants!$D:$F,3,false)</f>
        <v>SackurTetrodeConstant1K101KPa</v>
      </c>
      <c r="G303" s="43" t="str">
        <f t="shared" si="1"/>
        <v>-1.16487052358</v>
      </c>
      <c r="H303" s="43">
        <f t="shared" si="2"/>
        <v>-1.164870524</v>
      </c>
      <c r="I303" s="43" t="str">
        <f t="shared" si="3"/>
        <v>0.00000000045</v>
      </c>
      <c r="J303" s="44">
        <f t="shared" si="4"/>
        <v>0.00000000045</v>
      </c>
      <c r="K303" s="43" t="b">
        <f t="shared" si="5"/>
        <v>0</v>
      </c>
      <c r="L303" s="21" t="str">
        <f>IFERROR(__xludf.DUMMYFUNCTION("if(regexmatch(B303,""e(.*)$""),regexextract(B303,""e(.*)$""),"""")"),"")</f>
        <v/>
      </c>
      <c r="M303" s="45"/>
      <c r="N303" s="45">
        <f>countif(Constants!F:F,F303)</f>
        <v>1</v>
      </c>
      <c r="O303" s="21" t="str">
        <f>VLOOKUP($A303,Constants!$D:$D,1,false)</f>
        <v>Sackur-Tetrode constant (1 K, 101.325 kPa)</v>
      </c>
    </row>
    <row r="304">
      <c r="A304" s="6" t="s">
        <v>1954</v>
      </c>
      <c r="B304" s="6" t="s">
        <v>2980</v>
      </c>
      <c r="C304" s="6" t="s">
        <v>2261</v>
      </c>
      <c r="D304" s="6" t="s">
        <v>1955</v>
      </c>
      <c r="E304" s="42">
        <f>countif(Constants!F:F,F304)</f>
        <v>1</v>
      </c>
      <c r="F304" s="21" t="str">
        <f>VLOOKUP($A304,Constants!$D:$F,3,false)</f>
        <v>SecondRadiationConstant</v>
      </c>
      <c r="G304" s="43" t="str">
        <f t="shared" si="1"/>
        <v>1.438776877e-2</v>
      </c>
      <c r="H304" s="43">
        <f t="shared" si="2"/>
        <v>0.01438776877</v>
      </c>
      <c r="I304" s="43" t="str">
        <f t="shared" si="3"/>
        <v>(exact)</v>
      </c>
      <c r="J304" s="44" t="str">
        <f t="shared" si="4"/>
        <v/>
      </c>
      <c r="K304" s="43" t="b">
        <f t="shared" si="5"/>
        <v>1</v>
      </c>
      <c r="L304" s="21" t="str">
        <f>IFERROR(__xludf.DUMMYFUNCTION("if(regexmatch(B304,""e(.*)$""),regexextract(B304,""e(.*)$""),"""")"),"-2")</f>
        <v>-2</v>
      </c>
      <c r="M304" s="45"/>
      <c r="N304" s="45">
        <f>countif(Constants!F:F,F304)</f>
        <v>1</v>
      </c>
      <c r="O304" s="21" t="str">
        <f>VLOOKUP($A304,Constants!$D:$D,1,false)</f>
        <v>second radiation constant</v>
      </c>
    </row>
    <row r="305">
      <c r="A305" s="6" t="s">
        <v>1960</v>
      </c>
      <c r="B305" s="6" t="s">
        <v>3141</v>
      </c>
      <c r="C305" s="6" t="s">
        <v>3142</v>
      </c>
      <c r="D305" s="6" t="s">
        <v>961</v>
      </c>
      <c r="E305" s="42">
        <f>countif(Constants!F:F,F305)</f>
        <v>1</v>
      </c>
      <c r="F305" s="21" t="str">
        <f>VLOOKUP($A305,Constants!$D:$F,3,false)</f>
        <v>ShieldedHelionGyromagneticRatio</v>
      </c>
      <c r="G305" s="43" t="str">
        <f t="shared" si="1"/>
        <v>2.037894569e8</v>
      </c>
      <c r="H305" s="43">
        <f t="shared" si="2"/>
        <v>203789456.9</v>
      </c>
      <c r="I305" s="43" t="str">
        <f t="shared" si="3"/>
        <v>0.000000024e8</v>
      </c>
      <c r="J305" s="44">
        <f t="shared" si="4"/>
        <v>2.4</v>
      </c>
      <c r="K305" s="43" t="b">
        <f t="shared" si="5"/>
        <v>0</v>
      </c>
      <c r="L305" s="21" t="str">
        <f>IFERROR(__xludf.DUMMYFUNCTION("if(regexmatch(B305,""e(.*)$""),regexextract(B305,""e(.*)$""),"""")"),"8")</f>
        <v>8</v>
      </c>
      <c r="M305" s="45"/>
      <c r="N305" s="45">
        <f>countif(Constants!F:F,F305)</f>
        <v>1</v>
      </c>
      <c r="O305" s="21" t="str">
        <f>VLOOKUP($A305,Constants!$D:$D,1,false)</f>
        <v>shielded helion gyromag. ratio</v>
      </c>
    </row>
    <row r="306">
      <c r="A306" s="6" t="s">
        <v>2682</v>
      </c>
      <c r="B306" s="6" t="s">
        <v>3143</v>
      </c>
      <c r="C306" s="6" t="s">
        <v>2595</v>
      </c>
      <c r="D306" s="6" t="s">
        <v>969</v>
      </c>
      <c r="E306" s="42">
        <f>countif(Constants!F:F,F306)</f>
        <v>1</v>
      </c>
      <c r="F306" s="47" t="s">
        <v>2685</v>
      </c>
      <c r="G306" s="43" t="str">
        <f t="shared" si="1"/>
        <v>32.43409942</v>
      </c>
      <c r="H306" s="43">
        <f t="shared" si="2"/>
        <v>32.43409942</v>
      </c>
      <c r="I306" s="43" t="str">
        <f t="shared" si="3"/>
        <v>0.00000038</v>
      </c>
      <c r="J306" s="44">
        <f t="shared" si="4"/>
        <v>0.00000038</v>
      </c>
      <c r="K306" s="43" t="b">
        <f t="shared" si="5"/>
        <v>0</v>
      </c>
      <c r="L306" s="21" t="str">
        <f>IFERROR(__xludf.DUMMYFUNCTION("if(regexmatch(B306,""e(.*)$""),regexextract(B306,""e(.*)$""),"""")"),"")</f>
        <v/>
      </c>
      <c r="M306" s="45"/>
      <c r="N306" s="45">
        <f>countif(Constants!F:F,F306)</f>
        <v>1</v>
      </c>
      <c r="O306" s="21" t="str">
        <f>VLOOKUP($A306,Constants!$D:$D,1,false)</f>
        <v>#N/A</v>
      </c>
    </row>
    <row r="307">
      <c r="A307" s="6" t="s">
        <v>1969</v>
      </c>
      <c r="B307" s="6" t="s">
        <v>3144</v>
      </c>
      <c r="C307" s="6" t="s">
        <v>2944</v>
      </c>
      <c r="D307" s="6" t="s">
        <v>714</v>
      </c>
      <c r="E307" s="42">
        <f>countif(Constants!F:F,F307)</f>
        <v>1</v>
      </c>
      <c r="F307" s="21" t="str">
        <f>VLOOKUP($A307,Constants!$D:$F,3,false)</f>
        <v>ShieldedHelionMagneticMoment</v>
      </c>
      <c r="G307" s="43" t="str">
        <f t="shared" si="1"/>
        <v>-1.074553090e-26</v>
      </c>
      <c r="H307" s="43">
        <f t="shared" si="2"/>
        <v>0</v>
      </c>
      <c r="I307" s="43" t="str">
        <f t="shared" si="3"/>
        <v>0.000000013e-26</v>
      </c>
      <c r="J307" s="44">
        <f t="shared" si="4"/>
        <v>0</v>
      </c>
      <c r="K307" s="43" t="b">
        <f t="shared" si="5"/>
        <v>0</v>
      </c>
      <c r="L307" s="21" t="str">
        <f>IFERROR(__xludf.DUMMYFUNCTION("if(regexmatch(B307,""e(.*)$""),regexextract(B307,""e(.*)$""),"""")"),"-26")</f>
        <v>-26</v>
      </c>
      <c r="M307" s="45"/>
      <c r="N307" s="45">
        <f>countif(Constants!F:F,F307)</f>
        <v>1</v>
      </c>
      <c r="O307" s="21" t="str">
        <f>VLOOKUP($A307,Constants!$D:$D,1,false)</f>
        <v>shielded helion mag. mom.</v>
      </c>
    </row>
    <row r="308">
      <c r="A308" s="6" t="s">
        <v>1974</v>
      </c>
      <c r="B308" s="6" t="s">
        <v>3145</v>
      </c>
      <c r="C308" s="6" t="s">
        <v>2946</v>
      </c>
      <c r="E308" s="42">
        <f>countif(Constants!F:F,F308)</f>
        <v>1</v>
      </c>
      <c r="F308" s="21" t="str">
        <f>VLOOKUP($A308,Constants!$D:$F,3,false)</f>
        <v>ShieldedHelionMagneticMomentToBohrMagnetonRatio</v>
      </c>
      <c r="G308" s="43" t="str">
        <f t="shared" si="1"/>
        <v>-1.158671471e-3</v>
      </c>
      <c r="H308" s="43">
        <f t="shared" si="2"/>
        <v>-0.001158671471</v>
      </c>
      <c r="I308" s="43" t="str">
        <f t="shared" si="3"/>
        <v>0.000000014e-3</v>
      </c>
      <c r="J308" s="44">
        <f t="shared" si="4"/>
        <v>0</v>
      </c>
      <c r="K308" s="43" t="b">
        <f t="shared" si="5"/>
        <v>0</v>
      </c>
      <c r="L308" s="21" t="str">
        <f>IFERROR(__xludf.DUMMYFUNCTION("if(regexmatch(B308,""e(.*)$""),regexextract(B308,""e(.*)$""),"""")"),"-3")</f>
        <v>-3</v>
      </c>
      <c r="M308" s="45"/>
      <c r="N308" s="45">
        <f>countif(Constants!F:F,F308)</f>
        <v>1</v>
      </c>
      <c r="O308" s="21" t="str">
        <f>VLOOKUP($A308,Constants!$D:$D,1,false)</f>
        <v>shielded helion mag. mom. to Bohr magneton ratio</v>
      </c>
    </row>
    <row r="309">
      <c r="A309" s="6" t="s">
        <v>1979</v>
      </c>
      <c r="B309" s="6" t="s">
        <v>3146</v>
      </c>
      <c r="C309" s="6" t="s">
        <v>2948</v>
      </c>
      <c r="E309" s="42">
        <f>countif(Constants!F:F,F309)</f>
        <v>1</v>
      </c>
      <c r="F309" s="21" t="str">
        <f>VLOOKUP($A309,Constants!$D:$F,3,false)</f>
        <v>ShieldedHelionMagneticMomentToNuclearMagnetonRatio</v>
      </c>
      <c r="G309" s="43" t="str">
        <f t="shared" si="1"/>
        <v>-2.127497719</v>
      </c>
      <c r="H309" s="43">
        <f t="shared" si="2"/>
        <v>-2.127497719</v>
      </c>
      <c r="I309" s="43" t="str">
        <f t="shared" si="3"/>
        <v>0.000000025</v>
      </c>
      <c r="J309" s="44">
        <f t="shared" si="4"/>
        <v>0.000000025</v>
      </c>
      <c r="K309" s="43" t="b">
        <f t="shared" si="5"/>
        <v>0</v>
      </c>
      <c r="L309" s="21" t="str">
        <f>IFERROR(__xludf.DUMMYFUNCTION("if(regexmatch(B309,""e(.*)$""),regexextract(B309,""e(.*)$""),"""")"),"")</f>
        <v/>
      </c>
      <c r="M309" s="45"/>
      <c r="N309" s="45">
        <f>countif(Constants!F:F,F309)</f>
        <v>1</v>
      </c>
      <c r="O309" s="21" t="str">
        <f>VLOOKUP($A309,Constants!$D:$D,1,false)</f>
        <v>shielded helion mag. mom. to nuclear magneton ratio</v>
      </c>
    </row>
    <row r="310">
      <c r="A310" s="6" t="s">
        <v>1984</v>
      </c>
      <c r="B310" s="6" t="s">
        <v>3147</v>
      </c>
      <c r="C310" s="6" t="s">
        <v>3148</v>
      </c>
      <c r="E310" s="42">
        <f>countif(Constants!F:F,F310)</f>
        <v>1</v>
      </c>
      <c r="F310" s="21" t="str">
        <f>VLOOKUP($A310,Constants!$D:$F,3,false)</f>
        <v>ShieldedHelionToProtonMagneticMomentRatio</v>
      </c>
      <c r="G310" s="43" t="str">
        <f t="shared" si="1"/>
        <v>-0.7617665618</v>
      </c>
      <c r="H310" s="43">
        <f t="shared" si="2"/>
        <v>-0.7617665618</v>
      </c>
      <c r="I310" s="43" t="str">
        <f t="shared" si="3"/>
        <v>0.0000000089</v>
      </c>
      <c r="J310" s="44">
        <f t="shared" si="4"/>
        <v>0.0000000089</v>
      </c>
      <c r="K310" s="43" t="b">
        <f t="shared" si="5"/>
        <v>0</v>
      </c>
      <c r="L310" s="21" t="str">
        <f>IFERROR(__xludf.DUMMYFUNCTION("if(regexmatch(B310,""e(.*)$""),regexextract(B310,""e(.*)$""),"""")"),"")</f>
        <v/>
      </c>
      <c r="M310" s="45"/>
      <c r="N310" s="45">
        <f>countif(Constants!F:F,F310)</f>
        <v>1</v>
      </c>
      <c r="O310" s="21" t="str">
        <f>VLOOKUP($A310,Constants!$D:$D,1,false)</f>
        <v>shielded helion to proton mag. mom. ratio</v>
      </c>
    </row>
    <row r="311">
      <c r="A311" s="6" t="s">
        <v>1989</v>
      </c>
      <c r="B311" s="6" t="s">
        <v>3149</v>
      </c>
      <c r="C311" s="6" t="s">
        <v>3150</v>
      </c>
      <c r="E311" s="42">
        <f>countif(Constants!F:F,F311)</f>
        <v>1</v>
      </c>
      <c r="F311" s="21" t="str">
        <f>VLOOKUP($A311,Constants!$D:$F,3,false)</f>
        <v>ShieldedHelionToShieldedProtonMagneticMomentRatio</v>
      </c>
      <c r="G311" s="43" t="str">
        <f t="shared" si="1"/>
        <v>-0.7617861313</v>
      </c>
      <c r="H311" s="43">
        <f t="shared" si="2"/>
        <v>-0.7617861313</v>
      </c>
      <c r="I311" s="43" t="str">
        <f t="shared" si="3"/>
        <v>0.0000000033</v>
      </c>
      <c r="J311" s="44">
        <f t="shared" si="4"/>
        <v>0.0000000033</v>
      </c>
      <c r="K311" s="43" t="b">
        <f t="shared" si="5"/>
        <v>0</v>
      </c>
      <c r="L311" s="21" t="str">
        <f>IFERROR(__xludf.DUMMYFUNCTION("if(regexmatch(B311,""e(.*)$""),regexextract(B311,""e(.*)$""),"""")"),"")</f>
        <v/>
      </c>
      <c r="M311" s="45"/>
      <c r="N311" s="45">
        <f>countif(Constants!F:F,F311)</f>
        <v>1</v>
      </c>
      <c r="O311" s="21" t="str">
        <f>VLOOKUP($A311,Constants!$D:$D,1,false)</f>
        <v>shielded helion to shielded proton mag. mom. ratio</v>
      </c>
    </row>
    <row r="312">
      <c r="A312" s="6" t="s">
        <v>1994</v>
      </c>
      <c r="B312" s="6" t="s">
        <v>3151</v>
      </c>
      <c r="C312" s="6" t="s">
        <v>3152</v>
      </c>
      <c r="D312" s="6" t="s">
        <v>961</v>
      </c>
      <c r="E312" s="42">
        <f>countif(Constants!F:F,F312)</f>
        <v>1</v>
      </c>
      <c r="F312" s="21" t="str">
        <f>VLOOKUP($A312,Constants!$D:$F,3,false)</f>
        <v>ShieldedProtonGyromagneticRatio</v>
      </c>
      <c r="G312" s="43" t="str">
        <f t="shared" si="1"/>
        <v>2.675153151e8</v>
      </c>
      <c r="H312" s="43">
        <f t="shared" si="2"/>
        <v>267515315.1</v>
      </c>
      <c r="I312" s="43" t="str">
        <f t="shared" si="3"/>
        <v>0.000000029e8</v>
      </c>
      <c r="J312" s="44">
        <f t="shared" si="4"/>
        <v>2.9</v>
      </c>
      <c r="K312" s="43" t="b">
        <f t="shared" si="5"/>
        <v>0</v>
      </c>
      <c r="L312" s="21" t="str">
        <f>IFERROR(__xludf.DUMMYFUNCTION("if(regexmatch(B312,""e(.*)$""),regexextract(B312,""e(.*)$""),"""")"),"8")</f>
        <v>8</v>
      </c>
      <c r="M312" s="45"/>
      <c r="N312" s="45">
        <f>countif(Constants!F:F,F312)</f>
        <v>1</v>
      </c>
      <c r="O312" s="21" t="str">
        <f>VLOOKUP($A312,Constants!$D:$D,1,false)</f>
        <v>shielded proton gyromag. ratio</v>
      </c>
    </row>
    <row r="313">
      <c r="A313" s="6" t="s">
        <v>1999</v>
      </c>
      <c r="B313" s="6" t="s">
        <v>3153</v>
      </c>
      <c r="C313" s="6" t="s">
        <v>3075</v>
      </c>
      <c r="D313" s="6" t="s">
        <v>969</v>
      </c>
      <c r="E313" s="42">
        <f>countif(Constants!F:F,F313)</f>
        <v>1</v>
      </c>
      <c r="F313" s="21" t="str">
        <f>VLOOKUP($A313,Constants!$D:$F,3,false)</f>
        <v>ShieldedProtonGyromagneticRatioOver2Pi</v>
      </c>
      <c r="G313" s="43" t="str">
        <f t="shared" si="1"/>
        <v>42.57638474</v>
      </c>
      <c r="H313" s="43">
        <f t="shared" si="2"/>
        <v>42.57638474</v>
      </c>
      <c r="I313" s="43" t="str">
        <f t="shared" si="3"/>
        <v>0.00000046</v>
      </c>
      <c r="J313" s="44">
        <f t="shared" si="4"/>
        <v>0.00000046</v>
      </c>
      <c r="K313" s="43" t="b">
        <f t="shared" si="5"/>
        <v>0</v>
      </c>
      <c r="L313" s="21" t="str">
        <f>IFERROR(__xludf.DUMMYFUNCTION("if(regexmatch(B313,""e(.*)$""),regexextract(B313,""e(.*)$""),"""")"),"")</f>
        <v/>
      </c>
      <c r="M313" s="45"/>
      <c r="N313" s="45">
        <f>countif(Constants!F:F,F313)</f>
        <v>1</v>
      </c>
      <c r="O313" s="21" t="str">
        <f>VLOOKUP($A313,Constants!$D:$D,1,false)</f>
        <v>shielded proton gyromag. ratio in MHz/T</v>
      </c>
    </row>
    <row r="314">
      <c r="A314" s="6" t="s">
        <v>2003</v>
      </c>
      <c r="B314" s="6" t="s">
        <v>3154</v>
      </c>
      <c r="C314" s="6" t="s">
        <v>3155</v>
      </c>
      <c r="D314" s="6" t="s">
        <v>714</v>
      </c>
      <c r="E314" s="42">
        <f>countif(Constants!F:F,F314)</f>
        <v>1</v>
      </c>
      <c r="F314" s="21" t="str">
        <f>VLOOKUP($A314,Constants!$D:$F,3,false)</f>
        <v>ShieldedProtonMagneticMoment</v>
      </c>
      <c r="G314" s="43" t="str">
        <f t="shared" si="1"/>
        <v>1.410570560e-26</v>
      </c>
      <c r="H314" s="43">
        <f t="shared" si="2"/>
        <v>0</v>
      </c>
      <c r="I314" s="43" t="str">
        <f t="shared" si="3"/>
        <v>0.000000015e-26</v>
      </c>
      <c r="J314" s="44">
        <f t="shared" si="4"/>
        <v>0</v>
      </c>
      <c r="K314" s="43" t="b">
        <f t="shared" si="5"/>
        <v>0</v>
      </c>
      <c r="L314" s="21" t="str">
        <f>IFERROR(__xludf.DUMMYFUNCTION("if(regexmatch(B314,""e(.*)$""),regexextract(B314,""e(.*)$""),"""")"),"-26")</f>
        <v>-26</v>
      </c>
      <c r="M314" s="45"/>
      <c r="N314" s="45">
        <f>countif(Constants!F:F,F314)</f>
        <v>1</v>
      </c>
      <c r="O314" s="21" t="str">
        <f>VLOOKUP($A314,Constants!$D:$D,1,false)</f>
        <v>shielded proton mag. mom.</v>
      </c>
    </row>
    <row r="315">
      <c r="A315" s="6" t="s">
        <v>2008</v>
      </c>
      <c r="B315" s="6" t="s">
        <v>3156</v>
      </c>
      <c r="C315" s="6" t="s">
        <v>3157</v>
      </c>
      <c r="E315" s="42">
        <f>countif(Constants!F:F,F315)</f>
        <v>1</v>
      </c>
      <c r="F315" s="21" t="str">
        <f>VLOOKUP($A315,Constants!$D:$F,3,false)</f>
        <v>ShieldedProtonMagneticMomentToBohrMagnetonRatio</v>
      </c>
      <c r="G315" s="43" t="str">
        <f t="shared" si="1"/>
        <v>1.520993128e-3</v>
      </c>
      <c r="H315" s="43">
        <f t="shared" si="2"/>
        <v>0.001520993128</v>
      </c>
      <c r="I315" s="43" t="str">
        <f t="shared" si="3"/>
        <v>0.000000017e-3</v>
      </c>
      <c r="J315" s="44">
        <f t="shared" si="4"/>
        <v>0</v>
      </c>
      <c r="K315" s="43" t="b">
        <f t="shared" si="5"/>
        <v>0</v>
      </c>
      <c r="L315" s="21" t="str">
        <f>IFERROR(__xludf.DUMMYFUNCTION("if(regexmatch(B315,""e(.*)$""),regexextract(B315,""e(.*)$""),"""")"),"-3")</f>
        <v>-3</v>
      </c>
      <c r="M315" s="45"/>
      <c r="N315" s="45">
        <f>countif(Constants!F:F,F315)</f>
        <v>1</v>
      </c>
      <c r="O315" s="21" t="str">
        <f>VLOOKUP($A315,Constants!$D:$D,1,false)</f>
        <v>shielded proton mag. mom. to Bohr magneton ratio</v>
      </c>
    </row>
    <row r="316">
      <c r="A316" s="6" t="s">
        <v>2013</v>
      </c>
      <c r="B316" s="6" t="s">
        <v>3158</v>
      </c>
      <c r="C316" s="6" t="s">
        <v>3159</v>
      </c>
      <c r="E316" s="42">
        <f>countif(Constants!F:F,F316)</f>
        <v>1</v>
      </c>
      <c r="F316" s="21" t="str">
        <f>VLOOKUP($A316,Constants!$D:$F,3,false)</f>
        <v>ShieldedProtonMagneticMomentToNuclearMagnetonRatio</v>
      </c>
      <c r="G316" s="43" t="str">
        <f t="shared" si="1"/>
        <v>2.792775599</v>
      </c>
      <c r="H316" s="43">
        <f t="shared" si="2"/>
        <v>2.792775599</v>
      </c>
      <c r="I316" s="43" t="str">
        <f t="shared" si="3"/>
        <v>0.000000030</v>
      </c>
      <c r="J316" s="44">
        <f t="shared" si="4"/>
        <v>0.00000003</v>
      </c>
      <c r="K316" s="43" t="b">
        <f t="shared" si="5"/>
        <v>0</v>
      </c>
      <c r="L316" s="21" t="str">
        <f>IFERROR(__xludf.DUMMYFUNCTION("if(regexmatch(B316,""e(.*)$""),regexextract(B316,""e(.*)$""),"""")"),"")</f>
        <v/>
      </c>
      <c r="M316" s="45"/>
      <c r="N316" s="45">
        <f>countif(Constants!F:F,F316)</f>
        <v>1</v>
      </c>
      <c r="O316" s="21" t="str">
        <f>VLOOKUP($A316,Constants!$D:$D,1,false)</f>
        <v>shielded proton mag. mom. to nuclear magneton ratio</v>
      </c>
    </row>
    <row r="317">
      <c r="A317" s="6" t="s">
        <v>2018</v>
      </c>
      <c r="B317" s="46" t="s">
        <v>3160</v>
      </c>
      <c r="C317" s="46" t="s">
        <v>3161</v>
      </c>
      <c r="E317" s="42">
        <f>countif(Constants!F:F,F317)</f>
        <v>1</v>
      </c>
      <c r="F317" s="21" t="str">
        <f>VLOOKUP($A317,Constants!$D:$F,3,false)</f>
        <v>ShieldingDifferenceOfDAndP</v>
      </c>
      <c r="G317" s="43" t="str">
        <f t="shared" si="1"/>
        <v>2.0200e-8</v>
      </c>
      <c r="H317" s="43">
        <f t="shared" si="2"/>
        <v>0.0000000202</v>
      </c>
      <c r="I317" s="43" t="str">
        <f t="shared" si="3"/>
        <v>0.0020e-8</v>
      </c>
      <c r="J317" s="44">
        <f t="shared" si="4"/>
        <v>0</v>
      </c>
      <c r="K317" s="43" t="b">
        <f t="shared" si="5"/>
        <v>0</v>
      </c>
      <c r="L317" s="21" t="str">
        <f>IFERROR(__xludf.DUMMYFUNCTION("if(regexmatch(B317,""e(.*)$""),regexextract(B317,""e(.*)$""),"""")"),"-8")</f>
        <v>-8</v>
      </c>
      <c r="M317" s="45"/>
      <c r="N317" s="45">
        <f>countif(Constants!F:F,F317)</f>
        <v>1</v>
      </c>
      <c r="O317" s="21" t="str">
        <f>VLOOKUP($A317,Constants!$D:$D,1,false)</f>
        <v>shielding difference of d and p in HD</v>
      </c>
    </row>
    <row r="318">
      <c r="A318" s="6" t="s">
        <v>2020</v>
      </c>
      <c r="B318" s="46" t="s">
        <v>3162</v>
      </c>
      <c r="C318" s="46" t="s">
        <v>3161</v>
      </c>
      <c r="E318" s="42">
        <f>countif(Constants!F:F,F318)</f>
        <v>1</v>
      </c>
      <c r="F318" s="21" t="str">
        <f>VLOOKUP($A318,Constants!$D:$F,3,false)</f>
        <v>ShieldingDifferenceOfTAndP</v>
      </c>
      <c r="G318" s="43" t="str">
        <f t="shared" si="1"/>
        <v>2.4140e-8</v>
      </c>
      <c r="H318" s="43">
        <f t="shared" si="2"/>
        <v>0.00000002414</v>
      </c>
      <c r="I318" s="43" t="str">
        <f t="shared" si="3"/>
        <v>0.0020e-8</v>
      </c>
      <c r="J318" s="44">
        <f t="shared" si="4"/>
        <v>0</v>
      </c>
      <c r="K318" s="43" t="b">
        <f t="shared" si="5"/>
        <v>0</v>
      </c>
      <c r="L318" s="21" t="str">
        <f>IFERROR(__xludf.DUMMYFUNCTION("if(regexmatch(B318,""e(.*)$""),regexextract(B318,""e(.*)$""),"""")"),"-8")</f>
        <v>-8</v>
      </c>
      <c r="M318" s="45"/>
      <c r="N318" s="45">
        <f>countif(Constants!F:F,F318)</f>
        <v>1</v>
      </c>
      <c r="O318" s="21" t="str">
        <f>VLOOKUP($A318,Constants!$D:$D,1,false)</f>
        <v>shielding difference of t and p in HT</v>
      </c>
    </row>
    <row r="319">
      <c r="A319" s="6" t="s">
        <v>2021</v>
      </c>
      <c r="B319" s="6" t="s">
        <v>2978</v>
      </c>
      <c r="C319" s="6" t="s">
        <v>2261</v>
      </c>
      <c r="D319" s="6" t="s">
        <v>754</v>
      </c>
      <c r="E319" s="42">
        <f>countif(Constants!F:F,F319)</f>
        <v>1</v>
      </c>
      <c r="F319" s="21" t="str">
        <f>VLOOKUP($A319,Constants!$D:$F,3,false)</f>
        <v>SpeedOfLight_Vacuum</v>
      </c>
      <c r="G319" s="43" t="str">
        <f t="shared" si="1"/>
        <v>299792458</v>
      </c>
      <c r="H319" s="43">
        <f t="shared" si="2"/>
        <v>299792458</v>
      </c>
      <c r="I319" s="43" t="str">
        <f t="shared" si="3"/>
        <v>(exact)</v>
      </c>
      <c r="J319" s="44" t="str">
        <f t="shared" si="4"/>
        <v/>
      </c>
      <c r="K319" s="43" t="b">
        <f t="shared" si="5"/>
        <v>0</v>
      </c>
      <c r="L319" s="21" t="str">
        <f>IFERROR(__xludf.DUMMYFUNCTION("if(regexmatch(B319,""e(.*)$""),regexextract(B319,""e(.*)$""),"""")"),"")</f>
        <v/>
      </c>
      <c r="M319" s="45"/>
      <c r="N319" s="45">
        <f>countif(Constants!F:F,F319)</f>
        <v>1</v>
      </c>
      <c r="O319" s="21" t="str">
        <f>VLOOKUP($A319,Constants!$D:$D,1,false)</f>
        <v>speed of light in vacuum</v>
      </c>
    </row>
    <row r="320">
      <c r="A320" s="6" t="s">
        <v>2026</v>
      </c>
      <c r="B320" s="6" t="s">
        <v>3163</v>
      </c>
      <c r="C320" s="6" t="s">
        <v>2261</v>
      </c>
      <c r="D320" s="6" t="s">
        <v>2027</v>
      </c>
      <c r="E320" s="42">
        <f>countif(Constants!F:F,F320)</f>
        <v>1</v>
      </c>
      <c r="F320" s="21" t="str">
        <f>VLOOKUP($A320,Constants!$D:$F,3,false)</f>
        <v>StandardAccelerationOfGravity</v>
      </c>
      <c r="G320" s="43" t="str">
        <f t="shared" si="1"/>
        <v>9.80665</v>
      </c>
      <c r="H320" s="43">
        <f t="shared" si="2"/>
        <v>9.80665</v>
      </c>
      <c r="I320" s="43" t="str">
        <f t="shared" si="3"/>
        <v>(exact)</v>
      </c>
      <c r="J320" s="44" t="str">
        <f t="shared" si="4"/>
        <v/>
      </c>
      <c r="K320" s="43" t="b">
        <f t="shared" si="5"/>
        <v>0</v>
      </c>
      <c r="L320" s="21" t="str">
        <f>IFERROR(__xludf.DUMMYFUNCTION("if(regexmatch(B320,""e(.*)$""),regexextract(B320,""e(.*)$""),"""")"),"")</f>
        <v/>
      </c>
      <c r="M320" s="45"/>
      <c r="N320" s="45">
        <f>countif(Constants!F:F,F320)</f>
        <v>1</v>
      </c>
      <c r="O320" s="21" t="str">
        <f>VLOOKUP($A320,Constants!$D:$D,1,false)</f>
        <v>standard acceleration of gravity</v>
      </c>
    </row>
    <row r="321">
      <c r="A321" s="6" t="s">
        <v>2033</v>
      </c>
      <c r="B321" s="6" t="s">
        <v>3164</v>
      </c>
      <c r="C321" s="6" t="s">
        <v>2261</v>
      </c>
      <c r="D321" s="6" t="s">
        <v>2034</v>
      </c>
      <c r="E321" s="42">
        <f>countif(Constants!F:F,F321)</f>
        <v>1</v>
      </c>
      <c r="F321" s="21" t="str">
        <f>VLOOKUP($A321,Constants!$D:$F,3,false)</f>
        <v>StandardAtmosphere</v>
      </c>
      <c r="G321" s="43" t="str">
        <f t="shared" si="1"/>
        <v>101325</v>
      </c>
      <c r="H321" s="43">
        <f t="shared" si="2"/>
        <v>101325</v>
      </c>
      <c r="I321" s="43" t="str">
        <f t="shared" si="3"/>
        <v>(exact)</v>
      </c>
      <c r="J321" s="44" t="str">
        <f t="shared" si="4"/>
        <v/>
      </c>
      <c r="K321" s="43" t="b">
        <f t="shared" si="5"/>
        <v>0</v>
      </c>
      <c r="L321" s="21" t="str">
        <f>IFERROR(__xludf.DUMMYFUNCTION("if(regexmatch(B321,""e(.*)$""),regexextract(B321,""e(.*)$""),"""")"),"")</f>
        <v/>
      </c>
      <c r="M321" s="45"/>
      <c r="N321" s="45">
        <f>countif(Constants!F:F,F321)</f>
        <v>1</v>
      </c>
      <c r="O321" s="21" t="str">
        <f>VLOOKUP($A321,Constants!$D:$D,1,false)</f>
        <v>standard atmosphere</v>
      </c>
    </row>
    <row r="322">
      <c r="A322" s="6" t="s">
        <v>2039</v>
      </c>
      <c r="B322" s="6" t="s">
        <v>3165</v>
      </c>
      <c r="C322" s="6" t="s">
        <v>2261</v>
      </c>
      <c r="D322" s="6" t="s">
        <v>2034</v>
      </c>
      <c r="E322" s="42">
        <f>countif(Constants!F:F,F322)</f>
        <v>1</v>
      </c>
      <c r="F322" s="21" t="str">
        <f>VLOOKUP($A322,Constants!$D:$F,3,false)</f>
        <v>Standard-StatePressure</v>
      </c>
      <c r="G322" s="43" t="str">
        <f t="shared" si="1"/>
        <v>100000</v>
      </c>
      <c r="H322" s="43">
        <f t="shared" si="2"/>
        <v>100000</v>
      </c>
      <c r="I322" s="43" t="str">
        <f t="shared" si="3"/>
        <v>(exact)</v>
      </c>
      <c r="J322" s="44" t="str">
        <f t="shared" si="4"/>
        <v/>
      </c>
      <c r="K322" s="43" t="b">
        <f t="shared" si="5"/>
        <v>0</v>
      </c>
      <c r="L322" s="21" t="str">
        <f>IFERROR(__xludf.DUMMYFUNCTION("if(regexmatch(B322,""e(.*)$""),regexextract(B322,""e(.*)$""),"""")"),"")</f>
        <v/>
      </c>
      <c r="M322" s="45"/>
      <c r="N322" s="45">
        <f>countif(Constants!F:F,F322)</f>
        <v>1</v>
      </c>
      <c r="O322" s="21" t="str">
        <f>VLOOKUP($A322,Constants!$D:$D,1,false)</f>
        <v>standard-state pressure</v>
      </c>
    </row>
    <row r="323">
      <c r="A323" s="6" t="s">
        <v>2041</v>
      </c>
      <c r="B323" s="6" t="s">
        <v>3166</v>
      </c>
      <c r="C323" s="6" t="s">
        <v>2261</v>
      </c>
      <c r="D323" s="6" t="s">
        <v>2042</v>
      </c>
      <c r="E323" s="42">
        <f>countif(Constants!F:F,F323)</f>
        <v>1</v>
      </c>
      <c r="F323" s="21" t="str">
        <f>VLOOKUP($A323,Constants!$D:$F,3,false)</f>
        <v>StefanBoltzmannConstant</v>
      </c>
      <c r="G323" s="43" t="str">
        <f t="shared" si="1"/>
        <v>5.670374419e-8</v>
      </c>
      <c r="H323" s="43">
        <f t="shared" si="2"/>
        <v>0.00000005670374419</v>
      </c>
      <c r="I323" s="43" t="str">
        <f t="shared" si="3"/>
        <v>(exact)</v>
      </c>
      <c r="J323" s="44" t="str">
        <f t="shared" si="4"/>
        <v/>
      </c>
      <c r="K323" s="43" t="b">
        <f t="shared" si="5"/>
        <v>1</v>
      </c>
      <c r="L323" s="21" t="str">
        <f>IFERROR(__xludf.DUMMYFUNCTION("if(regexmatch(B323,""e(.*)$""),regexextract(B323,""e(.*)$""),"""")"),"-8")</f>
        <v>-8</v>
      </c>
      <c r="M323" s="45"/>
      <c r="N323" s="45">
        <f>countif(Constants!F:F,F323)</f>
        <v>1</v>
      </c>
      <c r="O323" s="21" t="str">
        <f>VLOOKUP($A323,Constants!$D:$D,1,false)</f>
        <v>Stefan-Boltzmann constant</v>
      </c>
    </row>
    <row r="324">
      <c r="A324" s="6" t="s">
        <v>2047</v>
      </c>
      <c r="B324" s="6" t="s">
        <v>3167</v>
      </c>
      <c r="C324" s="6" t="s">
        <v>2711</v>
      </c>
      <c r="D324" s="6" t="s">
        <v>571</v>
      </c>
      <c r="E324" s="42">
        <f>countif(Constants!F:F,F324)</f>
        <v>1</v>
      </c>
      <c r="F324" s="21" t="str">
        <f>VLOOKUP($A324,Constants!$D:$F,3,false)</f>
        <v>TauComptonWavelength</v>
      </c>
      <c r="G324" s="43" t="str">
        <f t="shared" si="1"/>
        <v>6.97771e-16</v>
      </c>
      <c r="H324" s="43">
        <f t="shared" si="2"/>
        <v>0</v>
      </c>
      <c r="I324" s="43" t="str">
        <f t="shared" si="3"/>
        <v>0.00047e-16</v>
      </c>
      <c r="J324" s="44">
        <f t="shared" si="4"/>
        <v>0</v>
      </c>
      <c r="K324" s="43" t="b">
        <f t="shared" si="5"/>
        <v>0</v>
      </c>
      <c r="L324" s="21" t="str">
        <f>IFERROR(__xludf.DUMMYFUNCTION("if(regexmatch(B324,""e(.*)$""),regexextract(B324,""e(.*)$""),"""")"),"-16")</f>
        <v>-16</v>
      </c>
      <c r="M324" s="45"/>
      <c r="N324" s="45">
        <f>countif(Constants!F:F,F324)</f>
        <v>1</v>
      </c>
      <c r="O324" s="21" t="str">
        <f>VLOOKUP($A324,Constants!$D:$D,1,false)</f>
        <v>tau Compton wavelength</v>
      </c>
    </row>
    <row r="325">
      <c r="A325" s="6" t="s">
        <v>2057</v>
      </c>
      <c r="B325" s="46" t="s">
        <v>3168</v>
      </c>
      <c r="C325" s="46" t="s">
        <v>2713</v>
      </c>
      <c r="E325" s="42">
        <f>countif(Constants!F:F,F325)</f>
        <v>1</v>
      </c>
      <c r="F325" s="21" t="str">
        <f>VLOOKUP($A325,Constants!$D:$F,3,false)</f>
        <v>TauElectronMassRatio</v>
      </c>
      <c r="G325" s="43" t="str">
        <f t="shared" si="1"/>
        <v>3477.23</v>
      </c>
      <c r="H325" s="43">
        <f t="shared" si="2"/>
        <v>3477.23</v>
      </c>
      <c r="I325" s="43" t="str">
        <f t="shared" si="3"/>
        <v>0.23</v>
      </c>
      <c r="J325" s="44">
        <f t="shared" si="4"/>
        <v>0.23</v>
      </c>
      <c r="K325" s="43" t="b">
        <f t="shared" si="5"/>
        <v>0</v>
      </c>
      <c r="L325" s="21" t="str">
        <f>IFERROR(__xludf.DUMMYFUNCTION("if(regexmatch(B325,""e(.*)$""),regexextract(B325,""e(.*)$""),"""")"),"")</f>
        <v/>
      </c>
      <c r="M325" s="45"/>
      <c r="N325" s="45">
        <f>countif(Constants!F:F,F325)</f>
        <v>1</v>
      </c>
      <c r="O325" s="21" t="str">
        <f>VLOOKUP($A325,Constants!$D:$D,1,false)</f>
        <v>tau-electron mass ratio</v>
      </c>
    </row>
    <row r="326">
      <c r="A326" s="6" t="s">
        <v>2071</v>
      </c>
      <c r="B326" s="46" t="s">
        <v>3169</v>
      </c>
      <c r="C326" s="46" t="s">
        <v>2715</v>
      </c>
      <c r="D326" s="6" t="s">
        <v>548</v>
      </c>
      <c r="E326" s="42">
        <f>countif(Constants!F:F,F326)</f>
        <v>1</v>
      </c>
      <c r="F326" s="21" t="str">
        <f>VLOOKUP($A326,Constants!$D:$F,3,false)</f>
        <v>TauMassEnergyEquivalentInMeV</v>
      </c>
      <c r="G326" s="43" t="str">
        <f t="shared" si="1"/>
        <v>1776.86</v>
      </c>
      <c r="H326" s="43">
        <f t="shared" si="2"/>
        <v>1776.86</v>
      </c>
      <c r="I326" s="43" t="str">
        <f t="shared" si="3"/>
        <v>0.12</v>
      </c>
      <c r="J326" s="44">
        <f t="shared" si="4"/>
        <v>0.12</v>
      </c>
      <c r="K326" s="43" t="b">
        <f t="shared" si="5"/>
        <v>0</v>
      </c>
      <c r="L326" s="21" t="str">
        <f>IFERROR(__xludf.DUMMYFUNCTION("if(regexmatch(B326,""e(.*)$""),regexextract(B326,""e(.*)$""),"""")"),"")</f>
        <v/>
      </c>
      <c r="M326" s="45"/>
      <c r="N326" s="45">
        <f>countif(Constants!F:F,F326)</f>
        <v>1</v>
      </c>
      <c r="O326" s="21" t="str">
        <f>VLOOKUP($A326,Constants!$D:$D,1,false)</f>
        <v>tau energy equivalent</v>
      </c>
    </row>
    <row r="327">
      <c r="A327" s="6" t="s">
        <v>2062</v>
      </c>
      <c r="B327" s="6" t="s">
        <v>3170</v>
      </c>
      <c r="C327" s="6" t="s">
        <v>2717</v>
      </c>
      <c r="D327" s="6" t="s">
        <v>538</v>
      </c>
      <c r="E327" s="42">
        <f>countif(Constants!F:F,F327)</f>
        <v>1</v>
      </c>
      <c r="F327" s="21" t="str">
        <f>VLOOKUP($A327,Constants!$D:$F,3,false)</f>
        <v>TauMass</v>
      </c>
      <c r="G327" s="43" t="str">
        <f t="shared" si="1"/>
        <v>3.16754e-27</v>
      </c>
      <c r="H327" s="43">
        <f t="shared" si="2"/>
        <v>0</v>
      </c>
      <c r="I327" s="43" t="str">
        <f t="shared" si="3"/>
        <v>0.00021e-27</v>
      </c>
      <c r="J327" s="44">
        <f t="shared" si="4"/>
        <v>0</v>
      </c>
      <c r="K327" s="43" t="b">
        <f t="shared" si="5"/>
        <v>0</v>
      </c>
      <c r="L327" s="21" t="str">
        <f>IFERROR(__xludf.DUMMYFUNCTION("if(regexmatch(B327,""e(.*)$""),regexextract(B327,""e(.*)$""),"""")"),"-27")</f>
        <v>-27</v>
      </c>
      <c r="M327" s="45"/>
      <c r="N327" s="45">
        <f>countif(Constants!F:F,F327)</f>
        <v>1</v>
      </c>
      <c r="O327" s="21" t="str">
        <f>VLOOKUP($A327,Constants!$D:$D,1,false)</f>
        <v>tau mass</v>
      </c>
    </row>
    <row r="328">
      <c r="A328" s="6" t="s">
        <v>2066</v>
      </c>
      <c r="B328" s="6" t="s">
        <v>3171</v>
      </c>
      <c r="C328" s="6" t="s">
        <v>2719</v>
      </c>
      <c r="D328" s="6" t="s">
        <v>543</v>
      </c>
      <c r="E328" s="42">
        <f>countif(Constants!F:F,F328)</f>
        <v>1</v>
      </c>
      <c r="F328" s="21" t="str">
        <f>VLOOKUP($A328,Constants!$D:$F,3,false)</f>
        <v>TauMassEnergyEquivalent</v>
      </c>
      <c r="G328" s="43" t="str">
        <f t="shared" si="1"/>
        <v>2.84684e-10</v>
      </c>
      <c r="H328" s="43">
        <f t="shared" si="2"/>
        <v>0.000000000284684</v>
      </c>
      <c r="I328" s="43" t="str">
        <f t="shared" si="3"/>
        <v>0.00019e-10</v>
      </c>
      <c r="J328" s="44">
        <f t="shared" si="4"/>
        <v>0</v>
      </c>
      <c r="K328" s="43" t="b">
        <f t="shared" si="5"/>
        <v>0</v>
      </c>
      <c r="L328" s="21" t="str">
        <f>IFERROR(__xludf.DUMMYFUNCTION("if(regexmatch(B328,""e(.*)$""),regexextract(B328,""e(.*)$""),"""")"),"-10")</f>
        <v>-10</v>
      </c>
      <c r="M328" s="45"/>
      <c r="N328" s="45">
        <f>countif(Constants!F:F,F328)</f>
        <v>1</v>
      </c>
      <c r="O328" s="21" t="str">
        <f>VLOOKUP($A328,Constants!$D:$D,1,false)</f>
        <v>tau mass energy equivalent</v>
      </c>
    </row>
    <row r="329">
      <c r="A329" s="6" t="s">
        <v>2074</v>
      </c>
      <c r="B329" s="6" t="s">
        <v>3172</v>
      </c>
      <c r="C329" s="6" t="s">
        <v>2721</v>
      </c>
      <c r="D329" s="6" t="s">
        <v>553</v>
      </c>
      <c r="E329" s="42">
        <f>countif(Constants!F:F,F329)</f>
        <v>1</v>
      </c>
      <c r="F329" s="21" t="str">
        <f>VLOOKUP($A329,Constants!$D:$F,3,false)</f>
        <v>TauMassInAtomicMassUnit</v>
      </c>
      <c r="G329" s="43" t="str">
        <f t="shared" si="1"/>
        <v>1.90754</v>
      </c>
      <c r="H329" s="43">
        <f t="shared" si="2"/>
        <v>1.90754</v>
      </c>
      <c r="I329" s="43" t="str">
        <f t="shared" si="3"/>
        <v>0.00013</v>
      </c>
      <c r="J329" s="44">
        <f t="shared" si="4"/>
        <v>0.00013</v>
      </c>
      <c r="K329" s="43" t="b">
        <f t="shared" si="5"/>
        <v>0</v>
      </c>
      <c r="L329" s="21" t="str">
        <f>IFERROR(__xludf.DUMMYFUNCTION("if(regexmatch(B329,""e(.*)$""),regexextract(B329,""e(.*)$""),"""")"),"")</f>
        <v/>
      </c>
      <c r="M329" s="45"/>
      <c r="N329" s="45">
        <f>countif(Constants!F:F,F329)</f>
        <v>1</v>
      </c>
      <c r="O329" s="21" t="str">
        <f>VLOOKUP($A329,Constants!$D:$D,1,false)</f>
        <v>tau mass in u</v>
      </c>
    </row>
    <row r="330">
      <c r="A330" s="6" t="s">
        <v>2077</v>
      </c>
      <c r="B330" s="6" t="s">
        <v>3173</v>
      </c>
      <c r="C330" s="6" t="s">
        <v>2723</v>
      </c>
      <c r="D330" s="6" t="s">
        <v>557</v>
      </c>
      <c r="E330" s="42">
        <f>countif(Constants!F:F,F330)</f>
        <v>1</v>
      </c>
      <c r="F330" s="21" t="str">
        <f>VLOOKUP($A330,Constants!$D:$F,3,false)</f>
        <v>TauMolarMass</v>
      </c>
      <c r="G330" s="43" t="str">
        <f t="shared" si="1"/>
        <v>1.90754e-3</v>
      </c>
      <c r="H330" s="43">
        <f t="shared" si="2"/>
        <v>0.00190754</v>
      </c>
      <c r="I330" s="43" t="str">
        <f t="shared" si="3"/>
        <v>0.00013e-3</v>
      </c>
      <c r="J330" s="44">
        <f t="shared" si="4"/>
        <v>0.00000013</v>
      </c>
      <c r="K330" s="43" t="b">
        <f t="shared" si="5"/>
        <v>0</v>
      </c>
      <c r="L330" s="21" t="str">
        <f>IFERROR(__xludf.DUMMYFUNCTION("if(regexmatch(B330,""e(.*)$""),regexextract(B330,""e(.*)$""),"""")"),"-3")</f>
        <v>-3</v>
      </c>
      <c r="M330" s="45"/>
      <c r="N330" s="45">
        <f>countif(Constants!F:F,F330)</f>
        <v>1</v>
      </c>
      <c r="O330" s="21" t="str">
        <f>VLOOKUP($A330,Constants!$D:$D,1,false)</f>
        <v>tau molar mass</v>
      </c>
    </row>
    <row r="331">
      <c r="A331" s="6" t="s">
        <v>2081</v>
      </c>
      <c r="B331" s="46" t="s">
        <v>3174</v>
      </c>
      <c r="C331" s="46" t="s">
        <v>2725</v>
      </c>
      <c r="E331" s="42">
        <f>countif(Constants!F:F,F331)</f>
        <v>1</v>
      </c>
      <c r="F331" s="21" t="str">
        <f>VLOOKUP($A331,Constants!$D:$F,3,false)</f>
        <v>TauMuonMassRatio</v>
      </c>
      <c r="G331" s="43" t="str">
        <f t="shared" si="1"/>
        <v>16.8170</v>
      </c>
      <c r="H331" s="43">
        <f t="shared" si="2"/>
        <v>16.817</v>
      </c>
      <c r="I331" s="43" t="str">
        <f t="shared" si="3"/>
        <v>0.0011</v>
      </c>
      <c r="J331" s="44">
        <f t="shared" si="4"/>
        <v>0.0011</v>
      </c>
      <c r="K331" s="43" t="b">
        <f t="shared" si="5"/>
        <v>0</v>
      </c>
      <c r="L331" s="21" t="str">
        <f>IFERROR(__xludf.DUMMYFUNCTION("if(regexmatch(B331,""e(.*)$""),regexextract(B331,""e(.*)$""),"""")"),"")</f>
        <v/>
      </c>
      <c r="M331" s="45"/>
      <c r="N331" s="45">
        <f>countif(Constants!F:F,F331)</f>
        <v>1</v>
      </c>
      <c r="O331" s="21" t="str">
        <f>VLOOKUP($A331,Constants!$D:$D,1,false)</f>
        <v>tau-muon mass ratio</v>
      </c>
    </row>
    <row r="332">
      <c r="A332" s="6" t="s">
        <v>2086</v>
      </c>
      <c r="B332" s="6" t="s">
        <v>3175</v>
      </c>
      <c r="C332" s="6" t="s">
        <v>2721</v>
      </c>
      <c r="E332" s="42">
        <f>countif(Constants!F:F,F332)</f>
        <v>1</v>
      </c>
      <c r="F332" s="21" t="str">
        <f>VLOOKUP($A332,Constants!$D:$F,3,false)</f>
        <v>TauNeutronMassRatio</v>
      </c>
      <c r="G332" s="43" t="str">
        <f t="shared" si="1"/>
        <v>1.89115</v>
      </c>
      <c r="H332" s="43">
        <f t="shared" si="2"/>
        <v>1.89115</v>
      </c>
      <c r="I332" s="43" t="str">
        <f t="shared" si="3"/>
        <v>0.00013</v>
      </c>
      <c r="J332" s="44">
        <f t="shared" si="4"/>
        <v>0.00013</v>
      </c>
      <c r="K332" s="43" t="b">
        <f t="shared" si="5"/>
        <v>0</v>
      </c>
      <c r="L332" s="21" t="str">
        <f>IFERROR(__xludf.DUMMYFUNCTION("if(regexmatch(B332,""e(.*)$""),regexextract(B332,""e(.*)$""),"""")"),"")</f>
        <v/>
      </c>
      <c r="M332" s="45"/>
      <c r="N332" s="45">
        <f>countif(Constants!F:F,F332)</f>
        <v>1</v>
      </c>
      <c r="O332" s="21" t="str">
        <f>VLOOKUP($A332,Constants!$D:$D,1,false)</f>
        <v>tau-neutron mass ratio</v>
      </c>
    </row>
    <row r="333">
      <c r="A333" s="6" t="s">
        <v>2091</v>
      </c>
      <c r="B333" s="6" t="s">
        <v>3176</v>
      </c>
      <c r="C333" s="6" t="s">
        <v>2721</v>
      </c>
      <c r="E333" s="42">
        <f>countif(Constants!F:F,F333)</f>
        <v>1</v>
      </c>
      <c r="F333" s="21" t="str">
        <f>VLOOKUP($A333,Constants!$D:$F,3,false)</f>
        <v>TauProtonMassRatio</v>
      </c>
      <c r="G333" s="43" t="str">
        <f t="shared" si="1"/>
        <v>1.89376</v>
      </c>
      <c r="H333" s="43">
        <f t="shared" si="2"/>
        <v>1.89376</v>
      </c>
      <c r="I333" s="43" t="str">
        <f t="shared" si="3"/>
        <v>0.00013</v>
      </c>
      <c r="J333" s="44">
        <f t="shared" si="4"/>
        <v>0.00013</v>
      </c>
      <c r="K333" s="43" t="b">
        <f t="shared" si="5"/>
        <v>0</v>
      </c>
      <c r="L333" s="21" t="str">
        <f>IFERROR(__xludf.DUMMYFUNCTION("if(regexmatch(B333,""e(.*)$""),regexextract(B333,""e(.*)$""),"""")"),"")</f>
        <v/>
      </c>
      <c r="M333" s="45"/>
      <c r="N333" s="45">
        <f>countif(Constants!F:F,F333)</f>
        <v>1</v>
      </c>
      <c r="O333" s="21" t="str">
        <f>VLOOKUP($A333,Constants!$D:$D,1,false)</f>
        <v>tau-proton mass ratio</v>
      </c>
    </row>
    <row r="334">
      <c r="A334" s="6" t="s">
        <v>2096</v>
      </c>
      <c r="B334" s="6" t="s">
        <v>3177</v>
      </c>
      <c r="C334" s="6" t="s">
        <v>3178</v>
      </c>
      <c r="D334" s="6" t="s">
        <v>2097</v>
      </c>
      <c r="E334" s="42">
        <f>countif(Constants!F:F,F334)</f>
        <v>1</v>
      </c>
      <c r="F334" s="21" t="str">
        <f>VLOOKUP($A334,Constants!$D:$F,3,false)</f>
        <v>ThomsonCrossSection</v>
      </c>
      <c r="G334" s="43" t="str">
        <f t="shared" si="1"/>
        <v>6.6524587321e-29</v>
      </c>
      <c r="H334" s="43">
        <f t="shared" si="2"/>
        <v>0</v>
      </c>
      <c r="I334" s="43" t="str">
        <f t="shared" si="3"/>
        <v>0.0000000060e-29</v>
      </c>
      <c r="J334" s="44">
        <f t="shared" si="4"/>
        <v>0</v>
      </c>
      <c r="K334" s="43" t="b">
        <f t="shared" si="5"/>
        <v>0</v>
      </c>
      <c r="L334" s="21" t="str">
        <f>IFERROR(__xludf.DUMMYFUNCTION("if(regexmatch(B334,""e(.*)$""),regexextract(B334,""e(.*)$""),"""")"),"-29")</f>
        <v>-29</v>
      </c>
      <c r="M334" s="45"/>
      <c r="N334" s="45">
        <f>countif(Constants!F:F,F334)</f>
        <v>1</v>
      </c>
      <c r="O334" s="21" t="str">
        <f>VLOOKUP($A334,Constants!$D:$D,1,false)</f>
        <v>Thomson cross section</v>
      </c>
    </row>
    <row r="335">
      <c r="A335" s="6" t="s">
        <v>2108</v>
      </c>
      <c r="B335" s="6" t="s">
        <v>3179</v>
      </c>
      <c r="C335" s="6" t="s">
        <v>3180</v>
      </c>
      <c r="E335" s="42">
        <f>countif(Constants!F:F,F335)</f>
        <v>1</v>
      </c>
      <c r="F335" s="21" t="str">
        <f>VLOOKUP($A335,Constants!$D:$F,3,false)</f>
        <v>TritonElectronMassRatio</v>
      </c>
      <c r="G335" s="43" t="str">
        <f t="shared" si="1"/>
        <v>5496.92153573</v>
      </c>
      <c r="H335" s="43">
        <f t="shared" si="2"/>
        <v>5496.921536</v>
      </c>
      <c r="I335" s="43" t="str">
        <f t="shared" si="3"/>
        <v>0.00000027</v>
      </c>
      <c r="J335" s="44">
        <f t="shared" si="4"/>
        <v>0.00000027</v>
      </c>
      <c r="K335" s="43" t="b">
        <f t="shared" si="5"/>
        <v>0</v>
      </c>
      <c r="L335" s="21" t="str">
        <f>IFERROR(__xludf.DUMMYFUNCTION("if(regexmatch(B335,""e(.*)$""),regexextract(B335,""e(.*)$""),"""")"),"")</f>
        <v/>
      </c>
      <c r="M335" s="45"/>
      <c r="N335" s="45">
        <f>countif(Constants!F:F,F335)</f>
        <v>1</v>
      </c>
      <c r="O335" s="21" t="str">
        <f>VLOOKUP($A335,Constants!$D:$D,1,false)</f>
        <v>triton-electron mass ratio</v>
      </c>
    </row>
    <row r="336">
      <c r="A336" s="6" t="s">
        <v>2113</v>
      </c>
      <c r="B336" s="6" t="s">
        <v>3181</v>
      </c>
      <c r="C336" s="6" t="s">
        <v>2733</v>
      </c>
      <c r="E336" s="42">
        <f>countif(Constants!F:F,F336)</f>
        <v>1</v>
      </c>
      <c r="F336" s="21" t="str">
        <f>VLOOKUP($A336,Constants!$D:$F,3,false)</f>
        <v>TritonGFactor</v>
      </c>
      <c r="G336" s="43" t="str">
        <f t="shared" si="1"/>
        <v>5.957924931</v>
      </c>
      <c r="H336" s="43">
        <f t="shared" si="2"/>
        <v>5.957924931</v>
      </c>
      <c r="I336" s="43" t="str">
        <f t="shared" si="3"/>
        <v>0.000000012</v>
      </c>
      <c r="J336" s="44">
        <f t="shared" si="4"/>
        <v>0.000000012</v>
      </c>
      <c r="K336" s="43" t="b">
        <f t="shared" si="5"/>
        <v>0</v>
      </c>
      <c r="L336" s="21" t="str">
        <f>IFERROR(__xludf.DUMMYFUNCTION("if(regexmatch(B336,""e(.*)$""),regexextract(B336,""e(.*)$""),"""")"),"")</f>
        <v/>
      </c>
      <c r="M336" s="45"/>
      <c r="N336" s="45">
        <f>countif(Constants!F:F,F336)</f>
        <v>1</v>
      </c>
      <c r="O336" s="21" t="str">
        <f>VLOOKUP($A336,Constants!$D:$D,1,false)</f>
        <v>triton g factor</v>
      </c>
    </row>
    <row r="337">
      <c r="A337" s="6" t="s">
        <v>2117</v>
      </c>
      <c r="B337" s="6" t="s">
        <v>3182</v>
      </c>
      <c r="C337" s="6" t="s">
        <v>2735</v>
      </c>
      <c r="D337" s="6" t="s">
        <v>714</v>
      </c>
      <c r="E337" s="42">
        <f>countif(Constants!F:F,F337)</f>
        <v>1</v>
      </c>
      <c r="F337" s="21" t="str">
        <f>VLOOKUP($A337,Constants!$D:$F,3,false)</f>
        <v>TritonMagneticMoment</v>
      </c>
      <c r="G337" s="43" t="str">
        <f t="shared" si="1"/>
        <v>1.5046095202e-26</v>
      </c>
      <c r="H337" s="43">
        <f t="shared" si="2"/>
        <v>0</v>
      </c>
      <c r="I337" s="43" t="str">
        <f t="shared" si="3"/>
        <v>0.0000000030e-26</v>
      </c>
      <c r="J337" s="44">
        <f t="shared" si="4"/>
        <v>0</v>
      </c>
      <c r="K337" s="43" t="b">
        <f t="shared" si="5"/>
        <v>0</v>
      </c>
      <c r="L337" s="21" t="str">
        <f>IFERROR(__xludf.DUMMYFUNCTION("if(regexmatch(B337,""e(.*)$""),regexextract(B337,""e(.*)$""),"""")"),"-26")</f>
        <v>-26</v>
      </c>
      <c r="M337" s="45"/>
      <c r="N337" s="45">
        <f>countif(Constants!F:F,F337)</f>
        <v>1</v>
      </c>
      <c r="O337" s="21" t="str">
        <f>VLOOKUP($A337,Constants!$D:$D,1,false)</f>
        <v>triton mag. mom.</v>
      </c>
    </row>
    <row r="338">
      <c r="A338" s="6" t="s">
        <v>2122</v>
      </c>
      <c r="B338" s="6" t="s">
        <v>3183</v>
      </c>
      <c r="C338" s="6" t="s">
        <v>2737</v>
      </c>
      <c r="E338" s="42">
        <f>countif(Constants!F:F,F338)</f>
        <v>1</v>
      </c>
      <c r="F338" s="21" t="str">
        <f>VLOOKUP($A338,Constants!$D:$F,3,false)</f>
        <v>TritonMagneticMomentToBohrMagnetonRatio</v>
      </c>
      <c r="G338" s="43" t="str">
        <f t="shared" si="1"/>
        <v>1.6223936651e-3</v>
      </c>
      <c r="H338" s="43">
        <f t="shared" si="2"/>
        <v>0.001622393665</v>
      </c>
      <c r="I338" s="43" t="str">
        <f t="shared" si="3"/>
        <v>0.0000000032e-3</v>
      </c>
      <c r="J338" s="44">
        <f t="shared" si="4"/>
        <v>0</v>
      </c>
      <c r="K338" s="43" t="b">
        <f t="shared" si="5"/>
        <v>0</v>
      </c>
      <c r="L338" s="21" t="str">
        <f>IFERROR(__xludf.DUMMYFUNCTION("if(regexmatch(B338,""e(.*)$""),regexextract(B338,""e(.*)$""),"""")"),"-3")</f>
        <v>-3</v>
      </c>
      <c r="M338" s="45"/>
      <c r="N338" s="45">
        <f>countif(Constants!F:F,F338)</f>
        <v>1</v>
      </c>
      <c r="O338" s="21" t="str">
        <f>VLOOKUP($A338,Constants!$D:$D,1,false)</f>
        <v>triton mag. mom. to Bohr magneton ratio</v>
      </c>
    </row>
    <row r="339">
      <c r="A339" s="6" t="s">
        <v>2127</v>
      </c>
      <c r="B339" s="6" t="s">
        <v>3184</v>
      </c>
      <c r="C339" s="6" t="s">
        <v>2739</v>
      </c>
      <c r="E339" s="42">
        <f>countif(Constants!F:F,F339)</f>
        <v>1</v>
      </c>
      <c r="F339" s="21" t="str">
        <f>VLOOKUP($A339,Constants!$D:$F,3,false)</f>
        <v>TritonMagneticMomentToNuclearMagnetonRatio</v>
      </c>
      <c r="G339" s="43" t="str">
        <f t="shared" si="1"/>
        <v>2.9789624656</v>
      </c>
      <c r="H339" s="43">
        <f t="shared" si="2"/>
        <v>2.978962466</v>
      </c>
      <c r="I339" s="43" t="str">
        <f t="shared" si="3"/>
        <v>0.0000000059</v>
      </c>
      <c r="J339" s="44">
        <f t="shared" si="4"/>
        <v>0.0000000059</v>
      </c>
      <c r="K339" s="43" t="b">
        <f t="shared" si="5"/>
        <v>0</v>
      </c>
      <c r="L339" s="21" t="str">
        <f>IFERROR(__xludf.DUMMYFUNCTION("if(regexmatch(B339,""e(.*)$""),regexextract(B339,""e(.*)$""),"""")"),"")</f>
        <v/>
      </c>
      <c r="M339" s="45"/>
      <c r="N339" s="45">
        <f>countif(Constants!F:F,F339)</f>
        <v>1</v>
      </c>
      <c r="O339" s="21" t="str">
        <f>VLOOKUP($A339,Constants!$D:$D,1,false)</f>
        <v>triton mag. mom. to nuclear magneton ratio</v>
      </c>
    </row>
    <row r="340">
      <c r="A340" s="6" t="s">
        <v>2132</v>
      </c>
      <c r="B340" s="6" t="s">
        <v>3185</v>
      </c>
      <c r="C340" s="6" t="s">
        <v>2950</v>
      </c>
      <c r="D340" s="6" t="s">
        <v>538</v>
      </c>
      <c r="E340" s="42">
        <f>countif(Constants!F:F,F340)</f>
        <v>1</v>
      </c>
      <c r="F340" s="21" t="str">
        <f>VLOOKUP($A340,Constants!$D:$F,3,false)</f>
        <v>TritonMass</v>
      </c>
      <c r="G340" s="43" t="str">
        <f t="shared" si="1"/>
        <v>5.0073567446e-27</v>
      </c>
      <c r="H340" s="43">
        <f t="shared" si="2"/>
        <v>0</v>
      </c>
      <c r="I340" s="43" t="str">
        <f t="shared" si="3"/>
        <v>0.0000000015e-27</v>
      </c>
      <c r="J340" s="44">
        <f t="shared" si="4"/>
        <v>0</v>
      </c>
      <c r="K340" s="43" t="b">
        <f t="shared" si="5"/>
        <v>0</v>
      </c>
      <c r="L340" s="21" t="str">
        <f>IFERROR(__xludf.DUMMYFUNCTION("if(regexmatch(B340,""e(.*)$""),regexextract(B340,""e(.*)$""),"""")"),"-27")</f>
        <v>-27</v>
      </c>
      <c r="M340" s="45"/>
      <c r="N340" s="45">
        <f>countif(Constants!F:F,F340)</f>
        <v>1</v>
      </c>
      <c r="O340" s="21" t="str">
        <f>VLOOKUP($A340,Constants!$D:$D,1,false)</f>
        <v>triton mass</v>
      </c>
    </row>
    <row r="341">
      <c r="A341" s="6" t="s">
        <v>2136</v>
      </c>
      <c r="B341" s="6" t="s">
        <v>3186</v>
      </c>
      <c r="C341" s="6" t="s">
        <v>2448</v>
      </c>
      <c r="D341" s="6" t="s">
        <v>543</v>
      </c>
      <c r="E341" s="42">
        <f>countif(Constants!F:F,F341)</f>
        <v>1</v>
      </c>
      <c r="F341" s="21" t="str">
        <f>VLOOKUP($A341,Constants!$D:$F,3,false)</f>
        <v>TritonMassEnergyEquivalent</v>
      </c>
      <c r="G341" s="43" t="str">
        <f t="shared" si="1"/>
        <v>4.5003878060e-10</v>
      </c>
      <c r="H341" s="43">
        <f t="shared" si="2"/>
        <v>0.0000000004500387806</v>
      </c>
      <c r="I341" s="43" t="str">
        <f t="shared" si="3"/>
        <v>0.0000000014e-10</v>
      </c>
      <c r="J341" s="44">
        <f t="shared" si="4"/>
        <v>0</v>
      </c>
      <c r="K341" s="43" t="b">
        <f t="shared" si="5"/>
        <v>0</v>
      </c>
      <c r="L341" s="21" t="str">
        <f>IFERROR(__xludf.DUMMYFUNCTION("if(regexmatch(B341,""e(.*)$""),regexextract(B341,""e(.*)$""),"""")"),"-10")</f>
        <v>-10</v>
      </c>
      <c r="M341" s="45"/>
      <c r="N341" s="45">
        <f>countif(Constants!F:F,F341)</f>
        <v>1</v>
      </c>
      <c r="O341" s="21" t="str">
        <f>VLOOKUP($A341,Constants!$D:$D,1,false)</f>
        <v>triton mass energy equivalent</v>
      </c>
    </row>
    <row r="342">
      <c r="A342" s="6" t="s">
        <v>2140</v>
      </c>
      <c r="B342" s="6" t="s">
        <v>3187</v>
      </c>
      <c r="C342" s="6" t="s">
        <v>2953</v>
      </c>
      <c r="D342" s="6" t="s">
        <v>548</v>
      </c>
      <c r="E342" s="42">
        <f>countif(Constants!F:F,F342)</f>
        <v>1</v>
      </c>
      <c r="F342" s="21" t="str">
        <f>VLOOKUP($A342,Constants!$D:$F,3,false)</f>
        <v>TritonMassEnergyEquivalentInMeV</v>
      </c>
      <c r="G342" s="43" t="str">
        <f t="shared" si="1"/>
        <v>2808.92113298</v>
      </c>
      <c r="H342" s="43">
        <f t="shared" si="2"/>
        <v>2808.921133</v>
      </c>
      <c r="I342" s="43" t="str">
        <f t="shared" si="3"/>
        <v>0.00000085</v>
      </c>
      <c r="J342" s="44">
        <f t="shared" si="4"/>
        <v>0.00000085</v>
      </c>
      <c r="K342" s="43" t="b">
        <f t="shared" si="5"/>
        <v>0</v>
      </c>
      <c r="L342" s="21" t="str">
        <f>IFERROR(__xludf.DUMMYFUNCTION("if(regexmatch(B342,""e(.*)$""),regexextract(B342,""e(.*)$""),"""")"),"")</f>
        <v/>
      </c>
      <c r="M342" s="45"/>
      <c r="N342" s="45">
        <f>countif(Constants!F:F,F342)</f>
        <v>1</v>
      </c>
      <c r="O342" s="21" t="str">
        <f>VLOOKUP($A342,Constants!$D:$D,1,false)</f>
        <v>triton mass energy equivalent in MeV</v>
      </c>
    </row>
    <row r="343">
      <c r="A343" s="6" t="s">
        <v>2143</v>
      </c>
      <c r="B343" s="6" t="s">
        <v>3188</v>
      </c>
      <c r="C343" s="6" t="s">
        <v>3189</v>
      </c>
      <c r="D343" s="6" t="s">
        <v>553</v>
      </c>
      <c r="E343" s="42">
        <f>countif(Constants!F:F,F343)</f>
        <v>1</v>
      </c>
      <c r="F343" s="21" t="str">
        <f>VLOOKUP($A343,Constants!$D:$F,3,false)</f>
        <v>TritonMassInAtomicMassUnit</v>
      </c>
      <c r="G343" s="43" t="str">
        <f t="shared" si="1"/>
        <v>3.01550071621</v>
      </c>
      <c r="H343" s="43">
        <f t="shared" si="2"/>
        <v>3.015500716</v>
      </c>
      <c r="I343" s="43" t="str">
        <f t="shared" si="3"/>
        <v>0.00000000012</v>
      </c>
      <c r="J343" s="44">
        <f t="shared" si="4"/>
        <v>0.00000000012</v>
      </c>
      <c r="K343" s="43" t="b">
        <f t="shared" si="5"/>
        <v>0</v>
      </c>
      <c r="L343" s="21" t="str">
        <f>IFERROR(__xludf.DUMMYFUNCTION("if(regexmatch(B343,""e(.*)$""),regexextract(B343,""e(.*)$""),"""")"),"")</f>
        <v/>
      </c>
      <c r="M343" s="45"/>
      <c r="N343" s="45">
        <f>countif(Constants!F:F,F343)</f>
        <v>1</v>
      </c>
      <c r="O343" s="21" t="str">
        <f>VLOOKUP($A343,Constants!$D:$D,1,false)</f>
        <v>triton mass in u</v>
      </c>
    </row>
    <row r="344">
      <c r="A344" s="6" t="s">
        <v>2146</v>
      </c>
      <c r="B344" s="6" t="s">
        <v>3190</v>
      </c>
      <c r="C344" s="6" t="s">
        <v>3191</v>
      </c>
      <c r="D344" s="6" t="s">
        <v>557</v>
      </c>
      <c r="E344" s="42">
        <f>countif(Constants!F:F,F344)</f>
        <v>1</v>
      </c>
      <c r="F344" s="21" t="str">
        <f>VLOOKUP($A344,Constants!$D:$F,3,false)</f>
        <v>TritonMolarMass</v>
      </c>
      <c r="G344" s="43" t="str">
        <f t="shared" si="1"/>
        <v>3.01550071517e-3</v>
      </c>
      <c r="H344" s="43">
        <f t="shared" si="2"/>
        <v>0.003015500715</v>
      </c>
      <c r="I344" s="43" t="str">
        <f t="shared" si="3"/>
        <v>0.00000000092e-3</v>
      </c>
      <c r="J344" s="44">
        <f t="shared" si="4"/>
        <v>0</v>
      </c>
      <c r="K344" s="43" t="b">
        <f t="shared" si="5"/>
        <v>0</v>
      </c>
      <c r="L344" s="21" t="str">
        <f>IFERROR(__xludf.DUMMYFUNCTION("if(regexmatch(B344,""e(.*)$""),regexextract(B344,""e(.*)$""),"""")"),"-3")</f>
        <v>-3</v>
      </c>
      <c r="M344" s="45"/>
      <c r="N344" s="45">
        <f>countif(Constants!F:F,F344)</f>
        <v>1</v>
      </c>
      <c r="O344" s="21" t="str">
        <f>VLOOKUP($A344,Constants!$D:$D,1,false)</f>
        <v>triton molar mass</v>
      </c>
    </row>
    <row r="345">
      <c r="A345" s="6" t="s">
        <v>2155</v>
      </c>
      <c r="B345" s="6" t="s">
        <v>3192</v>
      </c>
      <c r="C345" s="6" t="s">
        <v>2895</v>
      </c>
      <c r="E345" s="42">
        <f>countif(Constants!F:F,F345)</f>
        <v>1</v>
      </c>
      <c r="F345" s="21" t="str">
        <f>VLOOKUP($A345,Constants!$D:$F,3,false)</f>
        <v>TritonProtonMassRatio</v>
      </c>
      <c r="G345" s="43" t="str">
        <f t="shared" si="1"/>
        <v>2.99371703414</v>
      </c>
      <c r="H345" s="43">
        <f t="shared" si="2"/>
        <v>2.993717034</v>
      </c>
      <c r="I345" s="43" t="str">
        <f t="shared" si="3"/>
        <v>0.00000000015</v>
      </c>
      <c r="J345" s="44">
        <f t="shared" si="4"/>
        <v>0.00000000015</v>
      </c>
      <c r="K345" s="43" t="b">
        <f t="shared" si="5"/>
        <v>0</v>
      </c>
      <c r="L345" s="21" t="str">
        <f>IFERROR(__xludf.DUMMYFUNCTION("if(regexmatch(B345,""e(.*)$""),regexextract(B345,""e(.*)$""),"""")"),"")</f>
        <v/>
      </c>
      <c r="M345" s="45"/>
      <c r="N345" s="45">
        <f>countif(Constants!F:F,F345)</f>
        <v>1</v>
      </c>
      <c r="O345" s="21" t="str">
        <f>VLOOKUP($A345,Constants!$D:$D,1,false)</f>
        <v>triton-proton mass ratio</v>
      </c>
    </row>
    <row r="346">
      <c r="A346" s="6" t="s">
        <v>2160</v>
      </c>
      <c r="B346" s="6" t="s">
        <v>3188</v>
      </c>
      <c r="C346" s="6" t="s">
        <v>3189</v>
      </c>
      <c r="E346" s="42">
        <f>countif(Constants!F:F,F346)</f>
        <v>1</v>
      </c>
      <c r="F346" s="21" t="str">
        <f>VLOOKUP($A346,Constants!$D:$F,3,false)</f>
        <v>TritonRelativeAtomicMass</v>
      </c>
      <c r="G346" s="43" t="str">
        <f t="shared" si="1"/>
        <v>3.01550071621</v>
      </c>
      <c r="H346" s="43">
        <f t="shared" si="2"/>
        <v>3.015500716</v>
      </c>
      <c r="I346" s="43" t="str">
        <f t="shared" si="3"/>
        <v>0.00000000012</v>
      </c>
      <c r="J346" s="44">
        <f t="shared" si="4"/>
        <v>0.00000000012</v>
      </c>
      <c r="K346" s="43" t="b">
        <f t="shared" si="5"/>
        <v>0</v>
      </c>
      <c r="L346" s="21" t="str">
        <f>IFERROR(__xludf.DUMMYFUNCTION("if(regexmatch(B346,""e(.*)$""),regexextract(B346,""e(.*)$""),"""")"),"")</f>
        <v/>
      </c>
      <c r="M346" s="45"/>
      <c r="N346" s="45">
        <f>countif(Constants!F:F,F346)</f>
        <v>1</v>
      </c>
      <c r="O346" s="21" t="str">
        <f>VLOOKUP($A346,Constants!$D:$D,1,false)</f>
        <v>triton relative atomic mass</v>
      </c>
    </row>
    <row r="347">
      <c r="A347" s="6" t="s">
        <v>2163</v>
      </c>
      <c r="B347" s="6" t="s">
        <v>3193</v>
      </c>
      <c r="C347" s="6" t="s">
        <v>2748</v>
      </c>
      <c r="E347" s="42">
        <f>countif(Constants!F:F,F347)</f>
        <v>1</v>
      </c>
      <c r="F347" s="21" t="str">
        <f>VLOOKUP($A347,Constants!$D:$F,3,false)</f>
        <v>TritonProtonMagneticMomentRatio</v>
      </c>
      <c r="G347" s="43" t="str">
        <f t="shared" si="1"/>
        <v>1.0666399191</v>
      </c>
      <c r="H347" s="43">
        <f t="shared" si="2"/>
        <v>1.066639919</v>
      </c>
      <c r="I347" s="43" t="str">
        <f t="shared" si="3"/>
        <v>0.0000000021</v>
      </c>
      <c r="J347" s="44">
        <f t="shared" si="4"/>
        <v>0.0000000021</v>
      </c>
      <c r="K347" s="43" t="b">
        <f t="shared" si="5"/>
        <v>0</v>
      </c>
      <c r="L347" s="21" t="str">
        <f>IFERROR(__xludf.DUMMYFUNCTION("if(regexmatch(B347,""e(.*)$""),regexextract(B347,""e(.*)$""),"""")"),"")</f>
        <v/>
      </c>
      <c r="M347" s="45"/>
      <c r="N347" s="45">
        <f>countif(Constants!F:F,F347)</f>
        <v>1</v>
      </c>
      <c r="O347" s="21" t="str">
        <f>VLOOKUP($A347,Constants!$D:$D,1,false)</f>
        <v>triton to proton mag. mom. ratio</v>
      </c>
    </row>
    <row r="348">
      <c r="A348" s="6" t="s">
        <v>2168</v>
      </c>
      <c r="B348" s="6" t="s">
        <v>2772</v>
      </c>
      <c r="C348" s="6" t="s">
        <v>2773</v>
      </c>
      <c r="D348" s="6" t="s">
        <v>538</v>
      </c>
      <c r="E348" s="42">
        <f>countif(Constants!F:F,F348)</f>
        <v>1</v>
      </c>
      <c r="F348" s="21" t="str">
        <f>VLOOKUP($A348,Constants!$D:$F,3,false)</f>
        <v>UnifiedAtomicMassUnit</v>
      </c>
      <c r="G348" s="43" t="str">
        <f t="shared" si="1"/>
        <v>1.66053906660e-27</v>
      </c>
      <c r="H348" s="43">
        <f t="shared" si="2"/>
        <v>0</v>
      </c>
      <c r="I348" s="43" t="str">
        <f t="shared" si="3"/>
        <v>0.00000000050e-27</v>
      </c>
      <c r="J348" s="44">
        <f t="shared" si="4"/>
        <v>0</v>
      </c>
      <c r="K348" s="43" t="b">
        <f t="shared" si="5"/>
        <v>0</v>
      </c>
      <c r="L348" s="21" t="str">
        <f>IFERROR(__xludf.DUMMYFUNCTION("if(regexmatch(B348,""e(.*)$""),regexextract(B348,""e(.*)$""),"""")"),"-27")</f>
        <v>-27</v>
      </c>
      <c r="M348" s="45"/>
      <c r="N348" s="45">
        <f>countif(Constants!F:F,F348)</f>
        <v>1</v>
      </c>
      <c r="O348" s="21" t="str">
        <f>VLOOKUP($A348,Constants!$D:$D,1,false)</f>
        <v>unified atomic mass unit</v>
      </c>
    </row>
    <row r="349">
      <c r="A349" s="6" t="s">
        <v>2172</v>
      </c>
      <c r="B349" s="6" t="s">
        <v>3194</v>
      </c>
      <c r="C349" s="6" t="s">
        <v>3195</v>
      </c>
      <c r="D349" s="6" t="s">
        <v>743</v>
      </c>
      <c r="E349" s="42">
        <f>countif(Constants!F:F,F349)</f>
        <v>1</v>
      </c>
      <c r="F349" s="21" t="str">
        <f>VLOOKUP($A349,Constants!$D:$F,3,false)</f>
        <v>PermittivityOfVacuum</v>
      </c>
      <c r="G349" s="43" t="str">
        <f t="shared" si="1"/>
        <v>8.8541878128e-12</v>
      </c>
      <c r="H349" s="43">
        <f t="shared" si="2"/>
        <v>0</v>
      </c>
      <c r="I349" s="43" t="str">
        <f t="shared" si="3"/>
        <v>0.0000000013e-12</v>
      </c>
      <c r="J349" s="44">
        <f t="shared" si="4"/>
        <v>0</v>
      </c>
      <c r="K349" s="43" t="b">
        <f t="shared" si="5"/>
        <v>0</v>
      </c>
      <c r="L349" s="21" t="str">
        <f>IFERROR(__xludf.DUMMYFUNCTION("if(regexmatch(B349,""e(.*)$""),regexextract(B349,""e(.*)$""),"""")"),"-12")</f>
        <v>-12</v>
      </c>
      <c r="M349" s="45"/>
      <c r="N349" s="45">
        <f>countif(Constants!F:F,F349)</f>
        <v>1</v>
      </c>
      <c r="O349" s="21" t="str">
        <f>VLOOKUP($A349,Constants!$D:$D,1,false)</f>
        <v>vacuum electric permittivity</v>
      </c>
    </row>
    <row r="350">
      <c r="A350" s="6" t="s">
        <v>2181</v>
      </c>
      <c r="B350" s="6" t="s">
        <v>3196</v>
      </c>
      <c r="C350" s="6" t="s">
        <v>3197</v>
      </c>
      <c r="D350" s="6" t="s">
        <v>2182</v>
      </c>
      <c r="E350" s="42">
        <f>countif(Constants!F:F,F350)</f>
        <v>1</v>
      </c>
      <c r="F350" s="21" t="str">
        <f>VLOOKUP($A350,Constants!$D:$F,3,false)</f>
        <v>ElectromagneticPermeabilityOfVacuum</v>
      </c>
      <c r="G350" s="43" t="str">
        <f t="shared" si="1"/>
        <v>1.25663706212e-6</v>
      </c>
      <c r="H350" s="43">
        <f t="shared" si="2"/>
        <v>0.000001256637062</v>
      </c>
      <c r="I350" s="43" t="str">
        <f t="shared" si="3"/>
        <v>0.00000000019e-6</v>
      </c>
      <c r="J350" s="44">
        <f t="shared" si="4"/>
        <v>0</v>
      </c>
      <c r="K350" s="43" t="b">
        <f t="shared" si="5"/>
        <v>0</v>
      </c>
      <c r="L350" s="21" t="str">
        <f>IFERROR(__xludf.DUMMYFUNCTION("if(regexmatch(B350,""e(.*)$""),regexextract(B350,""e(.*)$""),"""")"),"-6")</f>
        <v>-6</v>
      </c>
      <c r="M350" s="45"/>
      <c r="N350" s="45">
        <f>countif(Constants!F:F,F350)</f>
        <v>1</v>
      </c>
      <c r="O350" s="21" t="str">
        <f>VLOOKUP($A350,Constants!$D:$D,1,false)</f>
        <v>vacuum mag. permeability</v>
      </c>
    </row>
    <row r="351">
      <c r="A351" s="6" t="s">
        <v>2192</v>
      </c>
      <c r="B351" s="6" t="s">
        <v>3198</v>
      </c>
      <c r="C351" s="6" t="s">
        <v>2261</v>
      </c>
      <c r="D351" s="6" t="s">
        <v>814</v>
      </c>
      <c r="E351" s="42">
        <f>countif(Constants!F:F,F351)</f>
        <v>1</v>
      </c>
      <c r="F351" s="21" t="str">
        <f>VLOOKUP($A351,Constants!$D:$F,3,false)</f>
        <v>VonKlitzingConstant</v>
      </c>
      <c r="G351" s="43" t="str">
        <f t="shared" si="1"/>
        <v>25812.80745</v>
      </c>
      <c r="H351" s="43">
        <f t="shared" si="2"/>
        <v>25812.80745</v>
      </c>
      <c r="I351" s="43" t="str">
        <f t="shared" si="3"/>
        <v>(exact)</v>
      </c>
      <c r="J351" s="44" t="str">
        <f t="shared" si="4"/>
        <v/>
      </c>
      <c r="K351" s="43" t="b">
        <f t="shared" si="5"/>
        <v>1</v>
      </c>
      <c r="L351" s="21" t="str">
        <f>IFERROR(__xludf.DUMMYFUNCTION("if(regexmatch(B351,""e(.*)$""),regexextract(B351,""e(.*)$""),"""")"),"")</f>
        <v/>
      </c>
      <c r="M351" s="45"/>
      <c r="N351" s="45">
        <f>countif(Constants!F:F,F351)</f>
        <v>1</v>
      </c>
      <c r="O351" s="21" t="str">
        <f>VLOOKUP($A351,Constants!$D:$D,1,false)</f>
        <v>von Klitzing constant</v>
      </c>
    </row>
    <row r="352">
      <c r="A352" s="6" t="s">
        <v>2197</v>
      </c>
      <c r="B352" s="6" t="s">
        <v>3199</v>
      </c>
      <c r="C352" s="6" t="s">
        <v>3200</v>
      </c>
      <c r="E352" s="42">
        <f>countif(Constants!F:F,F352)</f>
        <v>1</v>
      </c>
      <c r="F352" s="21" t="str">
        <f>VLOOKUP($A352,Constants!$D:$F,3,false)</f>
        <v>WeakMixingAngle</v>
      </c>
      <c r="G352" s="43" t="str">
        <f t="shared" si="1"/>
        <v>0.22290</v>
      </c>
      <c r="H352" s="43">
        <f t="shared" si="2"/>
        <v>0.2229</v>
      </c>
      <c r="I352" s="43" t="str">
        <f t="shared" si="3"/>
        <v>0.00030</v>
      </c>
      <c r="J352" s="44">
        <f t="shared" si="4"/>
        <v>0.0003</v>
      </c>
      <c r="K352" s="43" t="b">
        <f t="shared" si="5"/>
        <v>0</v>
      </c>
      <c r="L352" s="21" t="str">
        <f>IFERROR(__xludf.DUMMYFUNCTION("if(regexmatch(B352,""e(.*)$""),regexextract(B352,""e(.*)$""),"""")"),"")</f>
        <v/>
      </c>
      <c r="M352" s="45"/>
      <c r="N352" s="45">
        <f>countif(Constants!F:F,F352)</f>
        <v>1</v>
      </c>
      <c r="O352" s="21" t="str">
        <f>VLOOKUP($A352,Constants!$D:$D,1,false)</f>
        <v>weak mixing angle</v>
      </c>
    </row>
    <row r="353">
      <c r="A353" s="6" t="s">
        <v>2200</v>
      </c>
      <c r="B353" s="6" t="s">
        <v>3201</v>
      </c>
      <c r="C353" s="6" t="s">
        <v>2261</v>
      </c>
      <c r="D353" s="6" t="s">
        <v>804</v>
      </c>
      <c r="E353" s="42">
        <f>countif(Constants!F:F,F353)</f>
        <v>1</v>
      </c>
      <c r="F353" s="21" t="str">
        <f>VLOOKUP($A353,Constants!$D:$F,3,false)</f>
        <v>WienFrequencyDisplacementLawConstant</v>
      </c>
      <c r="G353" s="43" t="str">
        <f t="shared" si="1"/>
        <v>5.878925757e10</v>
      </c>
      <c r="H353" s="43">
        <f t="shared" si="2"/>
        <v>58789257570</v>
      </c>
      <c r="I353" s="43" t="str">
        <f t="shared" si="3"/>
        <v>(exact)</v>
      </c>
      <c r="J353" s="44" t="str">
        <f t="shared" si="4"/>
        <v/>
      </c>
      <c r="K353" s="43" t="b">
        <f t="shared" si="5"/>
        <v>1</v>
      </c>
      <c r="L353" s="21" t="str">
        <f>IFERROR(__xludf.DUMMYFUNCTION("if(regexmatch(B353,""e(.*)$""),regexextract(B353,""e(.*)$""),"""")"),"10")</f>
        <v>10</v>
      </c>
      <c r="M353" s="45"/>
      <c r="N353" s="45">
        <f>countif(Constants!F:F,F353)</f>
        <v>1</v>
      </c>
      <c r="O353" s="21" t="str">
        <f>VLOOKUP($A353,Constants!$D:$D,1,false)</f>
        <v>Wien frequency displacement law constant</v>
      </c>
    </row>
    <row r="354">
      <c r="A354" s="6" t="s">
        <v>2204</v>
      </c>
      <c r="B354" s="6" t="s">
        <v>3202</v>
      </c>
      <c r="C354" s="6" t="s">
        <v>2261</v>
      </c>
      <c r="D354" s="6" t="s">
        <v>1955</v>
      </c>
      <c r="E354" s="42">
        <f>countif(Constants!F:F,F354)</f>
        <v>1</v>
      </c>
      <c r="F354" s="21" t="str">
        <f>VLOOKUP($A354,Constants!$D:$F,3,false)</f>
        <v>WienWavelengthDisplacementLawConstant</v>
      </c>
      <c r="G354" s="43" t="str">
        <f t="shared" si="1"/>
        <v>2.897771955e-3</v>
      </c>
      <c r="H354" s="43">
        <f t="shared" si="2"/>
        <v>0.002897771955</v>
      </c>
      <c r="I354" s="43" t="str">
        <f t="shared" si="3"/>
        <v>(exact)</v>
      </c>
      <c r="J354" s="44" t="str">
        <f t="shared" si="4"/>
        <v/>
      </c>
      <c r="K354" s="43" t="b">
        <f t="shared" si="5"/>
        <v>1</v>
      </c>
      <c r="L354" s="21" t="str">
        <f>IFERROR(__xludf.DUMMYFUNCTION("if(regexmatch(B354,""e(.*)$""),regexextract(B354,""e(.*)$""),"""")"),"-3")</f>
        <v>-3</v>
      </c>
      <c r="M354" s="45"/>
      <c r="N354" s="45">
        <f>countif(Constants!F:F,F354)</f>
        <v>1</v>
      </c>
      <c r="O354" s="21" t="str">
        <f>VLOOKUP($A354,Constants!$D:$D,1,false)</f>
        <v>Wien wavelength displacement law constant</v>
      </c>
    </row>
    <row r="355">
      <c r="A355" s="6" t="s">
        <v>2208</v>
      </c>
      <c r="B355" s="6" t="s">
        <v>3203</v>
      </c>
      <c r="C355" s="6" t="s">
        <v>3204</v>
      </c>
      <c r="E355" s="42">
        <f>countif(Constants!F:F,F355)</f>
        <v>1</v>
      </c>
      <c r="F355" s="21" t="str">
        <f>VLOOKUP($A355,Constants!$D:$F,3,false)</f>
        <v>WToZMassRatio</v>
      </c>
      <c r="G355" s="43" t="str">
        <f t="shared" si="1"/>
        <v>0.88153</v>
      </c>
      <c r="H355" s="43">
        <f t="shared" si="2"/>
        <v>0.88153</v>
      </c>
      <c r="I355" s="43" t="str">
        <f t="shared" si="3"/>
        <v>0.00017</v>
      </c>
      <c r="J355" s="44">
        <f t="shared" si="4"/>
        <v>0.00017</v>
      </c>
      <c r="K355" s="43" t="b">
        <f t="shared" si="5"/>
        <v>0</v>
      </c>
      <c r="L355" s="21" t="str">
        <f>IFERROR(__xludf.DUMMYFUNCTION("if(regexmatch(B355,""e(.*)$""),regexextract(B355,""e(.*)$""),"""")"),"")</f>
        <v/>
      </c>
      <c r="M355" s="45"/>
      <c r="N355" s="45">
        <f>countif(Constants!F:F,F355)</f>
        <v>1</v>
      </c>
      <c r="O355" s="21" t="str">
        <f>VLOOKUP($A355,Constants!$D:$D,1,false)</f>
        <v>W to Z mass ratio</v>
      </c>
    </row>
  </sheetData>
  <customSheetViews>
    <customSheetView guid="{9F4A137B-00B6-45B4-8D0E-73A50405CA74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3" priority="1" operator="equal">
      <formula>0</formula>
    </cfRule>
  </conditionalFormatting>
  <conditionalFormatting sqref="E2:E355">
    <cfRule type="cellIs" dxfId="0" priority="2" operator="notEqual">
      <formula>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6.63"/>
    <col customWidth="1" min="12" max="12" width="8.38"/>
    <col customWidth="1" min="13" max="14" width="8.88"/>
    <col customWidth="1" min="15" max="15" width="43.38"/>
  </cols>
  <sheetData>
    <row r="1">
      <c r="A1" s="10" t="s">
        <v>249</v>
      </c>
      <c r="B1" s="10" t="s">
        <v>2210</v>
      </c>
      <c r="C1" s="10" t="s">
        <v>2211</v>
      </c>
      <c r="D1" s="10" t="s">
        <v>2212</v>
      </c>
      <c r="E1" s="38" t="s">
        <v>2213</v>
      </c>
      <c r="F1" s="10" t="s">
        <v>0</v>
      </c>
      <c r="G1" s="39" t="s">
        <v>2214</v>
      </c>
      <c r="H1" s="39" t="s">
        <v>2215</v>
      </c>
      <c r="I1" s="39" t="s">
        <v>2216</v>
      </c>
      <c r="J1" s="39" t="s">
        <v>2217</v>
      </c>
      <c r="K1" s="39" t="s">
        <v>2218</v>
      </c>
      <c r="L1" s="39" t="s">
        <v>2219</v>
      </c>
      <c r="M1" s="41"/>
      <c r="N1" s="41" t="s">
        <v>2220</v>
      </c>
      <c r="O1" s="39" t="s">
        <v>2221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6" t="s">
        <v>3205</v>
      </c>
      <c r="B2" s="6" t="s">
        <v>3206</v>
      </c>
      <c r="C2" s="6" t="s">
        <v>3207</v>
      </c>
      <c r="D2" s="6" t="s">
        <v>571</v>
      </c>
      <c r="E2" s="42">
        <f>countif(Constants!F:F,F2)</f>
        <v>1</v>
      </c>
      <c r="F2" s="6" t="s">
        <v>380</v>
      </c>
      <c r="G2" s="43" t="str">
        <f t="shared" ref="G2:G336" si="1">SUBSTITUTE(SUBSTITUTE(B2," ",""),"...","")</f>
        <v>192.0155714e-12</v>
      </c>
      <c r="H2" s="43">
        <f t="shared" ref="H2:H336" si="2">value(G2)</f>
        <v>0.0000000001920155714</v>
      </c>
      <c r="I2" s="43" t="str">
        <f t="shared" ref="I2:I336" si="3">SUBSTITUTE(C2," ","")</f>
        <v>0.0000032e-12</v>
      </c>
      <c r="J2" s="43">
        <f t="shared" ref="J2:J336" si="4">if(I2="(exact)","",value(I2))</f>
        <v>0</v>
      </c>
      <c r="K2" s="43" t="b">
        <f t="shared" ref="K2:K336" si="5">ISNUMBER(search("...",B2))</f>
        <v>0</v>
      </c>
      <c r="L2" s="21" t="str">
        <f>IFERROR(__xludf.DUMMYFUNCTION("if(regexmatch(B2,""e(.*)$""),regexextract(B2,""e(.*)$""),"""")"),"-12")</f>
        <v>-12</v>
      </c>
      <c r="M2" s="45"/>
      <c r="N2" s="45">
        <f>countif(Constants!F:F,F2)</f>
        <v>1</v>
      </c>
      <c r="O2" s="21" t="str">
        <f>ifna(VLOOKUP(A2,Constants!D:D,1,false),"")</f>
        <v/>
      </c>
    </row>
    <row r="3">
      <c r="A3" s="6" t="s">
        <v>531</v>
      </c>
      <c r="B3" s="6" t="s">
        <v>3208</v>
      </c>
      <c r="C3" s="6" t="s">
        <v>2759</v>
      </c>
      <c r="E3" s="42">
        <f>countif(Constants!F:F,F3)</f>
        <v>1</v>
      </c>
      <c r="F3" s="21" t="str">
        <f>ifna(VLOOKUP($A3,Constants!$D:$F,3,false),"")</f>
        <v>AlphaParticleElectronMassRatio</v>
      </c>
      <c r="G3" s="43" t="str">
        <f t="shared" si="1"/>
        <v>7294.29954136</v>
      </c>
      <c r="H3" s="43">
        <f t="shared" si="2"/>
        <v>7294.299541</v>
      </c>
      <c r="I3" s="43" t="str">
        <f t="shared" si="3"/>
        <v>0.00000024</v>
      </c>
      <c r="J3" s="43">
        <f t="shared" si="4"/>
        <v>0.00000024</v>
      </c>
      <c r="K3" s="43" t="b">
        <f t="shared" si="5"/>
        <v>0</v>
      </c>
      <c r="L3" s="21" t="str">
        <f>IFERROR(__xludf.DUMMYFUNCTION("if(regexmatch(B3,""e(.*)$""),regexextract(B3,""e(.*)$""),"""")"),"")</f>
        <v/>
      </c>
      <c r="M3" s="45"/>
      <c r="N3" s="45">
        <f>countif(Constants!F:F,F3)</f>
        <v>1</v>
      </c>
      <c r="O3" s="21" t="str">
        <f>ifna(VLOOKUP(A3,Constants!D:D,1,false),"")</f>
        <v>alpha particle-electron mass ratio</v>
      </c>
    </row>
    <row r="4">
      <c r="A4" s="6" t="s">
        <v>537</v>
      </c>
      <c r="B4" s="6" t="s">
        <v>3209</v>
      </c>
      <c r="C4" s="6" t="s">
        <v>3210</v>
      </c>
      <c r="D4" s="6" t="s">
        <v>538</v>
      </c>
      <c r="E4" s="42">
        <f>countif(Constants!F:F,F4)</f>
        <v>1</v>
      </c>
      <c r="F4" s="21" t="str">
        <f>ifna(VLOOKUP($A4,Constants!$D:$F,3,false),"")</f>
        <v>AlphaParticleMass</v>
      </c>
      <c r="G4" s="43" t="str">
        <f t="shared" si="1"/>
        <v>6.644657230e-27</v>
      </c>
      <c r="H4" s="43">
        <f t="shared" si="2"/>
        <v>0</v>
      </c>
      <c r="I4" s="43" t="str">
        <f t="shared" si="3"/>
        <v>0.000000082e-27</v>
      </c>
      <c r="J4" s="43">
        <f t="shared" si="4"/>
        <v>0</v>
      </c>
      <c r="K4" s="43" t="b">
        <f t="shared" si="5"/>
        <v>0</v>
      </c>
      <c r="L4" s="21" t="str">
        <f>IFERROR(__xludf.DUMMYFUNCTION("if(regexmatch(B4,""e(.*)$""),regexextract(B4,""e(.*)$""),"""")"),"-27")</f>
        <v>-27</v>
      </c>
      <c r="M4" s="45"/>
      <c r="N4" s="45">
        <f>countif(Constants!F:F,F4)</f>
        <v>1</v>
      </c>
      <c r="O4" s="21" t="str">
        <f>ifna(VLOOKUP(A4,Constants!D:D,1,false),"")</f>
        <v>alpha particle mass</v>
      </c>
    </row>
    <row r="5">
      <c r="A5" s="6" t="s">
        <v>542</v>
      </c>
      <c r="B5" s="6" t="s">
        <v>3211</v>
      </c>
      <c r="C5" s="6" t="s">
        <v>3212</v>
      </c>
      <c r="D5" s="6" t="s">
        <v>543</v>
      </c>
      <c r="E5" s="42">
        <f>countif(Constants!F:F,F5)</f>
        <v>1</v>
      </c>
      <c r="F5" s="21" t="str">
        <f>ifna(VLOOKUP($A5,Constants!$D:$F,3,false),"")</f>
        <v>AlphaParticleMassEnergyEquivalent</v>
      </c>
      <c r="G5" s="43" t="str">
        <f t="shared" si="1"/>
        <v>5.971920097e-10</v>
      </c>
      <c r="H5" s="43">
        <f t="shared" si="2"/>
        <v>0.0000000005971920097</v>
      </c>
      <c r="I5" s="43" t="str">
        <f t="shared" si="3"/>
        <v>0.000000073e-10</v>
      </c>
      <c r="J5" s="43">
        <f t="shared" si="4"/>
        <v>0</v>
      </c>
      <c r="K5" s="43" t="b">
        <f t="shared" si="5"/>
        <v>0</v>
      </c>
      <c r="L5" s="21" t="str">
        <f>IFERROR(__xludf.DUMMYFUNCTION("if(regexmatch(B5,""e(.*)$""),regexextract(B5,""e(.*)$""),"""")"),"-10")</f>
        <v>-10</v>
      </c>
      <c r="M5" s="45"/>
      <c r="N5" s="45">
        <f>countif(Constants!F:F,F5)</f>
        <v>1</v>
      </c>
      <c r="O5" s="21" t="str">
        <f>ifna(VLOOKUP(A5,Constants!D:D,1,false),"")</f>
        <v>alpha particle mass energy equivalent</v>
      </c>
    </row>
    <row r="6">
      <c r="A6" s="6" t="s">
        <v>547</v>
      </c>
      <c r="B6" s="6" t="s">
        <v>3213</v>
      </c>
      <c r="C6" s="6" t="s">
        <v>3214</v>
      </c>
      <c r="D6" s="6" t="s">
        <v>548</v>
      </c>
      <c r="E6" s="42">
        <f>countif(Constants!F:F,F6)</f>
        <v>1</v>
      </c>
      <c r="F6" s="21" t="str">
        <f>ifna(VLOOKUP($A6,Constants!$D:$F,3,false),"")</f>
        <v>AlphaParticleMassEnergyEquivalentInMeV</v>
      </c>
      <c r="G6" s="43" t="str">
        <f t="shared" si="1"/>
        <v>3727.379378</v>
      </c>
      <c r="H6" s="43">
        <f t="shared" si="2"/>
        <v>3727.379378</v>
      </c>
      <c r="I6" s="43" t="str">
        <f t="shared" si="3"/>
        <v>0.000023</v>
      </c>
      <c r="J6" s="43">
        <f t="shared" si="4"/>
        <v>0.000023</v>
      </c>
      <c r="K6" s="43" t="b">
        <f t="shared" si="5"/>
        <v>0</v>
      </c>
      <c r="L6" s="21" t="str">
        <f>IFERROR(__xludf.DUMMYFUNCTION("if(regexmatch(B6,""e(.*)$""),regexextract(B6,""e(.*)$""),"""")"),"")</f>
        <v/>
      </c>
      <c r="M6" s="45"/>
      <c r="N6" s="45">
        <f>countif(Constants!F:F,F6)</f>
        <v>1</v>
      </c>
      <c r="O6" s="21" t="str">
        <f>ifna(VLOOKUP(A6,Constants!D:D,1,false),"")</f>
        <v>alpha particle mass energy equivalent in MeV</v>
      </c>
    </row>
    <row r="7">
      <c r="A7" s="6" t="s">
        <v>552</v>
      </c>
      <c r="B7" s="6" t="s">
        <v>2766</v>
      </c>
      <c r="C7" s="6" t="s">
        <v>2767</v>
      </c>
      <c r="D7" s="6" t="s">
        <v>553</v>
      </c>
      <c r="E7" s="42">
        <f>countif(Constants!F:F,F7)</f>
        <v>1</v>
      </c>
      <c r="F7" s="21" t="str">
        <f>ifna(VLOOKUP($A7,Constants!$D:$F,3,false),"")</f>
        <v>AlphaParticleMassInAtomicMassUnit</v>
      </c>
      <c r="G7" s="43" t="str">
        <f t="shared" si="1"/>
        <v>4.001506179127</v>
      </c>
      <c r="H7" s="43">
        <f t="shared" si="2"/>
        <v>4.001506179</v>
      </c>
      <c r="I7" s="43" t="str">
        <f t="shared" si="3"/>
        <v>0.000000000063</v>
      </c>
      <c r="J7" s="43">
        <f t="shared" si="4"/>
        <v>0</v>
      </c>
      <c r="K7" s="43" t="b">
        <f t="shared" si="5"/>
        <v>0</v>
      </c>
      <c r="L7" s="21" t="str">
        <f>IFERROR(__xludf.DUMMYFUNCTION("if(regexmatch(B7,""e(.*)$""),regexextract(B7,""e(.*)$""),"""")"),"")</f>
        <v/>
      </c>
      <c r="M7" s="45"/>
      <c r="N7" s="45">
        <f>countif(Constants!F:F,F7)</f>
        <v>1</v>
      </c>
      <c r="O7" s="21" t="str">
        <f>ifna(VLOOKUP(A7,Constants!D:D,1,false),"")</f>
        <v>alpha particle mass in u</v>
      </c>
    </row>
    <row r="8">
      <c r="A8" s="6" t="s">
        <v>556</v>
      </c>
      <c r="B8" s="6" t="s">
        <v>3215</v>
      </c>
      <c r="C8" s="6" t="s">
        <v>3216</v>
      </c>
      <c r="D8" s="6" t="s">
        <v>557</v>
      </c>
      <c r="E8" s="42">
        <f>countif(Constants!F:F,F8)</f>
        <v>1</v>
      </c>
      <c r="F8" s="21" t="str">
        <f>ifna(VLOOKUP($A8,Constants!$D:$F,3,false),"")</f>
        <v>AlphaParticleMolarMass</v>
      </c>
      <c r="G8" s="43" t="str">
        <f t="shared" si="1"/>
        <v>4.001506179127e-3</v>
      </c>
      <c r="H8" s="43">
        <f t="shared" si="2"/>
        <v>0.004001506179</v>
      </c>
      <c r="I8" s="43" t="str">
        <f t="shared" si="3"/>
        <v>0.000000000063e-3</v>
      </c>
      <c r="J8" s="43">
        <f t="shared" si="4"/>
        <v>0</v>
      </c>
      <c r="K8" s="43" t="b">
        <f t="shared" si="5"/>
        <v>0</v>
      </c>
      <c r="L8" s="21" t="str">
        <f>IFERROR(__xludf.DUMMYFUNCTION("if(regexmatch(B8,""e(.*)$""),regexextract(B8,""e(.*)$""),"""")"),"-3")</f>
        <v>-3</v>
      </c>
      <c r="M8" s="45"/>
      <c r="N8" s="45">
        <f>countif(Constants!F:F,F8)</f>
        <v>1</v>
      </c>
      <c r="O8" s="21" t="str">
        <f>ifna(VLOOKUP(A8,Constants!D:D,1,false),"")</f>
        <v>alpha particle molar mass</v>
      </c>
    </row>
    <row r="9">
      <c r="A9" s="6" t="s">
        <v>562</v>
      </c>
      <c r="B9" s="6" t="s">
        <v>3217</v>
      </c>
      <c r="C9" s="6" t="s">
        <v>3218</v>
      </c>
      <c r="E9" s="42">
        <f>countif(Constants!F:F,F9)</f>
        <v>1</v>
      </c>
      <c r="F9" s="21" t="str">
        <f>ifna(VLOOKUP($A9,Constants!$D:$F,3,false),"")</f>
        <v>AlphaParticleProtonMassRatio</v>
      </c>
      <c r="G9" s="43" t="str">
        <f t="shared" si="1"/>
        <v>3.97259968907</v>
      </c>
      <c r="H9" s="43">
        <f t="shared" si="2"/>
        <v>3.972599689</v>
      </c>
      <c r="I9" s="43" t="str">
        <f t="shared" si="3"/>
        <v>0.00000000036</v>
      </c>
      <c r="J9" s="43">
        <f t="shared" si="4"/>
        <v>0.00000000036</v>
      </c>
      <c r="K9" s="43" t="b">
        <f t="shared" si="5"/>
        <v>0</v>
      </c>
      <c r="L9" s="21" t="str">
        <f>IFERROR(__xludf.DUMMYFUNCTION("if(regexmatch(B9,""e(.*)$""),regexextract(B9,""e(.*)$""),"""")"),"")</f>
        <v/>
      </c>
      <c r="M9" s="45"/>
      <c r="N9" s="45">
        <f>countif(Constants!F:F,F9)</f>
        <v>1</v>
      </c>
      <c r="O9" s="21" t="str">
        <f>ifna(VLOOKUP(A9,Constants!D:D,1,false),"")</f>
        <v>alpha particle-proton mass ratio</v>
      </c>
    </row>
    <row r="10">
      <c r="A10" s="6" t="s">
        <v>573</v>
      </c>
      <c r="B10" s="6" t="s">
        <v>2771</v>
      </c>
      <c r="C10" s="6" t="s">
        <v>2239</v>
      </c>
      <c r="D10" s="6" t="s">
        <v>571</v>
      </c>
      <c r="E10" s="42">
        <f>countif(Constants!F:F,F10)</f>
        <v>1</v>
      </c>
      <c r="F10" s="21" t="str">
        <f>ifna(VLOOKUP($A10,Constants!$D:$F,3,false),"")</f>
        <v>AngstromStar</v>
      </c>
      <c r="G10" s="43" t="str">
        <f t="shared" si="1"/>
        <v>1.00001495e-10</v>
      </c>
      <c r="H10" s="43">
        <f t="shared" si="2"/>
        <v>0.000000000100001495</v>
      </c>
      <c r="I10" s="43" t="str">
        <f t="shared" si="3"/>
        <v>0.00000090e-10</v>
      </c>
      <c r="J10" s="43">
        <f t="shared" si="4"/>
        <v>0</v>
      </c>
      <c r="K10" s="43" t="b">
        <f t="shared" si="5"/>
        <v>0</v>
      </c>
      <c r="L10" s="21" t="str">
        <f>IFERROR(__xludf.DUMMYFUNCTION("if(regexmatch(B10,""e(.*)$""),regexextract(B10,""e(.*)$""),"""")"),"-10")</f>
        <v>-10</v>
      </c>
      <c r="M10" s="45"/>
      <c r="N10" s="45">
        <f>countif(Constants!F:F,F10)</f>
        <v>1</v>
      </c>
      <c r="O10" s="21" t="str">
        <f>ifna(VLOOKUP(A10,Constants!D:D,1,false),"")</f>
        <v>Angstrom star</v>
      </c>
    </row>
    <row r="11">
      <c r="A11" s="6" t="s">
        <v>575</v>
      </c>
      <c r="B11" s="6" t="s">
        <v>3219</v>
      </c>
      <c r="C11" s="6" t="s">
        <v>3220</v>
      </c>
      <c r="D11" s="6" t="s">
        <v>538</v>
      </c>
      <c r="E11" s="42">
        <f>countif(Constants!F:F,F11)</f>
        <v>1</v>
      </c>
      <c r="F11" s="21" t="str">
        <f>ifna(VLOOKUP($A11,Constants!$D:$F,3,false),"")</f>
        <v>AtomicMassConstant</v>
      </c>
      <c r="G11" s="43" t="str">
        <f t="shared" si="1"/>
        <v>1.660539040e-27</v>
      </c>
      <c r="H11" s="43">
        <f t="shared" si="2"/>
        <v>0</v>
      </c>
      <c r="I11" s="43" t="str">
        <f t="shared" si="3"/>
        <v>0.000000020e-27</v>
      </c>
      <c r="J11" s="43">
        <f t="shared" si="4"/>
        <v>0</v>
      </c>
      <c r="K11" s="43" t="b">
        <f t="shared" si="5"/>
        <v>0</v>
      </c>
      <c r="L11" s="21" t="str">
        <f>IFERROR(__xludf.DUMMYFUNCTION("if(regexmatch(B11,""e(.*)$""),regexextract(B11,""e(.*)$""),"""")"),"-27")</f>
        <v>-27</v>
      </c>
      <c r="M11" s="45"/>
      <c r="N11" s="45">
        <f>countif(Constants!F:F,F11)</f>
        <v>1</v>
      </c>
      <c r="O11" s="21" t="str">
        <f>ifna(VLOOKUP(A11,Constants!D:D,1,false),"")</f>
        <v>atomic mass constant</v>
      </c>
    </row>
    <row r="12">
      <c r="A12" s="6" t="s">
        <v>579</v>
      </c>
      <c r="B12" s="6" t="s">
        <v>3221</v>
      </c>
      <c r="C12" s="6" t="s">
        <v>3222</v>
      </c>
      <c r="D12" s="6" t="s">
        <v>543</v>
      </c>
      <c r="E12" s="42">
        <f>countif(Constants!F:F,F12)</f>
        <v>1</v>
      </c>
      <c r="F12" s="21" t="str">
        <f>ifna(VLOOKUP($A12,Constants!$D:$F,3,false),"")</f>
        <v>AtomicMassConstantEnergyEquivalent</v>
      </c>
      <c r="G12" s="43" t="str">
        <f t="shared" si="1"/>
        <v>1.492418062e-10</v>
      </c>
      <c r="H12" s="43">
        <f t="shared" si="2"/>
        <v>0.0000000001492418062</v>
      </c>
      <c r="I12" s="43" t="str">
        <f t="shared" si="3"/>
        <v>0.000000018e-10</v>
      </c>
      <c r="J12" s="43">
        <f t="shared" si="4"/>
        <v>0</v>
      </c>
      <c r="K12" s="43" t="b">
        <f t="shared" si="5"/>
        <v>0</v>
      </c>
      <c r="L12" s="21" t="str">
        <f>IFERROR(__xludf.DUMMYFUNCTION("if(regexmatch(B12,""e(.*)$""),regexextract(B12,""e(.*)$""),"""")"),"-10")</f>
        <v>-10</v>
      </c>
      <c r="M12" s="45"/>
      <c r="N12" s="45">
        <f>countif(Constants!F:F,F12)</f>
        <v>1</v>
      </c>
      <c r="O12" s="21" t="str">
        <f>ifna(VLOOKUP(A12,Constants!D:D,1,false),"")</f>
        <v>atomic mass constant energy equivalent</v>
      </c>
    </row>
    <row r="13">
      <c r="A13" s="6" t="s">
        <v>583</v>
      </c>
      <c r="B13" s="6" t="s">
        <v>3223</v>
      </c>
      <c r="C13" s="6" t="s">
        <v>3224</v>
      </c>
      <c r="D13" s="6" t="s">
        <v>548</v>
      </c>
      <c r="E13" s="42">
        <f>countif(Constants!F:F,F13)</f>
        <v>1</v>
      </c>
      <c r="F13" s="21" t="str">
        <f>ifna(VLOOKUP($A13,Constants!$D:$F,3,false),"")</f>
        <v>AtomicMassConstantEnergyEquivalentInMeV</v>
      </c>
      <c r="G13" s="43" t="str">
        <f t="shared" si="1"/>
        <v>931.4940954</v>
      </c>
      <c r="H13" s="43">
        <f t="shared" si="2"/>
        <v>931.4940954</v>
      </c>
      <c r="I13" s="43" t="str">
        <f t="shared" si="3"/>
        <v>0.0000057</v>
      </c>
      <c r="J13" s="43">
        <f t="shared" si="4"/>
        <v>0.0000057</v>
      </c>
      <c r="K13" s="43" t="b">
        <f t="shared" si="5"/>
        <v>0</v>
      </c>
      <c r="L13" s="21" t="str">
        <f>IFERROR(__xludf.DUMMYFUNCTION("if(regexmatch(B13,""e(.*)$""),regexextract(B13,""e(.*)$""),"""")"),"")</f>
        <v/>
      </c>
      <c r="M13" s="45"/>
      <c r="N13" s="45">
        <f>countif(Constants!F:F,F13)</f>
        <v>1</v>
      </c>
      <c r="O13" s="21" t="str">
        <f>ifna(VLOOKUP(A13,Constants!D:D,1,false),"")</f>
        <v>atomic mass constant energy equivalent in MeV</v>
      </c>
    </row>
    <row r="14">
      <c r="A14" s="6" t="s">
        <v>587</v>
      </c>
      <c r="B14" s="6" t="s">
        <v>3225</v>
      </c>
      <c r="C14" s="6" t="s">
        <v>3226</v>
      </c>
      <c r="D14" s="6" t="s">
        <v>175</v>
      </c>
      <c r="E14" s="42">
        <f>countif(Constants!F:F,F14)</f>
        <v>1</v>
      </c>
      <c r="F14" s="21" t="str">
        <f>ifna(VLOOKUP($A14,Constants!$D:$F,3,false),"")</f>
        <v>AtomicMassUnitElectronVoltRelationship</v>
      </c>
      <c r="G14" s="43" t="str">
        <f t="shared" si="1"/>
        <v>931.4940954e6</v>
      </c>
      <c r="H14" s="43">
        <f t="shared" si="2"/>
        <v>931494095.4</v>
      </c>
      <c r="I14" s="43" t="str">
        <f t="shared" si="3"/>
        <v>0.0000057e6</v>
      </c>
      <c r="J14" s="43">
        <f t="shared" si="4"/>
        <v>5.7</v>
      </c>
      <c r="K14" s="43" t="b">
        <f t="shared" si="5"/>
        <v>0</v>
      </c>
      <c r="L14" s="21" t="str">
        <f>IFERROR(__xludf.DUMMYFUNCTION("if(regexmatch(B14,""e(.*)$""),regexextract(B14,""e(.*)$""),"""")"),"6")</f>
        <v>6</v>
      </c>
      <c r="M14" s="45"/>
      <c r="N14" s="45">
        <f>countif(Constants!F:F,F14)</f>
        <v>1</v>
      </c>
      <c r="O14" s="21" t="str">
        <f>ifna(VLOOKUP(A14,Constants!D:D,1,false),"")</f>
        <v>atomic mass unit-electron volt relationship</v>
      </c>
    </row>
    <row r="15">
      <c r="A15" s="6" t="s">
        <v>592</v>
      </c>
      <c r="B15" s="6" t="s">
        <v>3227</v>
      </c>
      <c r="C15" s="6" t="s">
        <v>3228</v>
      </c>
      <c r="D15" s="6" t="s">
        <v>593</v>
      </c>
      <c r="E15" s="42">
        <f>countif(Constants!F:F,F15)</f>
        <v>1</v>
      </c>
      <c r="F15" s="21" t="str">
        <f>ifna(VLOOKUP($A15,Constants!$D:$F,3,false),"")</f>
        <v>AtomicMassUnitHartreeRelationship</v>
      </c>
      <c r="G15" s="43" t="str">
        <f t="shared" si="1"/>
        <v>3.4231776902e7</v>
      </c>
      <c r="H15" s="43">
        <f t="shared" si="2"/>
        <v>34231776.9</v>
      </c>
      <c r="I15" s="43" t="str">
        <f t="shared" si="3"/>
        <v>0.0000000016e7</v>
      </c>
      <c r="J15" s="43">
        <f t="shared" si="4"/>
        <v>0.016</v>
      </c>
      <c r="K15" s="43" t="b">
        <f t="shared" si="5"/>
        <v>0</v>
      </c>
      <c r="L15" s="21" t="str">
        <f>IFERROR(__xludf.DUMMYFUNCTION("if(regexmatch(B15,""e(.*)$""),regexextract(B15,""e(.*)$""),"""")"),"7")</f>
        <v>7</v>
      </c>
      <c r="M15" s="45"/>
      <c r="N15" s="45">
        <f>countif(Constants!F:F,F15)</f>
        <v>1</v>
      </c>
      <c r="O15" s="21" t="str">
        <f>ifna(VLOOKUP(A15,Constants!D:D,1,false),"")</f>
        <v>atomic mass unit-hartree relationship</v>
      </c>
    </row>
    <row r="16">
      <c r="A16" s="6" t="s">
        <v>599</v>
      </c>
      <c r="B16" s="6" t="s">
        <v>3229</v>
      </c>
      <c r="C16" s="6" t="s">
        <v>3230</v>
      </c>
      <c r="D16" s="6" t="s">
        <v>600</v>
      </c>
      <c r="E16" s="42">
        <f>countif(Constants!F:F,F16)</f>
        <v>1</v>
      </c>
      <c r="F16" s="21" t="str">
        <f>ifna(VLOOKUP($A16,Constants!$D:$F,3,false),"")</f>
        <v>AtomicMassUnitHertzRelationship</v>
      </c>
      <c r="G16" s="43" t="str">
        <f t="shared" si="1"/>
        <v>2.2523427206e23</v>
      </c>
      <c r="H16" s="43">
        <f t="shared" si="2"/>
        <v>2.25234E+23</v>
      </c>
      <c r="I16" s="43" t="str">
        <f t="shared" si="3"/>
        <v>0.0000000010e23</v>
      </c>
      <c r="J16" s="43">
        <f t="shared" si="4"/>
        <v>100000000000000</v>
      </c>
      <c r="K16" s="43" t="b">
        <f t="shared" si="5"/>
        <v>0</v>
      </c>
      <c r="L16" s="21" t="str">
        <f>IFERROR(__xludf.DUMMYFUNCTION("if(regexmatch(B16,""e(.*)$""),regexextract(B16,""e(.*)$""),"""")"),"23")</f>
        <v>23</v>
      </c>
      <c r="M16" s="45"/>
      <c r="N16" s="45">
        <f>countif(Constants!F:F,F16)</f>
        <v>1</v>
      </c>
      <c r="O16" s="21" t="str">
        <f>ifna(VLOOKUP(A16,Constants!D:D,1,false),"")</f>
        <v>atomic mass unit-hertz relationship</v>
      </c>
    </row>
    <row r="17">
      <c r="A17" s="6" t="s">
        <v>605</v>
      </c>
      <c r="B17" s="6" t="s">
        <v>3231</v>
      </c>
      <c r="C17" s="6" t="s">
        <v>3232</v>
      </c>
      <c r="D17" s="6" t="s">
        <v>606</v>
      </c>
      <c r="E17" s="42">
        <f>countif(Constants!F:F,F17)</f>
        <v>1</v>
      </c>
      <c r="F17" s="21" t="str">
        <f>ifna(VLOOKUP($A17,Constants!$D:$F,3,false),"")</f>
        <v>AtomicMassUnitInverseMeterRelationship</v>
      </c>
      <c r="G17" s="43" t="str">
        <f t="shared" si="1"/>
        <v>7.5130066166e14</v>
      </c>
      <c r="H17" s="43">
        <f t="shared" si="2"/>
        <v>751300661660000</v>
      </c>
      <c r="I17" s="43" t="str">
        <f t="shared" si="3"/>
        <v>0.0000000034e14</v>
      </c>
      <c r="J17" s="43">
        <f t="shared" si="4"/>
        <v>340000</v>
      </c>
      <c r="K17" s="43" t="b">
        <f t="shared" si="5"/>
        <v>0</v>
      </c>
      <c r="L17" s="21" t="str">
        <f>IFERROR(__xludf.DUMMYFUNCTION("if(regexmatch(B17,""e(.*)$""),regexextract(B17,""e(.*)$""),"""")"),"14")</f>
        <v>14</v>
      </c>
      <c r="M17" s="45"/>
      <c r="N17" s="45">
        <f>countif(Constants!F:F,F17)</f>
        <v>1</v>
      </c>
      <c r="O17" s="21" t="str">
        <f>ifna(VLOOKUP(A17,Constants!D:D,1,false),"")</f>
        <v>atomic mass unit-inverse meter relationship</v>
      </c>
    </row>
    <row r="18">
      <c r="A18" s="6" t="s">
        <v>612</v>
      </c>
      <c r="B18" s="6" t="s">
        <v>3221</v>
      </c>
      <c r="C18" s="6" t="s">
        <v>3222</v>
      </c>
      <c r="D18" s="6" t="s">
        <v>543</v>
      </c>
      <c r="E18" s="42">
        <f>countif(Constants!F:F,F18)</f>
        <v>1</v>
      </c>
      <c r="F18" s="21" t="str">
        <f>ifna(VLOOKUP($A18,Constants!$D:$F,3,false),"")</f>
        <v>AtomicMassUnitJouleRelationship</v>
      </c>
      <c r="G18" s="43" t="str">
        <f t="shared" si="1"/>
        <v>1.492418062e-10</v>
      </c>
      <c r="H18" s="43">
        <f t="shared" si="2"/>
        <v>0.0000000001492418062</v>
      </c>
      <c r="I18" s="43" t="str">
        <f t="shared" si="3"/>
        <v>0.000000018e-10</v>
      </c>
      <c r="J18" s="43">
        <f t="shared" si="4"/>
        <v>0</v>
      </c>
      <c r="K18" s="43" t="b">
        <f t="shared" si="5"/>
        <v>0</v>
      </c>
      <c r="L18" s="21" t="str">
        <f>IFERROR(__xludf.DUMMYFUNCTION("if(regexmatch(B18,""e(.*)$""),regexextract(B18,""e(.*)$""),"""")"),"-10")</f>
        <v>-10</v>
      </c>
      <c r="M18" s="45"/>
      <c r="N18" s="45">
        <f>countif(Constants!F:F,F18)</f>
        <v>1</v>
      </c>
      <c r="O18" s="21" t="str">
        <f>ifna(VLOOKUP(A18,Constants!D:D,1,false),"")</f>
        <v>atomic mass unit-joule relationship</v>
      </c>
    </row>
    <row r="19">
      <c r="A19" s="6" t="s">
        <v>617</v>
      </c>
      <c r="B19" s="6" t="s">
        <v>3233</v>
      </c>
      <c r="C19" s="6" t="s">
        <v>3234</v>
      </c>
      <c r="D19" s="6" t="s">
        <v>618</v>
      </c>
      <c r="E19" s="42">
        <f>countif(Constants!F:F,F19)</f>
        <v>1</v>
      </c>
      <c r="F19" s="21" t="str">
        <f>ifna(VLOOKUP($A19,Constants!$D:$F,3,false),"")</f>
        <v>AtomicMassUnitKelvinRelationship</v>
      </c>
      <c r="G19" s="43" t="str">
        <f t="shared" si="1"/>
        <v>1.08095438e13</v>
      </c>
      <c r="H19" s="43">
        <f t="shared" si="2"/>
        <v>10809543800000</v>
      </c>
      <c r="I19" s="43" t="str">
        <f t="shared" si="3"/>
        <v>0.00000062e13</v>
      </c>
      <c r="J19" s="43">
        <f t="shared" si="4"/>
        <v>6200000</v>
      </c>
      <c r="K19" s="43" t="b">
        <f t="shared" si="5"/>
        <v>0</v>
      </c>
      <c r="L19" s="21" t="str">
        <f>IFERROR(__xludf.DUMMYFUNCTION("if(regexmatch(B19,""e(.*)$""),regexextract(B19,""e(.*)$""),"""")"),"13")</f>
        <v>13</v>
      </c>
      <c r="M19" s="45"/>
      <c r="N19" s="45">
        <f>countif(Constants!F:F,F19)</f>
        <v>1</v>
      </c>
      <c r="O19" s="21" t="str">
        <f>ifna(VLOOKUP(A19,Constants!D:D,1,false),"")</f>
        <v>atomic mass unit-kelvin relationship</v>
      </c>
    </row>
    <row r="20">
      <c r="A20" s="6" t="s">
        <v>623</v>
      </c>
      <c r="B20" s="6" t="s">
        <v>3219</v>
      </c>
      <c r="C20" s="6" t="s">
        <v>3220</v>
      </c>
      <c r="D20" s="6" t="s">
        <v>538</v>
      </c>
      <c r="E20" s="42">
        <f>countif(Constants!F:F,F20)</f>
        <v>1</v>
      </c>
      <c r="F20" s="21" t="str">
        <f>ifna(VLOOKUP($A20,Constants!$D:$F,3,false),"")</f>
        <v>AtomicMassUnitKilogramRelationship</v>
      </c>
      <c r="G20" s="43" t="str">
        <f t="shared" si="1"/>
        <v>1.660539040e-27</v>
      </c>
      <c r="H20" s="43">
        <f t="shared" si="2"/>
        <v>0</v>
      </c>
      <c r="I20" s="43" t="str">
        <f t="shared" si="3"/>
        <v>0.000000020e-27</v>
      </c>
      <c r="J20" s="43">
        <f t="shared" si="4"/>
        <v>0</v>
      </c>
      <c r="K20" s="43" t="b">
        <f t="shared" si="5"/>
        <v>0</v>
      </c>
      <c r="L20" s="21" t="str">
        <f>IFERROR(__xludf.DUMMYFUNCTION("if(regexmatch(B20,""e(.*)$""),regexextract(B20,""e(.*)$""),"""")"),"-27")</f>
        <v>-27</v>
      </c>
      <c r="M20" s="45"/>
      <c r="N20" s="45">
        <f>countif(Constants!F:F,F20)</f>
        <v>1</v>
      </c>
      <c r="O20" s="21" t="str">
        <f>ifna(VLOOKUP(A20,Constants!D:D,1,false),"")</f>
        <v>atomic mass unit-kilogram relationship</v>
      </c>
    </row>
    <row r="21">
      <c r="A21" s="6" t="s">
        <v>628</v>
      </c>
      <c r="B21" s="6" t="s">
        <v>3235</v>
      </c>
      <c r="C21" s="6" t="s">
        <v>3236</v>
      </c>
      <c r="D21" s="6" t="s">
        <v>629</v>
      </c>
      <c r="E21" s="42">
        <f>countif(Constants!F:F,F21)</f>
        <v>1</v>
      </c>
      <c r="F21" s="21" t="str">
        <f>ifna(VLOOKUP($A21,Constants!$D:$F,3,false),"")</f>
        <v>AtomicUnitOf1stHyperpolarizablity</v>
      </c>
      <c r="G21" s="43" t="str">
        <f t="shared" si="1"/>
        <v>3.206361329e-53</v>
      </c>
      <c r="H21" s="43">
        <f t="shared" si="2"/>
        <v>0</v>
      </c>
      <c r="I21" s="43" t="str">
        <f t="shared" si="3"/>
        <v>0.000000020e-53</v>
      </c>
      <c r="J21" s="43">
        <f t="shared" si="4"/>
        <v>0</v>
      </c>
      <c r="K21" s="43" t="b">
        <f t="shared" si="5"/>
        <v>0</v>
      </c>
      <c r="L21" s="21" t="str">
        <f>IFERROR(__xludf.DUMMYFUNCTION("if(regexmatch(B21,""e(.*)$""),regexextract(B21,""e(.*)$""),"""")"),"-53")</f>
        <v>-53</v>
      </c>
      <c r="M21" s="45"/>
      <c r="N21" s="45">
        <f>countif(Constants!F:F,F21)</f>
        <v>1</v>
      </c>
      <c r="O21" s="21" t="str">
        <f>ifna(VLOOKUP(A21,Constants!D:D,1,false),"")</f>
        <v>atomic unit of 1st hyperpolarizability</v>
      </c>
    </row>
    <row r="22">
      <c r="A22" s="6" t="s">
        <v>635</v>
      </c>
      <c r="B22" s="6" t="s">
        <v>3237</v>
      </c>
      <c r="C22" s="6" t="s">
        <v>3238</v>
      </c>
      <c r="D22" s="6" t="s">
        <v>636</v>
      </c>
      <c r="E22" s="42">
        <f>countif(Constants!F:F,F22)</f>
        <v>1</v>
      </c>
      <c r="F22" s="21" t="str">
        <f>ifna(VLOOKUP($A22,Constants!$D:$F,3,false),"")</f>
        <v>AtomicUnitOf2ndHyperpolarizablity</v>
      </c>
      <c r="G22" s="43" t="str">
        <f t="shared" si="1"/>
        <v>6.235380085e-65</v>
      </c>
      <c r="H22" s="43">
        <f t="shared" si="2"/>
        <v>0</v>
      </c>
      <c r="I22" s="43" t="str">
        <f t="shared" si="3"/>
        <v>0.000000077e-65</v>
      </c>
      <c r="J22" s="43">
        <f t="shared" si="4"/>
        <v>0</v>
      </c>
      <c r="K22" s="43" t="b">
        <f t="shared" si="5"/>
        <v>0</v>
      </c>
      <c r="L22" s="21" t="str">
        <f>IFERROR(__xludf.DUMMYFUNCTION("if(regexmatch(B22,""e(.*)$""),regexextract(B22,""e(.*)$""),"""")"),"-65")</f>
        <v>-65</v>
      </c>
      <c r="M22" s="45"/>
      <c r="N22" s="45">
        <f>countif(Constants!F:F,F22)</f>
        <v>1</v>
      </c>
      <c r="O22" s="21" t="str">
        <f>ifna(VLOOKUP(A22,Constants!D:D,1,false),"")</f>
        <v>atomic unit of 2nd hyperpolarizability</v>
      </c>
    </row>
    <row r="23">
      <c r="A23" s="6" t="s">
        <v>642</v>
      </c>
      <c r="B23" s="6" t="s">
        <v>3239</v>
      </c>
      <c r="C23" s="6" t="s">
        <v>3240</v>
      </c>
      <c r="D23" s="6" t="s">
        <v>643</v>
      </c>
      <c r="E23" s="42">
        <f>countif(Constants!F:F,F23)</f>
        <v>1</v>
      </c>
      <c r="F23" s="21" t="str">
        <f>ifna(VLOOKUP($A23,Constants!$D:$F,3,false),"")</f>
        <v>AtomicUnitOfAction</v>
      </c>
      <c r="G23" s="43" t="str">
        <f t="shared" si="1"/>
        <v>1.054571800e-34</v>
      </c>
      <c r="H23" s="43">
        <f t="shared" si="2"/>
        <v>0</v>
      </c>
      <c r="I23" s="43" t="str">
        <f t="shared" si="3"/>
        <v>0.000000013e-34</v>
      </c>
      <c r="J23" s="43">
        <f t="shared" si="4"/>
        <v>0</v>
      </c>
      <c r="K23" s="43" t="b">
        <f t="shared" si="5"/>
        <v>0</v>
      </c>
      <c r="L23" s="21" t="str">
        <f>IFERROR(__xludf.DUMMYFUNCTION("if(regexmatch(B23,""e(.*)$""),regexextract(B23,""e(.*)$""),"""")"),"-34")</f>
        <v>-34</v>
      </c>
      <c r="M23" s="45"/>
      <c r="N23" s="45">
        <f>countif(Constants!F:F,F23)</f>
        <v>1</v>
      </c>
      <c r="O23" s="21" t="str">
        <f>ifna(VLOOKUP(A23,Constants!D:D,1,false),"")</f>
        <v>atomic unit of action</v>
      </c>
    </row>
    <row r="24">
      <c r="A24" s="6" t="s">
        <v>648</v>
      </c>
      <c r="B24" s="6" t="s">
        <v>3241</v>
      </c>
      <c r="C24" s="6" t="s">
        <v>3242</v>
      </c>
      <c r="D24" s="6" t="s">
        <v>649</v>
      </c>
      <c r="E24" s="42">
        <f>countif(Constants!F:F,F24)</f>
        <v>1</v>
      </c>
      <c r="F24" s="21" t="str">
        <f>ifna(VLOOKUP($A24,Constants!$D:$F,3,false),"")</f>
        <v>AtomicUnitOfCharge</v>
      </c>
      <c r="G24" s="43" t="str">
        <f t="shared" si="1"/>
        <v>1.6021766208e-19</v>
      </c>
      <c r="H24" s="43">
        <f t="shared" si="2"/>
        <v>0</v>
      </c>
      <c r="I24" s="43" t="str">
        <f t="shared" si="3"/>
        <v>0.0000000098e-19</v>
      </c>
      <c r="J24" s="43">
        <f t="shared" si="4"/>
        <v>0</v>
      </c>
      <c r="K24" s="43" t="b">
        <f t="shared" si="5"/>
        <v>0</v>
      </c>
      <c r="L24" s="21" t="str">
        <f>IFERROR(__xludf.DUMMYFUNCTION("if(regexmatch(B24,""e(.*)$""),regexextract(B24,""e(.*)$""),"""")"),"-19")</f>
        <v>-19</v>
      </c>
      <c r="M24" s="45"/>
      <c r="N24" s="45">
        <f>countif(Constants!F:F,F24)</f>
        <v>1</v>
      </c>
      <c r="O24" s="21" t="str">
        <f>ifna(VLOOKUP(A24,Constants!D:D,1,false),"")</f>
        <v>atomic unit of charge</v>
      </c>
    </row>
    <row r="25">
      <c r="A25" s="6" t="s">
        <v>654</v>
      </c>
      <c r="B25" s="6" t="s">
        <v>3243</v>
      </c>
      <c r="C25" s="6" t="s">
        <v>3244</v>
      </c>
      <c r="D25" s="6" t="s">
        <v>655</v>
      </c>
      <c r="E25" s="42">
        <f>countif(Constants!F:F,F25)</f>
        <v>1</v>
      </c>
      <c r="F25" s="21" t="str">
        <f>ifna(VLOOKUP($A25,Constants!$D:$F,3,false),"")</f>
        <v>AtomicUnitOfChargeDensity</v>
      </c>
      <c r="G25" s="43" t="str">
        <f t="shared" si="1"/>
        <v>1.0812023770e12</v>
      </c>
      <c r="H25" s="43">
        <f t="shared" si="2"/>
        <v>1081202377000</v>
      </c>
      <c r="I25" s="43" t="str">
        <f t="shared" si="3"/>
        <v>0.0000000067e12</v>
      </c>
      <c r="J25" s="43">
        <f t="shared" si="4"/>
        <v>6700</v>
      </c>
      <c r="K25" s="43" t="b">
        <f t="shared" si="5"/>
        <v>0</v>
      </c>
      <c r="L25" s="21" t="str">
        <f>IFERROR(__xludf.DUMMYFUNCTION("if(regexmatch(B25,""e(.*)$""),regexextract(B25,""e(.*)$""),"""")"),"12")</f>
        <v>12</v>
      </c>
      <c r="M25" s="45"/>
      <c r="N25" s="45">
        <f>countif(Constants!F:F,F25)</f>
        <v>1</v>
      </c>
      <c r="O25" s="21" t="str">
        <f>ifna(VLOOKUP(A25,Constants!D:D,1,false),"")</f>
        <v>atomic unit of charge density</v>
      </c>
    </row>
    <row r="26">
      <c r="A26" s="6" t="s">
        <v>660</v>
      </c>
      <c r="B26" s="6" t="s">
        <v>3245</v>
      </c>
      <c r="C26" s="6" t="s">
        <v>3246</v>
      </c>
      <c r="D26" s="6" t="s">
        <v>661</v>
      </c>
      <c r="E26" s="42">
        <f>countif(Constants!F:F,F26)</f>
        <v>1</v>
      </c>
      <c r="F26" s="21" t="str">
        <f>ifna(VLOOKUP($A26,Constants!$D:$F,3,false),"")</f>
        <v>AtomicUnitOfCurrent</v>
      </c>
      <c r="G26" s="43" t="str">
        <f t="shared" si="1"/>
        <v>6.623618183e-3</v>
      </c>
      <c r="H26" s="43">
        <f t="shared" si="2"/>
        <v>0.006623618183</v>
      </c>
      <c r="I26" s="43" t="str">
        <f t="shared" si="3"/>
        <v>0.000000041e-3</v>
      </c>
      <c r="J26" s="43">
        <f t="shared" si="4"/>
        <v>0</v>
      </c>
      <c r="K26" s="43" t="b">
        <f t="shared" si="5"/>
        <v>0</v>
      </c>
      <c r="L26" s="21" t="str">
        <f>IFERROR(__xludf.DUMMYFUNCTION("if(regexmatch(B26,""e(.*)$""),regexextract(B26,""e(.*)$""),"""")"),"-3")</f>
        <v>-3</v>
      </c>
      <c r="M26" s="45"/>
      <c r="N26" s="45">
        <f>countif(Constants!F:F,F26)</f>
        <v>1</v>
      </c>
      <c r="O26" s="21" t="str">
        <f>ifna(VLOOKUP(A26,Constants!D:D,1,false),"")</f>
        <v>atomic unit of current</v>
      </c>
    </row>
    <row r="27">
      <c r="A27" s="6" t="s">
        <v>665</v>
      </c>
      <c r="B27" s="6" t="s">
        <v>3247</v>
      </c>
      <c r="C27" s="6" t="s">
        <v>3248</v>
      </c>
      <c r="D27" s="6" t="s">
        <v>666</v>
      </c>
      <c r="E27" s="42">
        <f>countif(Constants!F:F,F27)</f>
        <v>1</v>
      </c>
      <c r="F27" s="21" t="str">
        <f>ifna(VLOOKUP($A27,Constants!$D:$F,3,false),"")</f>
        <v>AtomicUnitOfElectricDipoleMoment</v>
      </c>
      <c r="G27" s="43" t="str">
        <f t="shared" si="1"/>
        <v>8.478353552e-30</v>
      </c>
      <c r="H27" s="43">
        <f t="shared" si="2"/>
        <v>0</v>
      </c>
      <c r="I27" s="43" t="str">
        <f t="shared" si="3"/>
        <v>0.000000052e-30</v>
      </c>
      <c r="J27" s="43">
        <f t="shared" si="4"/>
        <v>0</v>
      </c>
      <c r="K27" s="43" t="b">
        <f t="shared" si="5"/>
        <v>0</v>
      </c>
      <c r="L27" s="21" t="str">
        <f>IFERROR(__xludf.DUMMYFUNCTION("if(regexmatch(B27,""e(.*)$""),regexextract(B27,""e(.*)$""),"""")"),"-30")</f>
        <v>-30</v>
      </c>
      <c r="M27" s="45"/>
      <c r="N27" s="45">
        <f>countif(Constants!F:F,F27)</f>
        <v>1</v>
      </c>
      <c r="O27" s="21" t="str">
        <f>ifna(VLOOKUP(A27,Constants!D:D,1,false),"")</f>
        <v>atomic unit of electric dipole mom.</v>
      </c>
    </row>
    <row r="28">
      <c r="A28" s="6" t="s">
        <v>671</v>
      </c>
      <c r="B28" s="6" t="s">
        <v>3249</v>
      </c>
      <c r="C28" s="6" t="s">
        <v>3250</v>
      </c>
      <c r="D28" s="6" t="s">
        <v>672</v>
      </c>
      <c r="E28" s="42">
        <f>countif(Constants!F:F,F28)</f>
        <v>1</v>
      </c>
      <c r="F28" s="21" t="str">
        <f>ifna(VLOOKUP($A28,Constants!$D:$F,3,false),"")</f>
        <v>AtomicUnitOfElectricField</v>
      </c>
      <c r="G28" s="43" t="str">
        <f t="shared" si="1"/>
        <v>5.142206707e11</v>
      </c>
      <c r="H28" s="43">
        <f t="shared" si="2"/>
        <v>514220670700</v>
      </c>
      <c r="I28" s="43" t="str">
        <f t="shared" si="3"/>
        <v>0.000000032e11</v>
      </c>
      <c r="J28" s="43">
        <f t="shared" si="4"/>
        <v>3200</v>
      </c>
      <c r="K28" s="43" t="b">
        <f t="shared" si="5"/>
        <v>0</v>
      </c>
      <c r="L28" s="21" t="str">
        <f>IFERROR(__xludf.DUMMYFUNCTION("if(regexmatch(B28,""e(.*)$""),regexextract(B28,""e(.*)$""),"""")"),"11")</f>
        <v>11</v>
      </c>
      <c r="M28" s="45"/>
      <c r="N28" s="45">
        <f>countif(Constants!F:F,F28)</f>
        <v>1</v>
      </c>
      <c r="O28" s="21" t="str">
        <f>ifna(VLOOKUP(A28,Constants!D:D,1,false),"")</f>
        <v>atomic unit of electric field</v>
      </c>
    </row>
    <row r="29">
      <c r="A29" s="6" t="s">
        <v>677</v>
      </c>
      <c r="B29" s="6" t="s">
        <v>3251</v>
      </c>
      <c r="C29" s="6" t="s">
        <v>3252</v>
      </c>
      <c r="D29" s="6" t="s">
        <v>678</v>
      </c>
      <c r="E29" s="42">
        <f>countif(Constants!F:F,F29)</f>
        <v>1</v>
      </c>
      <c r="F29" s="21" t="str">
        <f>ifna(VLOOKUP($A29,Constants!$D:$F,3,false),"")</f>
        <v>AtomicUnitOfElectricFieldGradient</v>
      </c>
      <c r="G29" s="43" t="str">
        <f t="shared" si="1"/>
        <v>9.717362356e21</v>
      </c>
      <c r="H29" s="43">
        <f t="shared" si="2"/>
        <v>9.71736E+21</v>
      </c>
      <c r="I29" s="43" t="str">
        <f t="shared" si="3"/>
        <v>0.000000060e21</v>
      </c>
      <c r="J29" s="43">
        <f t="shared" si="4"/>
        <v>60000000000000</v>
      </c>
      <c r="K29" s="43" t="b">
        <f t="shared" si="5"/>
        <v>0</v>
      </c>
      <c r="L29" s="21" t="str">
        <f>IFERROR(__xludf.DUMMYFUNCTION("if(regexmatch(B29,""e(.*)$""),regexextract(B29,""e(.*)$""),"""")"),"21")</f>
        <v>21</v>
      </c>
      <c r="M29" s="45"/>
      <c r="N29" s="45">
        <f>countif(Constants!F:F,F29)</f>
        <v>1</v>
      </c>
      <c r="O29" s="21" t="str">
        <f>ifna(VLOOKUP(A29,Constants!D:D,1,false),"")</f>
        <v>atomic unit of electric field gradient</v>
      </c>
    </row>
    <row r="30">
      <c r="A30" s="6" t="s">
        <v>683</v>
      </c>
      <c r="B30" s="6" t="s">
        <v>3253</v>
      </c>
      <c r="C30" s="6" t="s">
        <v>3254</v>
      </c>
      <c r="D30" s="6" t="s">
        <v>684</v>
      </c>
      <c r="E30" s="42">
        <f>countif(Constants!F:F,F30)</f>
        <v>1</v>
      </c>
      <c r="F30" s="21" t="str">
        <f>ifna(VLOOKUP($A30,Constants!$D:$F,3,false),"")</f>
        <v>AtomicUnitOfElectricPolarizablity</v>
      </c>
      <c r="G30" s="43" t="str">
        <f t="shared" si="1"/>
        <v>1.6487772731e-41</v>
      </c>
      <c r="H30" s="43">
        <f t="shared" si="2"/>
        <v>0</v>
      </c>
      <c r="I30" s="43" t="str">
        <f t="shared" si="3"/>
        <v>0.0000000011e-41</v>
      </c>
      <c r="J30" s="43">
        <f t="shared" si="4"/>
        <v>0</v>
      </c>
      <c r="K30" s="43" t="b">
        <f t="shared" si="5"/>
        <v>0</v>
      </c>
      <c r="L30" s="21" t="str">
        <f>IFERROR(__xludf.DUMMYFUNCTION("if(regexmatch(B30,""e(.*)$""),regexextract(B30,""e(.*)$""),"""")"),"-41")</f>
        <v>-41</v>
      </c>
      <c r="M30" s="45"/>
      <c r="N30" s="45">
        <f>countif(Constants!F:F,F30)</f>
        <v>1</v>
      </c>
      <c r="O30" s="21" t="str">
        <f>ifna(VLOOKUP(A30,Constants!D:D,1,false),"")</f>
        <v>atomic unit of electric polarizability</v>
      </c>
    </row>
    <row r="31">
      <c r="A31" s="6" t="s">
        <v>689</v>
      </c>
      <c r="B31" s="6" t="s">
        <v>3255</v>
      </c>
      <c r="C31" s="6" t="s">
        <v>2223</v>
      </c>
      <c r="D31" s="6" t="s">
        <v>237</v>
      </c>
      <c r="E31" s="42">
        <f>countif(Constants!F:F,F31)</f>
        <v>1</v>
      </c>
      <c r="F31" s="21" t="str">
        <f>ifna(VLOOKUP($A31,Constants!$D:$F,3,false),"")</f>
        <v>AtomicUnitOfElectricPotential</v>
      </c>
      <c r="G31" s="43" t="str">
        <f t="shared" si="1"/>
        <v>27.21138602</v>
      </c>
      <c r="H31" s="43">
        <f t="shared" si="2"/>
        <v>27.21138602</v>
      </c>
      <c r="I31" s="43" t="str">
        <f t="shared" si="3"/>
        <v>0.00000017</v>
      </c>
      <c r="J31" s="43">
        <f t="shared" si="4"/>
        <v>0.00000017</v>
      </c>
      <c r="K31" s="43" t="b">
        <f t="shared" si="5"/>
        <v>0</v>
      </c>
      <c r="L31" s="21" t="str">
        <f>IFERROR(__xludf.DUMMYFUNCTION("if(regexmatch(B31,""e(.*)$""),regexextract(B31,""e(.*)$""),"""")"),"")</f>
        <v/>
      </c>
      <c r="M31" s="45"/>
      <c r="N31" s="45">
        <f>countif(Constants!F:F,F31)</f>
        <v>1</v>
      </c>
      <c r="O31" s="21" t="str">
        <f>ifna(VLOOKUP(A31,Constants!D:D,1,false),"")</f>
        <v>atomic unit of electric potential</v>
      </c>
    </row>
    <row r="32">
      <c r="A32" s="6" t="s">
        <v>693</v>
      </c>
      <c r="B32" s="6" t="s">
        <v>3256</v>
      </c>
      <c r="C32" s="6" t="s">
        <v>3257</v>
      </c>
      <c r="D32" s="6" t="s">
        <v>694</v>
      </c>
      <c r="E32" s="42">
        <f>countif(Constants!F:F,F32)</f>
        <v>1</v>
      </c>
      <c r="F32" s="21" t="str">
        <f>ifna(VLOOKUP($A32,Constants!$D:$F,3,false),"")</f>
        <v>AtomicUnitOfElectricQuadrupoleMoment</v>
      </c>
      <c r="G32" s="43" t="str">
        <f t="shared" si="1"/>
        <v>4.486551484e-40</v>
      </c>
      <c r="H32" s="43">
        <f t="shared" si="2"/>
        <v>0</v>
      </c>
      <c r="I32" s="43" t="str">
        <f t="shared" si="3"/>
        <v>0.000000028e-40</v>
      </c>
      <c r="J32" s="43">
        <f t="shared" si="4"/>
        <v>0</v>
      </c>
      <c r="K32" s="43" t="b">
        <f t="shared" si="5"/>
        <v>0</v>
      </c>
      <c r="L32" s="21" t="str">
        <f>IFERROR(__xludf.DUMMYFUNCTION("if(regexmatch(B32,""e(.*)$""),regexextract(B32,""e(.*)$""),"""")"),"-40")</f>
        <v>-40</v>
      </c>
      <c r="M32" s="45"/>
      <c r="N32" s="45">
        <f>countif(Constants!F:F,F32)</f>
        <v>1</v>
      </c>
      <c r="O32" s="21" t="str">
        <f>ifna(VLOOKUP(A32,Constants!D:D,1,false),"")</f>
        <v>atomic unit of electric quadrupole mom.</v>
      </c>
    </row>
    <row r="33">
      <c r="A33" s="6" t="s">
        <v>700</v>
      </c>
      <c r="B33" s="6" t="s">
        <v>3258</v>
      </c>
      <c r="C33" s="6" t="s">
        <v>3259</v>
      </c>
      <c r="D33" s="6" t="s">
        <v>543</v>
      </c>
      <c r="E33" s="42">
        <f>countif(Constants!F:F,F33)</f>
        <v>1</v>
      </c>
      <c r="F33" s="21" t="str">
        <f>ifna(VLOOKUP($A33,Constants!$D:$F,3,false),"")</f>
        <v>AtomicUnitOfEnergy</v>
      </c>
      <c r="G33" s="43" t="str">
        <f t="shared" si="1"/>
        <v>4.359744650e-18</v>
      </c>
      <c r="H33" s="43">
        <f t="shared" si="2"/>
        <v>0</v>
      </c>
      <c r="I33" s="43" t="str">
        <f t="shared" si="3"/>
        <v>0.000000054e-18</v>
      </c>
      <c r="J33" s="43">
        <f t="shared" si="4"/>
        <v>0</v>
      </c>
      <c r="K33" s="43" t="b">
        <f t="shared" si="5"/>
        <v>0</v>
      </c>
      <c r="L33" s="21" t="str">
        <f>IFERROR(__xludf.DUMMYFUNCTION("if(regexmatch(B33,""e(.*)$""),regexextract(B33,""e(.*)$""),"""")"),"-18")</f>
        <v>-18</v>
      </c>
      <c r="M33" s="45"/>
      <c r="N33" s="45">
        <f>countif(Constants!F:F,F33)</f>
        <v>1</v>
      </c>
      <c r="O33" s="21" t="str">
        <f>ifna(VLOOKUP(A33,Constants!D:D,1,false),"")</f>
        <v>atomic unit of energy</v>
      </c>
    </row>
    <row r="34">
      <c r="A34" s="6" t="s">
        <v>704</v>
      </c>
      <c r="B34" s="6" t="s">
        <v>3260</v>
      </c>
      <c r="C34" s="6" t="s">
        <v>3261</v>
      </c>
      <c r="D34" s="6" t="s">
        <v>705</v>
      </c>
      <c r="E34" s="42">
        <f>countif(Constants!F:F,F34)</f>
        <v>1</v>
      </c>
      <c r="F34" s="21" t="str">
        <f>ifna(VLOOKUP($A34,Constants!$D:$F,3,false),"")</f>
        <v>AtomicUnitOfForce</v>
      </c>
      <c r="G34" s="43" t="str">
        <f t="shared" si="1"/>
        <v>8.23872336e-8</v>
      </c>
      <c r="H34" s="43">
        <f t="shared" si="2"/>
        <v>0.0000000823872336</v>
      </c>
      <c r="I34" s="43" t="str">
        <f t="shared" si="3"/>
        <v>0.00000010e-8</v>
      </c>
      <c r="J34" s="43">
        <f t="shared" si="4"/>
        <v>0</v>
      </c>
      <c r="K34" s="43" t="b">
        <f t="shared" si="5"/>
        <v>0</v>
      </c>
      <c r="L34" s="21" t="str">
        <f>IFERROR(__xludf.DUMMYFUNCTION("if(regexmatch(B34,""e(.*)$""),regexextract(B34,""e(.*)$""),"""")"),"-8")</f>
        <v>-8</v>
      </c>
      <c r="M34" s="45"/>
      <c r="N34" s="45">
        <f>countif(Constants!F:F,F34)</f>
        <v>1</v>
      </c>
      <c r="O34" s="21" t="str">
        <f>ifna(VLOOKUP(A34,Constants!D:D,1,false),"")</f>
        <v>atomic unit of force</v>
      </c>
    </row>
    <row r="35">
      <c r="A35" s="6" t="s">
        <v>709</v>
      </c>
      <c r="B35" s="6" t="s">
        <v>3262</v>
      </c>
      <c r="C35" s="6" t="s">
        <v>3263</v>
      </c>
      <c r="D35" s="6" t="s">
        <v>571</v>
      </c>
      <c r="E35" s="42">
        <f>countif(Constants!F:F,F35)</f>
        <v>1</v>
      </c>
      <c r="F35" s="21" t="str">
        <f>ifna(VLOOKUP($A35,Constants!$D:$F,3,false),"")</f>
        <v>AtomicUnitOfLength</v>
      </c>
      <c r="G35" s="43" t="str">
        <f t="shared" si="1"/>
        <v>0.52917721067e-10</v>
      </c>
      <c r="H35" s="43">
        <f t="shared" si="2"/>
        <v>0</v>
      </c>
      <c r="I35" s="43" t="str">
        <f t="shared" si="3"/>
        <v>0.00000000012e-10</v>
      </c>
      <c r="J35" s="43">
        <f t="shared" si="4"/>
        <v>0</v>
      </c>
      <c r="K35" s="43" t="b">
        <f t="shared" si="5"/>
        <v>0</v>
      </c>
      <c r="L35" s="21" t="str">
        <f>IFERROR(__xludf.DUMMYFUNCTION("if(regexmatch(B35,""e(.*)$""),regexextract(B35,""e(.*)$""),"""")"),"-10")</f>
        <v>-10</v>
      </c>
      <c r="M35" s="45"/>
      <c r="N35" s="45">
        <f>countif(Constants!F:F,F35)</f>
        <v>1</v>
      </c>
      <c r="O35" s="21" t="str">
        <f>ifna(VLOOKUP(A35,Constants!D:D,1,false),"")</f>
        <v>atomic unit of length</v>
      </c>
    </row>
    <row r="36">
      <c r="A36" s="6" t="s">
        <v>713</v>
      </c>
      <c r="B36" s="6" t="s">
        <v>3264</v>
      </c>
      <c r="C36" s="6" t="s">
        <v>3265</v>
      </c>
      <c r="D36" s="6" t="s">
        <v>714</v>
      </c>
      <c r="E36" s="42">
        <f>countif(Constants!F:F,F36)</f>
        <v>1</v>
      </c>
      <c r="F36" s="21" t="str">
        <f>ifna(VLOOKUP($A36,Constants!$D:$F,3,false),"")</f>
        <v>AtomicUnitOfMagneticDipoleMoment</v>
      </c>
      <c r="G36" s="43" t="str">
        <f t="shared" si="1"/>
        <v>1.854801999e-23</v>
      </c>
      <c r="H36" s="43">
        <f t="shared" si="2"/>
        <v>0</v>
      </c>
      <c r="I36" s="43" t="str">
        <f t="shared" si="3"/>
        <v>0.000000011e-23</v>
      </c>
      <c r="J36" s="43">
        <f t="shared" si="4"/>
        <v>0</v>
      </c>
      <c r="K36" s="43" t="b">
        <f t="shared" si="5"/>
        <v>0</v>
      </c>
      <c r="L36" s="21" t="str">
        <f>IFERROR(__xludf.DUMMYFUNCTION("if(regexmatch(B36,""e(.*)$""),regexextract(B36,""e(.*)$""),"""")"),"-23")</f>
        <v>-23</v>
      </c>
      <c r="M36" s="45"/>
      <c r="N36" s="45">
        <f>countif(Constants!F:F,F36)</f>
        <v>1</v>
      </c>
      <c r="O36" s="21" t="str">
        <f>ifna(VLOOKUP(A36,Constants!D:D,1,false),"")</f>
        <v>atomic unit of mag. dipole mom.</v>
      </c>
    </row>
    <row r="37">
      <c r="A37" s="6" t="s">
        <v>720</v>
      </c>
      <c r="B37" s="6" t="s">
        <v>3266</v>
      </c>
      <c r="C37" s="6" t="s">
        <v>3267</v>
      </c>
      <c r="D37" s="6" t="s">
        <v>721</v>
      </c>
      <c r="E37" s="42">
        <f>countif(Constants!F:F,F37)</f>
        <v>1</v>
      </c>
      <c r="F37" s="21" t="str">
        <f>ifna(VLOOKUP($A37,Constants!$D:$F,3,false),"")</f>
        <v>AtomicUnitOfMagneticFluxDensity</v>
      </c>
      <c r="G37" s="43" t="str">
        <f t="shared" si="1"/>
        <v>2.350517550e5</v>
      </c>
      <c r="H37" s="43">
        <f t="shared" si="2"/>
        <v>235051.755</v>
      </c>
      <c r="I37" s="43" t="str">
        <f t="shared" si="3"/>
        <v>0.000000014e5</v>
      </c>
      <c r="J37" s="43">
        <f t="shared" si="4"/>
        <v>0.0014</v>
      </c>
      <c r="K37" s="43" t="b">
        <f t="shared" si="5"/>
        <v>0</v>
      </c>
      <c r="L37" s="21" t="str">
        <f>IFERROR(__xludf.DUMMYFUNCTION("if(regexmatch(B37,""e(.*)$""),regexextract(B37,""e(.*)$""),"""")"),"5")</f>
        <v>5</v>
      </c>
      <c r="M37" s="45"/>
      <c r="N37" s="45">
        <f>countif(Constants!F:F,F37)</f>
        <v>1</v>
      </c>
      <c r="O37" s="21" t="str">
        <f>ifna(VLOOKUP(A37,Constants!D:D,1,false),"")</f>
        <v>atomic unit of mag. flux density</v>
      </c>
    </row>
    <row r="38">
      <c r="A38" s="6" t="s">
        <v>725</v>
      </c>
      <c r="B38" s="6" t="s">
        <v>3268</v>
      </c>
      <c r="C38" s="6" t="s">
        <v>3269</v>
      </c>
      <c r="D38" s="6" t="s">
        <v>726</v>
      </c>
      <c r="E38" s="42">
        <f>countif(Constants!F:F,F38)</f>
        <v>1</v>
      </c>
      <c r="F38" s="21" t="str">
        <f>ifna(VLOOKUP($A38,Constants!$D:$F,3,false),"")</f>
        <v>AtomicUnitOfMagnetizability</v>
      </c>
      <c r="G38" s="43" t="str">
        <f t="shared" si="1"/>
        <v>7.8910365886e-29</v>
      </c>
      <c r="H38" s="43">
        <f t="shared" si="2"/>
        <v>0</v>
      </c>
      <c r="I38" s="43" t="str">
        <f t="shared" si="3"/>
        <v>0.0000000090e-29</v>
      </c>
      <c r="J38" s="43">
        <f t="shared" si="4"/>
        <v>0</v>
      </c>
      <c r="K38" s="43" t="b">
        <f t="shared" si="5"/>
        <v>0</v>
      </c>
      <c r="L38" s="21" t="str">
        <f>IFERROR(__xludf.DUMMYFUNCTION("if(regexmatch(B38,""e(.*)$""),regexextract(B38,""e(.*)$""),"""")"),"-29")</f>
        <v>-29</v>
      </c>
      <c r="M38" s="45"/>
      <c r="N38" s="45">
        <f>countif(Constants!F:F,F38)</f>
        <v>1</v>
      </c>
      <c r="O38" s="21" t="str">
        <f>ifna(VLOOKUP(A38,Constants!D:D,1,false),"")</f>
        <v>atomic unit of magnetizability</v>
      </c>
    </row>
    <row r="39">
      <c r="A39" s="6" t="s">
        <v>731</v>
      </c>
      <c r="B39" s="6" t="s">
        <v>3270</v>
      </c>
      <c r="C39" s="6" t="s">
        <v>3271</v>
      </c>
      <c r="D39" s="6" t="s">
        <v>538</v>
      </c>
      <c r="E39" s="42">
        <f>countif(Constants!F:F,F39)</f>
        <v>1</v>
      </c>
      <c r="F39" s="21" t="str">
        <f>ifna(VLOOKUP($A39,Constants!$D:$F,3,false),"")</f>
        <v>AtomicUnitOfMass</v>
      </c>
      <c r="G39" s="43" t="str">
        <f t="shared" si="1"/>
        <v>9.10938356e-31</v>
      </c>
      <c r="H39" s="43">
        <f t="shared" si="2"/>
        <v>0</v>
      </c>
      <c r="I39" s="43" t="str">
        <f t="shared" si="3"/>
        <v>0.00000011e-31</v>
      </c>
      <c r="J39" s="43">
        <f t="shared" si="4"/>
        <v>0</v>
      </c>
      <c r="K39" s="43" t="b">
        <f t="shared" si="5"/>
        <v>0</v>
      </c>
      <c r="L39" s="21" t="str">
        <f>IFERROR(__xludf.DUMMYFUNCTION("if(regexmatch(B39,""e(.*)$""),regexextract(B39,""e(.*)$""),"""")"),"-31")</f>
        <v>-31</v>
      </c>
      <c r="M39" s="45"/>
      <c r="N39" s="45">
        <f>countif(Constants!F:F,F39)</f>
        <v>1</v>
      </c>
      <c r="O39" s="21" t="str">
        <f>ifna(VLOOKUP(A39,Constants!D:D,1,false),"")</f>
        <v>atomic unit of mass</v>
      </c>
    </row>
    <row r="40">
      <c r="A40" s="6" t="s">
        <v>3272</v>
      </c>
      <c r="B40" s="6" t="s">
        <v>3273</v>
      </c>
      <c r="C40" s="6" t="s">
        <v>3274</v>
      </c>
      <c r="D40" s="6" t="s">
        <v>736</v>
      </c>
      <c r="E40" s="42">
        <f>countif(Constants!F:F,F40)</f>
        <v>1</v>
      </c>
      <c r="F40" s="6" t="s">
        <v>130</v>
      </c>
      <c r="G40" s="43" t="str">
        <f t="shared" si="1"/>
        <v>1.992851882e-24</v>
      </c>
      <c r="H40" s="43">
        <f t="shared" si="2"/>
        <v>0</v>
      </c>
      <c r="I40" s="43" t="str">
        <f t="shared" si="3"/>
        <v>0.000000024e-24</v>
      </c>
      <c r="J40" s="43">
        <f t="shared" si="4"/>
        <v>0</v>
      </c>
      <c r="K40" s="43" t="b">
        <f t="shared" si="5"/>
        <v>0</v>
      </c>
      <c r="L40" s="21" t="str">
        <f>IFERROR(__xludf.DUMMYFUNCTION("if(regexmatch(B40,""e(.*)$""),regexextract(B40,""e(.*)$""),"""")"),"-24")</f>
        <v>-24</v>
      </c>
      <c r="M40" s="45"/>
      <c r="N40" s="45">
        <f>countif(Constants!F:F,F40)</f>
        <v>1</v>
      </c>
      <c r="O40" s="21" t="str">
        <f>ifna(VLOOKUP(A40,Constants!D:D,1,false),"")</f>
        <v/>
      </c>
    </row>
    <row r="41">
      <c r="A41" s="6" t="s">
        <v>742</v>
      </c>
      <c r="B41" s="6" t="s">
        <v>3275</v>
      </c>
      <c r="C41" s="6" t="s">
        <v>2261</v>
      </c>
      <c r="D41" s="6" t="s">
        <v>743</v>
      </c>
      <c r="E41" s="42">
        <f>countif(Constants!F:F,F41)</f>
        <v>1</v>
      </c>
      <c r="F41" s="21" t="str">
        <f>ifna(VLOOKUP($A41,Constants!$D:$F,3,false),"")</f>
        <v>AtomicUnitOfPermittivity</v>
      </c>
      <c r="G41" s="43" t="str">
        <f t="shared" si="1"/>
        <v>1.112650056e-10</v>
      </c>
      <c r="H41" s="43">
        <f t="shared" si="2"/>
        <v>0.0000000001112650056</v>
      </c>
      <c r="I41" s="43" t="str">
        <f t="shared" si="3"/>
        <v>(exact)</v>
      </c>
      <c r="J41" s="43" t="str">
        <f t="shared" si="4"/>
        <v/>
      </c>
      <c r="K41" s="43" t="b">
        <f t="shared" si="5"/>
        <v>1</v>
      </c>
      <c r="L41" s="21" t="str">
        <f>IFERROR(__xludf.DUMMYFUNCTION("if(regexmatch(B41,""e(.*)$""),regexextract(B41,""e(.*)$""),"""")"),"-10")</f>
        <v>-10</v>
      </c>
      <c r="M41" s="45"/>
      <c r="N41" s="45">
        <f>countif(Constants!F:F,F41)</f>
        <v>1</v>
      </c>
      <c r="O41" s="21" t="str">
        <f>ifna(VLOOKUP(A41,Constants!D:D,1,false),"")</f>
        <v>atomic unit of permittivity</v>
      </c>
    </row>
    <row r="42">
      <c r="A42" s="6" t="s">
        <v>748</v>
      </c>
      <c r="B42" s="6" t="s">
        <v>3276</v>
      </c>
      <c r="C42" s="6" t="s">
        <v>3277</v>
      </c>
      <c r="D42" s="6" t="s">
        <v>749</v>
      </c>
      <c r="E42" s="42">
        <f>countif(Constants!F:F,F42)</f>
        <v>1</v>
      </c>
      <c r="F42" s="21" t="str">
        <f>ifna(VLOOKUP($A42,Constants!$D:$F,3,false),"")</f>
        <v>AtomicUnitOfTime</v>
      </c>
      <c r="G42" s="43" t="str">
        <f t="shared" si="1"/>
        <v>2.418884326509e-17</v>
      </c>
      <c r="H42" s="43">
        <f t="shared" si="2"/>
        <v>0</v>
      </c>
      <c r="I42" s="43" t="str">
        <f t="shared" si="3"/>
        <v>0.000000000014e-17</v>
      </c>
      <c r="J42" s="43">
        <f t="shared" si="4"/>
        <v>0</v>
      </c>
      <c r="K42" s="43" t="b">
        <f t="shared" si="5"/>
        <v>0</v>
      </c>
      <c r="L42" s="21" t="str">
        <f>IFERROR(__xludf.DUMMYFUNCTION("if(regexmatch(B42,""e(.*)$""),regexextract(B42,""e(.*)$""),"""")"),"-17")</f>
        <v>-17</v>
      </c>
      <c r="M42" s="45"/>
      <c r="N42" s="45">
        <f>countif(Constants!F:F,F42)</f>
        <v>1</v>
      </c>
      <c r="O42" s="21" t="str">
        <f>ifna(VLOOKUP(A42,Constants!D:D,1,false),"")</f>
        <v>atomic unit of time</v>
      </c>
    </row>
    <row r="43">
      <c r="A43" s="6" t="s">
        <v>753</v>
      </c>
      <c r="B43" s="6" t="s">
        <v>3278</v>
      </c>
      <c r="C43" s="6" t="s">
        <v>3279</v>
      </c>
      <c r="D43" s="6" t="s">
        <v>754</v>
      </c>
      <c r="E43" s="42">
        <f>countif(Constants!F:F,F43)</f>
        <v>1</v>
      </c>
      <c r="F43" s="21" t="str">
        <f>ifna(VLOOKUP($A43,Constants!$D:$F,3,false),"")</f>
        <v>AtomicUnitOfVelocity</v>
      </c>
      <c r="G43" s="43" t="str">
        <f t="shared" si="1"/>
        <v>2.18769126277e6</v>
      </c>
      <c r="H43" s="43">
        <f t="shared" si="2"/>
        <v>2187691.263</v>
      </c>
      <c r="I43" s="43" t="str">
        <f t="shared" si="3"/>
        <v>0.00000000050e6</v>
      </c>
      <c r="J43" s="43">
        <f t="shared" si="4"/>
        <v>0.0005</v>
      </c>
      <c r="K43" s="43" t="b">
        <f t="shared" si="5"/>
        <v>0</v>
      </c>
      <c r="L43" s="21" t="str">
        <f>IFERROR(__xludf.DUMMYFUNCTION("if(regexmatch(B43,""e(.*)$""),regexextract(B43,""e(.*)$""),"""")"),"6")</f>
        <v>6</v>
      </c>
      <c r="M43" s="45"/>
      <c r="N43" s="45">
        <f>countif(Constants!F:F,F43)</f>
        <v>1</v>
      </c>
      <c r="O43" s="21" t="str">
        <f>ifna(VLOOKUP(A43,Constants!D:D,1,false),"")</f>
        <v>atomic unit of velocity</v>
      </c>
    </row>
    <row r="44">
      <c r="A44" s="6" t="s">
        <v>145</v>
      </c>
      <c r="B44" s="6" t="s">
        <v>3280</v>
      </c>
      <c r="C44" s="6" t="s">
        <v>3281</v>
      </c>
      <c r="D44" s="6" t="s">
        <v>759</v>
      </c>
      <c r="E44" s="42">
        <f>countif(Constants!F:F,F44)</f>
        <v>1</v>
      </c>
      <c r="F44" s="21" t="str">
        <f>ifna(VLOOKUP($A44,Constants!$D:$F,3,false),"")</f>
        <v>AvogadroConstant</v>
      </c>
      <c r="G44" s="43" t="str">
        <f t="shared" si="1"/>
        <v>6.022140857e23</v>
      </c>
      <c r="H44" s="43">
        <f t="shared" si="2"/>
        <v>6.02214E+23</v>
      </c>
      <c r="I44" s="43" t="str">
        <f t="shared" si="3"/>
        <v>0.000000074e23</v>
      </c>
      <c r="J44" s="43">
        <f t="shared" si="4"/>
        <v>7.4E+15</v>
      </c>
      <c r="K44" s="43" t="b">
        <f t="shared" si="5"/>
        <v>0</v>
      </c>
      <c r="L44" s="21" t="str">
        <f>IFERROR(__xludf.DUMMYFUNCTION("if(regexmatch(B44,""e(.*)$""),regexextract(B44,""e(.*)$""),"""")"),"23")</f>
        <v>23</v>
      </c>
      <c r="M44" s="45"/>
      <c r="N44" s="45">
        <f>countif(Constants!F:F,F44)</f>
        <v>1</v>
      </c>
      <c r="O44" s="21" t="str">
        <f>ifna(VLOOKUP(A44,Constants!D:D,1,false),"")</f>
        <v>Avogadro constant</v>
      </c>
    </row>
    <row r="45">
      <c r="A45" s="6" t="s">
        <v>764</v>
      </c>
      <c r="B45" s="6" t="s">
        <v>3282</v>
      </c>
      <c r="C45" s="6" t="s">
        <v>3283</v>
      </c>
      <c r="D45" s="6" t="s">
        <v>714</v>
      </c>
      <c r="E45" s="42">
        <f>countif(Constants!F:F,F45)</f>
        <v>1</v>
      </c>
      <c r="F45" s="21" t="str">
        <f>ifna(VLOOKUP($A45,Constants!$D:$F,3,false),"")</f>
        <v>BohrMagneton</v>
      </c>
      <c r="G45" s="43" t="str">
        <f t="shared" si="1"/>
        <v>927.4009994e-26</v>
      </c>
      <c r="H45" s="43">
        <f t="shared" si="2"/>
        <v>0</v>
      </c>
      <c r="I45" s="43" t="str">
        <f t="shared" si="3"/>
        <v>0.0000057e-26</v>
      </c>
      <c r="J45" s="43">
        <f t="shared" si="4"/>
        <v>0</v>
      </c>
      <c r="K45" s="43" t="b">
        <f t="shared" si="5"/>
        <v>0</v>
      </c>
      <c r="L45" s="21" t="str">
        <f>IFERROR(__xludf.DUMMYFUNCTION("if(regexmatch(B45,""e(.*)$""),regexextract(B45,""e(.*)$""),"""")"),"-26")</f>
        <v>-26</v>
      </c>
      <c r="M45" s="45"/>
      <c r="N45" s="45">
        <f>countif(Constants!F:F,F45)</f>
        <v>1</v>
      </c>
      <c r="O45" s="21" t="str">
        <f>ifna(VLOOKUP(A45,Constants!D:D,1,false),"")</f>
        <v>Bohr magneton</v>
      </c>
    </row>
    <row r="46">
      <c r="A46" s="6" t="s">
        <v>768</v>
      </c>
      <c r="B46" s="6" t="s">
        <v>3284</v>
      </c>
      <c r="C46" s="6" t="s">
        <v>3285</v>
      </c>
      <c r="D46" s="6" t="s">
        <v>769</v>
      </c>
      <c r="E46" s="42">
        <f>countif(Constants!F:F,F46)</f>
        <v>1</v>
      </c>
      <c r="F46" s="21" t="str">
        <f>ifna(VLOOKUP($A46,Constants!$D:$F,3,false),"")</f>
        <v>BohrMagnetonInEVPerT</v>
      </c>
      <c r="G46" s="43" t="str">
        <f t="shared" si="1"/>
        <v>5.7883818012e-5</v>
      </c>
      <c r="H46" s="43">
        <f t="shared" si="2"/>
        <v>0.00005788381801</v>
      </c>
      <c r="I46" s="43" t="str">
        <f t="shared" si="3"/>
        <v>0.0000000026e-5</v>
      </c>
      <c r="J46" s="43">
        <f t="shared" si="4"/>
        <v>0</v>
      </c>
      <c r="K46" s="43" t="b">
        <f t="shared" si="5"/>
        <v>0</v>
      </c>
      <c r="L46" s="21" t="str">
        <f>IFERROR(__xludf.DUMMYFUNCTION("if(regexmatch(B46,""e(.*)$""),regexextract(B46,""e(.*)$""),"""")"),"-5")</f>
        <v>-5</v>
      </c>
      <c r="M46" s="45"/>
      <c r="N46" s="45">
        <f>countif(Constants!F:F,F46)</f>
        <v>1</v>
      </c>
      <c r="O46" s="21" t="str">
        <f>ifna(VLOOKUP(A46,Constants!D:D,1,false),"")</f>
        <v>Bohr magneton in eV/T</v>
      </c>
    </row>
    <row r="47">
      <c r="A47" s="6" t="s">
        <v>773</v>
      </c>
      <c r="B47" s="6" t="s">
        <v>3286</v>
      </c>
      <c r="C47" s="6" t="s">
        <v>3287</v>
      </c>
      <c r="D47" s="6" t="s">
        <v>774</v>
      </c>
      <c r="E47" s="42">
        <f>countif(Constants!F:F,F47)</f>
        <v>1</v>
      </c>
      <c r="F47" s="21" t="str">
        <f>ifna(VLOOKUP($A47,Constants!$D:$F,3,false),"")</f>
        <v>BohrMagnetonInHzPerT</v>
      </c>
      <c r="G47" s="43" t="str">
        <f t="shared" si="1"/>
        <v>13.996245042e9</v>
      </c>
      <c r="H47" s="43">
        <f t="shared" si="2"/>
        <v>13996245042</v>
      </c>
      <c r="I47" s="43" t="str">
        <f t="shared" si="3"/>
        <v>0.000000086e9</v>
      </c>
      <c r="J47" s="43">
        <f t="shared" si="4"/>
        <v>86</v>
      </c>
      <c r="K47" s="43" t="b">
        <f t="shared" si="5"/>
        <v>0</v>
      </c>
      <c r="L47" s="21" t="str">
        <f>IFERROR(__xludf.DUMMYFUNCTION("if(regexmatch(B47,""e(.*)$""),regexextract(B47,""e(.*)$""),"""")"),"9")</f>
        <v>9</v>
      </c>
      <c r="M47" s="45"/>
      <c r="N47" s="45">
        <f>countif(Constants!F:F,F47)</f>
        <v>1</v>
      </c>
      <c r="O47" s="21" t="str">
        <f>ifna(VLOOKUP(A47,Constants!D:D,1,false),"")</f>
        <v>Bohr magneton in Hz/T</v>
      </c>
    </row>
    <row r="48">
      <c r="A48" s="6" t="s">
        <v>3288</v>
      </c>
      <c r="B48" s="6" t="s">
        <v>3289</v>
      </c>
      <c r="C48" s="6" t="s">
        <v>2245</v>
      </c>
      <c r="D48" s="6" t="s">
        <v>779</v>
      </c>
      <c r="E48" s="42">
        <f>countif(Constants!F:F,F48)</f>
        <v>1</v>
      </c>
      <c r="F48" s="6" t="s">
        <v>3290</v>
      </c>
      <c r="G48" s="43" t="str">
        <f t="shared" si="1"/>
        <v>46.68644814</v>
      </c>
      <c r="H48" s="43">
        <f t="shared" si="2"/>
        <v>46.68644814</v>
      </c>
      <c r="I48" s="43" t="str">
        <f t="shared" si="3"/>
        <v>0.00000029</v>
      </c>
      <c r="J48" s="43">
        <f t="shared" si="4"/>
        <v>0.00000029</v>
      </c>
      <c r="K48" s="43" t="b">
        <f t="shared" si="5"/>
        <v>0</v>
      </c>
      <c r="L48" s="21" t="str">
        <f>IFERROR(__xludf.DUMMYFUNCTION("if(regexmatch(B48,""e(.*)$""),regexextract(B48,""e(.*)$""),"""")"),"")</f>
        <v/>
      </c>
      <c r="M48" s="45"/>
      <c r="N48" s="45">
        <f>countif(Constants!F:F,F48)</f>
        <v>1</v>
      </c>
      <c r="O48" s="21" t="str">
        <f>ifna(VLOOKUP(A48,Constants!D:D,1,false),"")</f>
        <v/>
      </c>
    </row>
    <row r="49">
      <c r="A49" s="6" t="s">
        <v>783</v>
      </c>
      <c r="B49" s="6" t="s">
        <v>3291</v>
      </c>
      <c r="C49" s="6" t="s">
        <v>3292</v>
      </c>
      <c r="D49" s="6" t="s">
        <v>784</v>
      </c>
      <c r="E49" s="42">
        <f>countif(Constants!F:F,F49)</f>
        <v>1</v>
      </c>
      <c r="F49" s="21" t="str">
        <f>ifna(VLOOKUP($A49,Constants!$D:$F,3,false),"")</f>
        <v>BohrMagnetonInKPerT</v>
      </c>
      <c r="G49" s="43" t="str">
        <f t="shared" si="1"/>
        <v>0.67171405</v>
      </c>
      <c r="H49" s="43">
        <f t="shared" si="2"/>
        <v>0.67171405</v>
      </c>
      <c r="I49" s="43" t="str">
        <f t="shared" si="3"/>
        <v>0.00000039</v>
      </c>
      <c r="J49" s="43">
        <f t="shared" si="4"/>
        <v>0.00000039</v>
      </c>
      <c r="K49" s="43" t="b">
        <f t="shared" si="5"/>
        <v>0</v>
      </c>
      <c r="L49" s="21" t="str">
        <f>IFERROR(__xludf.DUMMYFUNCTION("if(regexmatch(B49,""e(.*)$""),regexextract(B49,""e(.*)$""),"""")"),"")</f>
        <v/>
      </c>
      <c r="M49" s="45"/>
      <c r="N49" s="45">
        <f>countif(Constants!F:F,F49)</f>
        <v>1</v>
      </c>
      <c r="O49" s="21" t="str">
        <f>ifna(VLOOKUP(A49,Constants!D:D,1,false),"")</f>
        <v>Bohr magneton in K/T</v>
      </c>
    </row>
    <row r="50">
      <c r="A50" s="6" t="s">
        <v>788</v>
      </c>
      <c r="B50" s="6" t="s">
        <v>3262</v>
      </c>
      <c r="C50" s="6" t="s">
        <v>3263</v>
      </c>
      <c r="D50" s="6" t="s">
        <v>571</v>
      </c>
      <c r="E50" s="42">
        <f>countif(Constants!F:F,F50)</f>
        <v>1</v>
      </c>
      <c r="F50" s="21" t="str">
        <f>ifna(VLOOKUP($A50,Constants!$D:$F,3,false),"")</f>
        <v>BohrRadius</v>
      </c>
      <c r="G50" s="43" t="str">
        <f t="shared" si="1"/>
        <v>0.52917721067e-10</v>
      </c>
      <c r="H50" s="43">
        <f t="shared" si="2"/>
        <v>0</v>
      </c>
      <c r="I50" s="43" t="str">
        <f t="shared" si="3"/>
        <v>0.00000000012e-10</v>
      </c>
      <c r="J50" s="43">
        <f t="shared" si="4"/>
        <v>0</v>
      </c>
      <c r="K50" s="43" t="b">
        <f t="shared" si="5"/>
        <v>0</v>
      </c>
      <c r="L50" s="21" t="str">
        <f>IFERROR(__xludf.DUMMYFUNCTION("if(regexmatch(B50,""e(.*)$""),regexextract(B50,""e(.*)$""),"""")"),"-10")</f>
        <v>-10</v>
      </c>
      <c r="M50" s="45"/>
      <c r="N50" s="45">
        <f>countif(Constants!F:F,F50)</f>
        <v>1</v>
      </c>
      <c r="O50" s="21" t="str">
        <f>ifna(VLOOKUP(A50,Constants!D:D,1,false),"")</f>
        <v>Bohr radius</v>
      </c>
    </row>
    <row r="51">
      <c r="A51" s="6" t="s">
        <v>791</v>
      </c>
      <c r="B51" s="6" t="s">
        <v>3293</v>
      </c>
      <c r="C51" s="6" t="s">
        <v>3294</v>
      </c>
      <c r="D51" s="6" t="s">
        <v>792</v>
      </c>
      <c r="E51" s="42">
        <f>countif(Constants!F:F,F51)</f>
        <v>1</v>
      </c>
      <c r="F51" s="21" t="str">
        <f>ifna(VLOOKUP($A51,Constants!$D:$F,3,false),"")</f>
        <v>BoltzmannConstant</v>
      </c>
      <c r="G51" s="43" t="str">
        <f t="shared" si="1"/>
        <v>1.38064852e-23</v>
      </c>
      <c r="H51" s="43">
        <f t="shared" si="2"/>
        <v>0</v>
      </c>
      <c r="I51" s="43" t="str">
        <f t="shared" si="3"/>
        <v>0.00000079e-23</v>
      </c>
      <c r="J51" s="43">
        <f t="shared" si="4"/>
        <v>0</v>
      </c>
      <c r="K51" s="43" t="b">
        <f t="shared" si="5"/>
        <v>0</v>
      </c>
      <c r="L51" s="21" t="str">
        <f>IFERROR(__xludf.DUMMYFUNCTION("if(regexmatch(B51,""e(.*)$""),regexextract(B51,""e(.*)$""),"""")"),"-23")</f>
        <v>-23</v>
      </c>
      <c r="M51" s="45"/>
      <c r="N51" s="45">
        <f>countif(Constants!F:F,F51)</f>
        <v>1</v>
      </c>
      <c r="O51" s="21" t="str">
        <f>ifna(VLOOKUP(A51,Constants!D:D,1,false),"")</f>
        <v>Boltzmann constant</v>
      </c>
    </row>
    <row r="52">
      <c r="A52" s="6" t="s">
        <v>798</v>
      </c>
      <c r="B52" s="6" t="s">
        <v>3295</v>
      </c>
      <c r="C52" s="6" t="s">
        <v>3296</v>
      </c>
      <c r="D52" s="6" t="s">
        <v>799</v>
      </c>
      <c r="E52" s="42">
        <f>countif(Constants!F:F,F52)</f>
        <v>1</v>
      </c>
      <c r="F52" s="21" t="str">
        <f>ifna(VLOOKUP($A52,Constants!$D:$F,3,false),"")</f>
        <v>BoltzmannConstantInEVPerK</v>
      </c>
      <c r="G52" s="43" t="str">
        <f t="shared" si="1"/>
        <v>8.6173303e-5</v>
      </c>
      <c r="H52" s="43">
        <f t="shared" si="2"/>
        <v>0.000086173303</v>
      </c>
      <c r="I52" s="43" t="str">
        <f t="shared" si="3"/>
        <v>0.0000050e-5</v>
      </c>
      <c r="J52" s="43">
        <f t="shared" si="4"/>
        <v>0</v>
      </c>
      <c r="K52" s="43" t="b">
        <f t="shared" si="5"/>
        <v>0</v>
      </c>
      <c r="L52" s="21" t="str">
        <f>IFERROR(__xludf.DUMMYFUNCTION("if(regexmatch(B52,""e(.*)$""),regexextract(B52,""e(.*)$""),"""")"),"-5")</f>
        <v>-5</v>
      </c>
      <c r="M52" s="45"/>
      <c r="N52" s="45">
        <f>countif(Constants!F:F,F52)</f>
        <v>1</v>
      </c>
      <c r="O52" s="21" t="str">
        <f>ifna(VLOOKUP(A52,Constants!D:D,1,false),"")</f>
        <v>Boltzmann constant in eV/K</v>
      </c>
    </row>
    <row r="53">
      <c r="A53" s="6" t="s">
        <v>803</v>
      </c>
      <c r="B53" s="6" t="s">
        <v>3297</v>
      </c>
      <c r="C53" s="6" t="s">
        <v>3298</v>
      </c>
      <c r="D53" s="6" t="s">
        <v>804</v>
      </c>
      <c r="E53" s="42">
        <f>countif(Constants!F:F,F53)</f>
        <v>1</v>
      </c>
      <c r="F53" s="21" t="str">
        <f>ifna(VLOOKUP($A53,Constants!$D:$F,3,false),"")</f>
        <v>BoltzmannConstantInHzPerK</v>
      </c>
      <c r="G53" s="43" t="str">
        <f t="shared" si="1"/>
        <v>2.0836612e10</v>
      </c>
      <c r="H53" s="43">
        <f t="shared" si="2"/>
        <v>20836612000</v>
      </c>
      <c r="I53" s="43" t="str">
        <f t="shared" si="3"/>
        <v>0.0000012e10</v>
      </c>
      <c r="J53" s="43">
        <f t="shared" si="4"/>
        <v>12000</v>
      </c>
      <c r="K53" s="43" t="b">
        <f t="shared" si="5"/>
        <v>0</v>
      </c>
      <c r="L53" s="21" t="str">
        <f>IFERROR(__xludf.DUMMYFUNCTION("if(regexmatch(B53,""e(.*)$""),regexextract(B53,""e(.*)$""),"""")"),"10")</f>
        <v>10</v>
      </c>
      <c r="M53" s="45"/>
      <c r="N53" s="45">
        <f>countif(Constants!F:F,F53)</f>
        <v>1</v>
      </c>
      <c r="O53" s="21" t="str">
        <f>ifna(VLOOKUP(A53,Constants!D:D,1,false),"")</f>
        <v>Boltzmann constant in Hz/K</v>
      </c>
    </row>
    <row r="54">
      <c r="A54" s="6" t="s">
        <v>3299</v>
      </c>
      <c r="B54" s="6" t="s">
        <v>3300</v>
      </c>
      <c r="C54" s="6" t="s">
        <v>3301</v>
      </c>
      <c r="D54" s="6" t="s">
        <v>809</v>
      </c>
      <c r="E54" s="42">
        <f>countif(Constants!F:F,F54)</f>
        <v>1</v>
      </c>
      <c r="F54" s="13" t="s">
        <v>3302</v>
      </c>
      <c r="G54" s="43" t="str">
        <f t="shared" si="1"/>
        <v>69.503457</v>
      </c>
      <c r="H54" s="43">
        <f t="shared" si="2"/>
        <v>69.503457</v>
      </c>
      <c r="I54" s="43" t="str">
        <f t="shared" si="3"/>
        <v>0.000040</v>
      </c>
      <c r="J54" s="43">
        <f t="shared" si="4"/>
        <v>0.00004</v>
      </c>
      <c r="K54" s="43" t="b">
        <f t="shared" si="5"/>
        <v>0</v>
      </c>
      <c r="L54" s="21" t="str">
        <f>IFERROR(__xludf.DUMMYFUNCTION("if(regexmatch(B54,""e(.*)$""),regexextract(B54,""e(.*)$""),"""")"),"")</f>
        <v/>
      </c>
      <c r="M54" s="45"/>
      <c r="N54" s="45">
        <f>countif(Constants!F:F,F54)</f>
        <v>1</v>
      </c>
      <c r="O54" s="21" t="str">
        <f>ifna(VLOOKUP(A54,Constants!D:D,1,false),"")</f>
        <v/>
      </c>
    </row>
    <row r="55">
      <c r="A55" s="6" t="s">
        <v>813</v>
      </c>
      <c r="B55" s="6" t="s">
        <v>3303</v>
      </c>
      <c r="C55" s="6" t="s">
        <v>2261</v>
      </c>
      <c r="D55" s="6" t="s">
        <v>814</v>
      </c>
      <c r="E55" s="42">
        <f>countif(Constants!F:F,F55)</f>
        <v>1</v>
      </c>
      <c r="F55" s="21" t="str">
        <f>ifna(VLOOKUP($A55,Constants!$D:$F,3,false),"")</f>
        <v>CharacteristicImpedanceOfVacuum</v>
      </c>
      <c r="G55" s="43" t="str">
        <f t="shared" si="1"/>
        <v>376.730313461</v>
      </c>
      <c r="H55" s="43">
        <f t="shared" si="2"/>
        <v>376.7303135</v>
      </c>
      <c r="I55" s="43" t="str">
        <f t="shared" si="3"/>
        <v>(exact)</v>
      </c>
      <c r="J55" s="43" t="str">
        <f t="shared" si="4"/>
        <v/>
      </c>
      <c r="K55" s="43" t="b">
        <f t="shared" si="5"/>
        <v>1</v>
      </c>
      <c r="L55" s="21" t="str">
        <f>IFERROR(__xludf.DUMMYFUNCTION("if(regexmatch(B55,""e(.*)$""),regexextract(B55,""e(.*)$""),"""")"),"")</f>
        <v/>
      </c>
      <c r="M55" s="45"/>
      <c r="N55" s="45">
        <f>countif(Constants!F:F,F55)</f>
        <v>1</v>
      </c>
      <c r="O55" s="21" t="str">
        <f>ifna(VLOOKUP(A55,Constants!D:D,1,false),"")</f>
        <v>characteristic impedance of vacuum</v>
      </c>
    </row>
    <row r="56">
      <c r="A56" s="6" t="s">
        <v>819</v>
      </c>
      <c r="B56" s="6" t="s">
        <v>3304</v>
      </c>
      <c r="C56" s="6" t="s">
        <v>3305</v>
      </c>
      <c r="D56" s="6" t="s">
        <v>571</v>
      </c>
      <c r="E56" s="42">
        <f>countif(Constants!F:F,F56)</f>
        <v>1</v>
      </c>
      <c r="F56" s="21" t="str">
        <f>ifna(VLOOKUP($A56,Constants!$D:$F,3,false),"")</f>
        <v>ClassicalElectronRadius</v>
      </c>
      <c r="G56" s="43" t="str">
        <f t="shared" si="1"/>
        <v>2.8179403227e-15</v>
      </c>
      <c r="H56" s="43">
        <f t="shared" si="2"/>
        <v>0</v>
      </c>
      <c r="I56" s="43" t="str">
        <f t="shared" si="3"/>
        <v>0.0000000019e-15</v>
      </c>
      <c r="J56" s="43">
        <f t="shared" si="4"/>
        <v>0</v>
      </c>
      <c r="K56" s="43" t="b">
        <f t="shared" si="5"/>
        <v>0</v>
      </c>
      <c r="L56" s="21" t="str">
        <f>IFERROR(__xludf.DUMMYFUNCTION("if(regexmatch(B56,""e(.*)$""),regexextract(B56,""e(.*)$""),"""")"),"-15")</f>
        <v>-15</v>
      </c>
      <c r="M56" s="45"/>
      <c r="N56" s="45">
        <f>countif(Constants!F:F,F56)</f>
        <v>1</v>
      </c>
      <c r="O56" s="21" t="str">
        <f>ifna(VLOOKUP(A56,Constants!D:D,1,false),"")</f>
        <v>classical electron radius</v>
      </c>
    </row>
    <row r="57">
      <c r="A57" s="6" t="s">
        <v>823</v>
      </c>
      <c r="B57" s="6" t="s">
        <v>3306</v>
      </c>
      <c r="C57" s="6" t="s">
        <v>3307</v>
      </c>
      <c r="D57" s="6" t="s">
        <v>571</v>
      </c>
      <c r="E57" s="42">
        <f>countif(Constants!F:F,F57)</f>
        <v>1</v>
      </c>
      <c r="F57" s="21" t="str">
        <f>ifna(VLOOKUP($A57,Constants!$D:$F,3,false),"")</f>
        <v>ComptonWavelength</v>
      </c>
      <c r="G57" s="43" t="str">
        <f t="shared" si="1"/>
        <v>2.4263102367e-12</v>
      </c>
      <c r="H57" s="43">
        <f t="shared" si="2"/>
        <v>0</v>
      </c>
      <c r="I57" s="43" t="str">
        <f t="shared" si="3"/>
        <v>0.0000000011e-12</v>
      </c>
      <c r="J57" s="43">
        <f t="shared" si="4"/>
        <v>0</v>
      </c>
      <c r="K57" s="43" t="b">
        <f t="shared" si="5"/>
        <v>0</v>
      </c>
      <c r="L57" s="21" t="str">
        <f>IFERROR(__xludf.DUMMYFUNCTION("if(regexmatch(B57,""e(.*)$""),regexextract(B57,""e(.*)$""),"""")"),"-12")</f>
        <v>-12</v>
      </c>
      <c r="M57" s="45"/>
      <c r="N57" s="45">
        <f>countif(Constants!F:F,F57)</f>
        <v>1</v>
      </c>
      <c r="O57" s="21" t="str">
        <f>ifna(VLOOKUP(A57,Constants!D:D,1,false),"")</f>
        <v>Compton wavelength</v>
      </c>
    </row>
    <row r="58">
      <c r="A58" s="6" t="s">
        <v>1901</v>
      </c>
      <c r="B58" s="6" t="s">
        <v>3308</v>
      </c>
      <c r="C58" s="6" t="s">
        <v>3309</v>
      </c>
      <c r="D58" s="6" t="s">
        <v>571</v>
      </c>
      <c r="E58" s="42">
        <f>countif(Constants!F:F,F58)</f>
        <v>2</v>
      </c>
      <c r="F58" s="13" t="s">
        <v>261</v>
      </c>
      <c r="G58" s="43" t="str">
        <f t="shared" si="1"/>
        <v>386.15926764e-15</v>
      </c>
      <c r="H58" s="43">
        <f t="shared" si="2"/>
        <v>0</v>
      </c>
      <c r="I58" s="43" t="str">
        <f t="shared" si="3"/>
        <v>0.00000018e-15</v>
      </c>
      <c r="J58" s="43">
        <f t="shared" si="4"/>
        <v>0</v>
      </c>
      <c r="K58" s="43" t="b">
        <f t="shared" si="5"/>
        <v>0</v>
      </c>
      <c r="L58" s="21" t="str">
        <f>IFERROR(__xludf.DUMMYFUNCTION("if(regexmatch(B58,""e(.*)$""),regexextract(B58,""e(.*)$""),"""")"),"-15")</f>
        <v>-15</v>
      </c>
      <c r="M58" s="45"/>
      <c r="N58" s="45">
        <f>countif(Constants!F:F,F58)</f>
        <v>2</v>
      </c>
      <c r="O58" s="21" t="str">
        <f>ifna(VLOOKUP(A58,Constants!D:D,1,false),"")</f>
        <v/>
      </c>
    </row>
    <row r="59">
      <c r="A59" s="6" t="s">
        <v>827</v>
      </c>
      <c r="B59" s="6" t="s">
        <v>3310</v>
      </c>
      <c r="C59" s="6" t="s">
        <v>2305</v>
      </c>
      <c r="D59" s="6" t="s">
        <v>828</v>
      </c>
      <c r="E59" s="42">
        <f>countif(Constants!F:F,F59)</f>
        <v>1</v>
      </c>
      <c r="F59" s="21" t="str">
        <f>ifna(VLOOKUP($A59,Constants!$D:$F,3,false),"")</f>
        <v>ConductanceQuantum</v>
      </c>
      <c r="G59" s="43" t="str">
        <f t="shared" si="1"/>
        <v>7.7480917310e-5</v>
      </c>
      <c r="H59" s="43">
        <f t="shared" si="2"/>
        <v>0.00007748091731</v>
      </c>
      <c r="I59" s="43" t="str">
        <f t="shared" si="3"/>
        <v>0.0000000018e-5</v>
      </c>
      <c r="J59" s="43">
        <f t="shared" si="4"/>
        <v>0</v>
      </c>
      <c r="K59" s="43" t="b">
        <f t="shared" si="5"/>
        <v>0</v>
      </c>
      <c r="L59" s="21" t="str">
        <f>IFERROR(__xludf.DUMMYFUNCTION("if(regexmatch(B59,""e(.*)$""),regexextract(B59,""e(.*)$""),"""")"),"-5")</f>
        <v>-5</v>
      </c>
      <c r="M59" s="45"/>
      <c r="N59" s="45">
        <f>countif(Constants!F:F,F59)</f>
        <v>1</v>
      </c>
      <c r="O59" s="21" t="str">
        <f>ifna(VLOOKUP(A59,Constants!D:D,1,false),"")</f>
        <v>conductance quantum</v>
      </c>
    </row>
    <row r="60">
      <c r="A60" s="6" t="s">
        <v>846</v>
      </c>
      <c r="B60" s="6" t="s">
        <v>2850</v>
      </c>
      <c r="C60" s="6" t="s">
        <v>2261</v>
      </c>
      <c r="D60" s="6" t="s">
        <v>847</v>
      </c>
      <c r="E60" s="42">
        <f>countif(Constants!F:F,F60)</f>
        <v>1</v>
      </c>
      <c r="F60" s="21" t="str">
        <f>ifna(VLOOKUP($A60,Constants!$D:$F,3,false),"")</f>
        <v>ConventionalValueOfJosephsonConstant</v>
      </c>
      <c r="G60" s="43" t="str">
        <f t="shared" si="1"/>
        <v>483597.9e9</v>
      </c>
      <c r="H60" s="43">
        <f t="shared" si="2"/>
        <v>483597900000000</v>
      </c>
      <c r="I60" s="43" t="str">
        <f t="shared" si="3"/>
        <v>(exact)</v>
      </c>
      <c r="J60" s="43" t="str">
        <f t="shared" si="4"/>
        <v/>
      </c>
      <c r="K60" s="43" t="b">
        <f t="shared" si="5"/>
        <v>0</v>
      </c>
      <c r="L60" s="21" t="str">
        <f>IFERROR(__xludf.DUMMYFUNCTION("if(regexmatch(B60,""e(.*)$""),regexextract(B60,""e(.*)$""),"""")"),"9")</f>
        <v>9</v>
      </c>
      <c r="M60" s="45"/>
      <c r="N60" s="45">
        <f>countif(Constants!F:F,F60)</f>
        <v>1</v>
      </c>
      <c r="O60" s="21" t="str">
        <f>ifna(VLOOKUP(A60,Constants!D:D,1,false),"")</f>
        <v>conventional value of Josephson constant</v>
      </c>
    </row>
    <row r="61">
      <c r="A61" s="6" t="s">
        <v>858</v>
      </c>
      <c r="B61" s="6" t="s">
        <v>2852</v>
      </c>
      <c r="C61" s="6" t="s">
        <v>2261</v>
      </c>
      <c r="D61" s="6" t="s">
        <v>814</v>
      </c>
      <c r="E61" s="42">
        <f>countif(Constants!F:F,F61)</f>
        <v>1</v>
      </c>
      <c r="F61" s="21" t="str">
        <f>ifna(VLOOKUP($A61,Constants!$D:$F,3,false),"")</f>
        <v>ConventionalValueOfVonKlitzingConstant</v>
      </c>
      <c r="G61" s="43" t="str">
        <f t="shared" si="1"/>
        <v>25812.807</v>
      </c>
      <c r="H61" s="43">
        <f t="shared" si="2"/>
        <v>25812.807</v>
      </c>
      <c r="I61" s="43" t="str">
        <f t="shared" si="3"/>
        <v>(exact)</v>
      </c>
      <c r="J61" s="43" t="str">
        <f t="shared" si="4"/>
        <v/>
      </c>
      <c r="K61" s="43" t="b">
        <f t="shared" si="5"/>
        <v>0</v>
      </c>
      <c r="L61" s="21" t="str">
        <f>IFERROR(__xludf.DUMMYFUNCTION("if(regexmatch(B61,""e(.*)$""),regexextract(B61,""e(.*)$""),"""")"),"")</f>
        <v/>
      </c>
      <c r="M61" s="45"/>
      <c r="N61" s="45">
        <f>countif(Constants!F:F,F61)</f>
        <v>1</v>
      </c>
      <c r="O61" s="21" t="str">
        <f>ifna(VLOOKUP(A61,Constants!D:D,1,false),"")</f>
        <v>conventional value of von Klitzing constant</v>
      </c>
    </row>
    <row r="62">
      <c r="A62" s="6" t="s">
        <v>3311</v>
      </c>
      <c r="B62" s="6" t="s">
        <v>2854</v>
      </c>
      <c r="C62" s="6" t="s">
        <v>2331</v>
      </c>
      <c r="D62" s="6" t="s">
        <v>571</v>
      </c>
      <c r="E62" s="42">
        <f>countif(Constants!F:F,F62)</f>
        <v>1</v>
      </c>
      <c r="F62" s="6" t="s">
        <v>272</v>
      </c>
      <c r="G62" s="43" t="str">
        <f t="shared" si="1"/>
        <v>1.00207697e-13</v>
      </c>
      <c r="H62" s="43">
        <f t="shared" si="2"/>
        <v>0</v>
      </c>
      <c r="I62" s="43" t="str">
        <f t="shared" si="3"/>
        <v>0.00000028e-13</v>
      </c>
      <c r="J62" s="43">
        <f t="shared" si="4"/>
        <v>0</v>
      </c>
      <c r="K62" s="43" t="b">
        <f t="shared" si="5"/>
        <v>0</v>
      </c>
      <c r="L62" s="21" t="str">
        <f>IFERROR(__xludf.DUMMYFUNCTION("if(regexmatch(B62,""e(.*)$""),regexextract(B62,""e(.*)$""),"""")"),"-13")</f>
        <v>-13</v>
      </c>
      <c r="M62" s="45"/>
      <c r="N62" s="45">
        <f>countif(Constants!F:F,F62)</f>
        <v>1</v>
      </c>
      <c r="O62" s="21" t="str">
        <f>ifna(VLOOKUP(A62,Constants!D:D,1,false),"")</f>
        <v/>
      </c>
    </row>
    <row r="63">
      <c r="A63" s="6" t="s">
        <v>871</v>
      </c>
      <c r="B63" s="6" t="s">
        <v>3312</v>
      </c>
      <c r="C63" s="6" t="s">
        <v>3313</v>
      </c>
      <c r="E63" s="42">
        <f>countif(Constants!F:F,F63)</f>
        <v>1</v>
      </c>
      <c r="F63" s="21" t="str">
        <f>ifna(VLOOKUP($A63,Constants!$D:$F,3,false),"")</f>
        <v>DeuteronElectronMagneticMomentRatio</v>
      </c>
      <c r="G63" s="43" t="str">
        <f t="shared" si="1"/>
        <v>-4.664345535e-4</v>
      </c>
      <c r="H63" s="43">
        <f t="shared" si="2"/>
        <v>-0.0004664345535</v>
      </c>
      <c r="I63" s="43" t="str">
        <f t="shared" si="3"/>
        <v>0.000000026e-4</v>
      </c>
      <c r="J63" s="43">
        <f t="shared" si="4"/>
        <v>0</v>
      </c>
      <c r="K63" s="43" t="b">
        <f t="shared" si="5"/>
        <v>0</v>
      </c>
      <c r="L63" s="21" t="str">
        <f>IFERROR(__xludf.DUMMYFUNCTION("if(regexmatch(B63,""e(.*)$""),regexextract(B63,""e(.*)$""),"""")"),"-4")</f>
        <v>-4</v>
      </c>
      <c r="M63" s="45"/>
      <c r="N63" s="45">
        <f>countif(Constants!F:F,F63)</f>
        <v>1</v>
      </c>
      <c r="O63" s="21" t="str">
        <f>ifna(VLOOKUP(A63,Constants!D:D,1,false),"")</f>
        <v>deuteron-electron mag. mom. ratio</v>
      </c>
    </row>
    <row r="64">
      <c r="A64" s="6" t="s">
        <v>876</v>
      </c>
      <c r="B64" s="6" t="s">
        <v>3314</v>
      </c>
      <c r="C64" s="6" t="s">
        <v>2857</v>
      </c>
      <c r="E64" s="42">
        <f>countif(Constants!F:F,F64)</f>
        <v>1</v>
      </c>
      <c r="F64" s="21" t="str">
        <f>ifna(VLOOKUP($A64,Constants!$D:$F,3,false),"")</f>
        <v>DeuteronElectronMassRatio</v>
      </c>
      <c r="G64" s="43" t="str">
        <f t="shared" si="1"/>
        <v>3670.48296785</v>
      </c>
      <c r="H64" s="43">
        <f t="shared" si="2"/>
        <v>3670.482968</v>
      </c>
      <c r="I64" s="43" t="str">
        <f t="shared" si="3"/>
        <v>0.00000013</v>
      </c>
      <c r="J64" s="43">
        <f t="shared" si="4"/>
        <v>0.00000013</v>
      </c>
      <c r="K64" s="43" t="b">
        <f t="shared" si="5"/>
        <v>0</v>
      </c>
      <c r="L64" s="21" t="str">
        <f>IFERROR(__xludf.DUMMYFUNCTION("if(regexmatch(B64,""e(.*)$""),regexextract(B64,""e(.*)$""),"""")"),"")</f>
        <v/>
      </c>
      <c r="M64" s="45"/>
      <c r="N64" s="45">
        <f>countif(Constants!F:F,F64)</f>
        <v>1</v>
      </c>
      <c r="O64" s="21" t="str">
        <f>ifna(VLOOKUP(A64,Constants!D:D,1,false),"")</f>
        <v>deuteron-electron mass ratio</v>
      </c>
    </row>
    <row r="65">
      <c r="A65" s="6" t="s">
        <v>881</v>
      </c>
      <c r="B65" s="6" t="s">
        <v>3315</v>
      </c>
      <c r="C65" s="6" t="s">
        <v>3316</v>
      </c>
      <c r="E65" s="42">
        <f>countif(Constants!F:F,F65)</f>
        <v>1</v>
      </c>
      <c r="F65" s="21" t="str">
        <f>ifna(VLOOKUP($A65,Constants!$D:$F,3,false),"")</f>
        <v>DeuteronGFactor</v>
      </c>
      <c r="G65" s="43" t="str">
        <f t="shared" si="1"/>
        <v>0.8574382311</v>
      </c>
      <c r="H65" s="43">
        <f t="shared" si="2"/>
        <v>0.8574382311</v>
      </c>
      <c r="I65" s="43" t="str">
        <f t="shared" si="3"/>
        <v>0.0000000048</v>
      </c>
      <c r="J65" s="43">
        <f t="shared" si="4"/>
        <v>0.0000000048</v>
      </c>
      <c r="K65" s="43" t="b">
        <f t="shared" si="5"/>
        <v>0</v>
      </c>
      <c r="L65" s="21" t="str">
        <f>IFERROR(__xludf.DUMMYFUNCTION("if(regexmatch(B65,""e(.*)$""),regexextract(B65,""e(.*)$""),"""")"),"")</f>
        <v/>
      </c>
      <c r="M65" s="45"/>
      <c r="N65" s="45">
        <f>countif(Constants!F:F,F65)</f>
        <v>1</v>
      </c>
      <c r="O65" s="21" t="str">
        <f>ifna(VLOOKUP(A65,Constants!D:D,1,false),"")</f>
        <v>deuteron g factor</v>
      </c>
    </row>
    <row r="66">
      <c r="A66" s="6" t="s">
        <v>885</v>
      </c>
      <c r="B66" s="6" t="s">
        <v>3317</v>
      </c>
      <c r="C66" s="6" t="s">
        <v>3318</v>
      </c>
      <c r="D66" s="6" t="s">
        <v>714</v>
      </c>
      <c r="E66" s="42">
        <f>countif(Constants!F:F,F66)</f>
        <v>1</v>
      </c>
      <c r="F66" s="21" t="str">
        <f>ifna(VLOOKUP($A66,Constants!$D:$F,3,false),"")</f>
        <v>DeuteronMagneticMoment</v>
      </c>
      <c r="G66" s="43" t="str">
        <f t="shared" si="1"/>
        <v>0.4330735040e-26</v>
      </c>
      <c r="H66" s="43">
        <f t="shared" si="2"/>
        <v>0</v>
      </c>
      <c r="I66" s="43" t="str">
        <f t="shared" si="3"/>
        <v>0.0000000036e-26</v>
      </c>
      <c r="J66" s="43">
        <f t="shared" si="4"/>
        <v>0</v>
      </c>
      <c r="K66" s="43" t="b">
        <f t="shared" si="5"/>
        <v>0</v>
      </c>
      <c r="L66" s="21" t="str">
        <f>IFERROR(__xludf.DUMMYFUNCTION("if(regexmatch(B66,""e(.*)$""),regexextract(B66,""e(.*)$""),"""")"),"-26")</f>
        <v>-26</v>
      </c>
      <c r="M66" s="45"/>
      <c r="N66" s="45">
        <f>countif(Constants!F:F,F66)</f>
        <v>1</v>
      </c>
      <c r="O66" s="21" t="str">
        <f>ifna(VLOOKUP(A66,Constants!D:D,1,false),"")</f>
        <v>deuteron mag. mom.</v>
      </c>
    </row>
    <row r="67">
      <c r="A67" s="6" t="s">
        <v>890</v>
      </c>
      <c r="B67" s="6" t="s">
        <v>3319</v>
      </c>
      <c r="C67" s="6" t="s">
        <v>3320</v>
      </c>
      <c r="E67" s="42">
        <f>countif(Constants!F:F,F67)</f>
        <v>1</v>
      </c>
      <c r="F67" s="21" t="str">
        <f>ifna(VLOOKUP($A67,Constants!$D:$F,3,false),"")</f>
        <v>DeuteronMagneticMomentToBohrMagnetonRatio</v>
      </c>
      <c r="G67" s="43" t="str">
        <f t="shared" si="1"/>
        <v>0.4669754554e-3</v>
      </c>
      <c r="H67" s="43">
        <f t="shared" si="2"/>
        <v>0.0004669754554</v>
      </c>
      <c r="I67" s="43" t="str">
        <f t="shared" si="3"/>
        <v>0.0000000026e-3</v>
      </c>
      <c r="J67" s="43">
        <f t="shared" si="4"/>
        <v>0</v>
      </c>
      <c r="K67" s="43" t="b">
        <f t="shared" si="5"/>
        <v>0</v>
      </c>
      <c r="L67" s="21" t="str">
        <f>IFERROR(__xludf.DUMMYFUNCTION("if(regexmatch(B67,""e(.*)$""),regexextract(B67,""e(.*)$""),"""")"),"-3")</f>
        <v>-3</v>
      </c>
      <c r="M67" s="45"/>
      <c r="N67" s="45">
        <f>countif(Constants!F:F,F67)</f>
        <v>1</v>
      </c>
      <c r="O67" s="21" t="str">
        <f>ifna(VLOOKUP(A67,Constants!D:D,1,false),"")</f>
        <v>deuteron mag. mom. to Bohr magneton ratio</v>
      </c>
    </row>
    <row r="68">
      <c r="A68" s="6" t="s">
        <v>895</v>
      </c>
      <c r="B68" s="6" t="s">
        <v>3315</v>
      </c>
      <c r="C68" s="6" t="s">
        <v>3316</v>
      </c>
      <c r="E68" s="42">
        <f>countif(Constants!F:F,F68)</f>
        <v>1</v>
      </c>
      <c r="F68" s="21" t="str">
        <f>ifna(VLOOKUP($A68,Constants!$D:$F,3,false),"")</f>
        <v>DeuteronMagneticMomentToNuclearMagnetonRatio</v>
      </c>
      <c r="G68" s="43" t="str">
        <f t="shared" si="1"/>
        <v>0.8574382311</v>
      </c>
      <c r="H68" s="43">
        <f t="shared" si="2"/>
        <v>0.8574382311</v>
      </c>
      <c r="I68" s="43" t="str">
        <f t="shared" si="3"/>
        <v>0.0000000048</v>
      </c>
      <c r="J68" s="43">
        <f t="shared" si="4"/>
        <v>0.0000000048</v>
      </c>
      <c r="K68" s="43" t="b">
        <f t="shared" si="5"/>
        <v>0</v>
      </c>
      <c r="L68" s="21" t="str">
        <f>IFERROR(__xludf.DUMMYFUNCTION("if(regexmatch(B68,""e(.*)$""),regexextract(B68,""e(.*)$""),"""")"),"")</f>
        <v/>
      </c>
      <c r="M68" s="45"/>
      <c r="N68" s="45">
        <f>countif(Constants!F:F,F68)</f>
        <v>1</v>
      </c>
      <c r="O68" s="21" t="str">
        <f>ifna(VLOOKUP(A68,Constants!D:D,1,false),"")</f>
        <v>deuteron mag. mom. to nuclear magneton ratio</v>
      </c>
    </row>
    <row r="69">
      <c r="A69" s="6" t="s">
        <v>900</v>
      </c>
      <c r="B69" s="6" t="s">
        <v>3321</v>
      </c>
      <c r="C69" s="6" t="s">
        <v>3322</v>
      </c>
      <c r="D69" s="6" t="s">
        <v>538</v>
      </c>
      <c r="E69" s="42">
        <f>countif(Constants!F:F,F69)</f>
        <v>1</v>
      </c>
      <c r="F69" s="21" t="str">
        <f>ifna(VLOOKUP($A69,Constants!$D:$F,3,false),"")</f>
        <v>DeuteronMass</v>
      </c>
      <c r="G69" s="43" t="str">
        <f t="shared" si="1"/>
        <v>3.343583719e-27</v>
      </c>
      <c r="H69" s="43">
        <f t="shared" si="2"/>
        <v>0</v>
      </c>
      <c r="I69" s="43" t="str">
        <f t="shared" si="3"/>
        <v>0.000000041e-27</v>
      </c>
      <c r="J69" s="43">
        <f t="shared" si="4"/>
        <v>0</v>
      </c>
      <c r="K69" s="43" t="b">
        <f t="shared" si="5"/>
        <v>0</v>
      </c>
      <c r="L69" s="21" t="str">
        <f>IFERROR(__xludf.DUMMYFUNCTION("if(regexmatch(B69,""e(.*)$""),regexextract(B69,""e(.*)$""),"""")"),"-27")</f>
        <v>-27</v>
      </c>
      <c r="M69" s="45"/>
      <c r="N69" s="45">
        <f>countif(Constants!F:F,F69)</f>
        <v>1</v>
      </c>
      <c r="O69" s="21" t="str">
        <f>ifna(VLOOKUP(A69,Constants!D:D,1,false),"")</f>
        <v>deuteron mass</v>
      </c>
    </row>
    <row r="70">
      <c r="A70" s="6" t="s">
        <v>904</v>
      </c>
      <c r="B70" s="6" t="s">
        <v>3323</v>
      </c>
      <c r="C70" s="6" t="s">
        <v>3324</v>
      </c>
      <c r="D70" s="6" t="s">
        <v>543</v>
      </c>
      <c r="E70" s="42">
        <f>countif(Constants!F:F,F70)</f>
        <v>1</v>
      </c>
      <c r="F70" s="21" t="str">
        <f>ifna(VLOOKUP($A70,Constants!$D:$F,3,false),"")</f>
        <v>DeuteronMassEnergyEquivalent</v>
      </c>
      <c r="G70" s="43" t="str">
        <f t="shared" si="1"/>
        <v>3.005063183e-10</v>
      </c>
      <c r="H70" s="43">
        <f t="shared" si="2"/>
        <v>0.0000000003005063183</v>
      </c>
      <c r="I70" s="43" t="str">
        <f t="shared" si="3"/>
        <v>0.000000037e-10</v>
      </c>
      <c r="J70" s="43">
        <f t="shared" si="4"/>
        <v>0</v>
      </c>
      <c r="K70" s="43" t="b">
        <f t="shared" si="5"/>
        <v>0</v>
      </c>
      <c r="L70" s="21" t="str">
        <f>IFERROR(__xludf.DUMMYFUNCTION("if(regexmatch(B70,""e(.*)$""),regexextract(B70,""e(.*)$""),"""")"),"-10")</f>
        <v>-10</v>
      </c>
      <c r="M70" s="45"/>
      <c r="N70" s="45">
        <f>countif(Constants!F:F,F70)</f>
        <v>1</v>
      </c>
      <c r="O70" s="21" t="str">
        <f>ifna(VLOOKUP(A70,Constants!D:D,1,false),"")</f>
        <v>deuteron mass energy equivalent</v>
      </c>
    </row>
    <row r="71">
      <c r="A71" s="6" t="s">
        <v>908</v>
      </c>
      <c r="B71" s="6" t="s">
        <v>3325</v>
      </c>
      <c r="C71" s="6" t="s">
        <v>2671</v>
      </c>
      <c r="D71" s="6" t="s">
        <v>548</v>
      </c>
      <c r="E71" s="42">
        <f>countif(Constants!F:F,F71)</f>
        <v>1</v>
      </c>
      <c r="F71" s="21" t="str">
        <f>ifna(VLOOKUP($A71,Constants!$D:$F,3,false),"")</f>
        <v>DeuteronMassEnergyEquivalentInMeV</v>
      </c>
      <c r="G71" s="43" t="str">
        <f t="shared" si="1"/>
        <v>1875.612928</v>
      </c>
      <c r="H71" s="43">
        <f t="shared" si="2"/>
        <v>1875.612928</v>
      </c>
      <c r="I71" s="43" t="str">
        <f t="shared" si="3"/>
        <v>0.000012</v>
      </c>
      <c r="J71" s="43">
        <f t="shared" si="4"/>
        <v>0.000012</v>
      </c>
      <c r="K71" s="43" t="b">
        <f t="shared" si="5"/>
        <v>0</v>
      </c>
      <c r="L71" s="21" t="str">
        <f>IFERROR(__xludf.DUMMYFUNCTION("if(regexmatch(B71,""e(.*)$""),regexextract(B71,""e(.*)$""),"""")"),"")</f>
        <v/>
      </c>
      <c r="M71" s="45"/>
      <c r="N71" s="45">
        <f>countif(Constants!F:F,F71)</f>
        <v>1</v>
      </c>
      <c r="O71" s="21" t="str">
        <f>ifna(VLOOKUP(A71,Constants!D:D,1,false),"")</f>
        <v>deuteron mass energy equivalent in MeV</v>
      </c>
    </row>
    <row r="72">
      <c r="A72" s="6" t="s">
        <v>911</v>
      </c>
      <c r="B72" s="6" t="s">
        <v>2866</v>
      </c>
      <c r="C72" s="6" t="s">
        <v>2867</v>
      </c>
      <c r="D72" s="6" t="s">
        <v>553</v>
      </c>
      <c r="E72" s="42">
        <f>countif(Constants!F:F,F72)</f>
        <v>1</v>
      </c>
      <c r="F72" s="21" t="str">
        <f>ifna(VLOOKUP($A72,Constants!$D:$F,3,false),"")</f>
        <v>DeuteronMassInAtomicMassUnit</v>
      </c>
      <c r="G72" s="43" t="str">
        <f t="shared" si="1"/>
        <v>2.013553212745</v>
      </c>
      <c r="H72" s="43">
        <f t="shared" si="2"/>
        <v>2.013553213</v>
      </c>
      <c r="I72" s="43" t="str">
        <f t="shared" si="3"/>
        <v>0.000000000040</v>
      </c>
      <c r="J72" s="43">
        <f t="shared" si="4"/>
        <v>0</v>
      </c>
      <c r="K72" s="43" t="b">
        <f t="shared" si="5"/>
        <v>0</v>
      </c>
      <c r="L72" s="21" t="str">
        <f>IFERROR(__xludf.DUMMYFUNCTION("if(regexmatch(B72,""e(.*)$""),regexextract(B72,""e(.*)$""),"""")"),"")</f>
        <v/>
      </c>
      <c r="M72" s="45"/>
      <c r="N72" s="45">
        <f>countif(Constants!F:F,F72)</f>
        <v>1</v>
      </c>
      <c r="O72" s="21" t="str">
        <f>ifna(VLOOKUP(A72,Constants!D:D,1,false),"")</f>
        <v>deuteron mass in u</v>
      </c>
    </row>
    <row r="73">
      <c r="A73" s="6" t="s">
        <v>914</v>
      </c>
      <c r="B73" s="6" t="s">
        <v>3326</v>
      </c>
      <c r="C73" s="6" t="s">
        <v>3327</v>
      </c>
      <c r="D73" s="6" t="s">
        <v>557</v>
      </c>
      <c r="E73" s="42">
        <f>countif(Constants!F:F,F73)</f>
        <v>1</v>
      </c>
      <c r="F73" s="21" t="str">
        <f>ifna(VLOOKUP($A73,Constants!$D:$F,3,false),"")</f>
        <v>DeuteronMolarMass</v>
      </c>
      <c r="G73" s="43" t="str">
        <f t="shared" si="1"/>
        <v>2.013553212745e-3</v>
      </c>
      <c r="H73" s="43">
        <f t="shared" si="2"/>
        <v>0.002013553213</v>
      </c>
      <c r="I73" s="43" t="str">
        <f t="shared" si="3"/>
        <v>0.000000000040e-3</v>
      </c>
      <c r="J73" s="43">
        <f t="shared" si="4"/>
        <v>0</v>
      </c>
      <c r="K73" s="43" t="b">
        <f t="shared" si="5"/>
        <v>0</v>
      </c>
      <c r="L73" s="21" t="str">
        <f>IFERROR(__xludf.DUMMYFUNCTION("if(regexmatch(B73,""e(.*)$""),regexextract(B73,""e(.*)$""),"""")"),"-3")</f>
        <v>-3</v>
      </c>
      <c r="M73" s="45"/>
      <c r="N73" s="45">
        <f>countif(Constants!F:F,F73)</f>
        <v>1</v>
      </c>
      <c r="O73" s="21" t="str">
        <f>ifna(VLOOKUP(A73,Constants!D:D,1,false),"")</f>
        <v>deuteron molar mass</v>
      </c>
    </row>
    <row r="74">
      <c r="A74" s="6" t="s">
        <v>918</v>
      </c>
      <c r="B74" s="6" t="s">
        <v>3328</v>
      </c>
      <c r="C74" s="6" t="s">
        <v>2352</v>
      </c>
      <c r="E74" s="42">
        <f>countif(Constants!F:F,F74)</f>
        <v>1</v>
      </c>
      <c r="F74" s="21" t="str">
        <f>ifna(VLOOKUP($A74,Constants!$D:$F,3,false),"")</f>
        <v>DeuteronNeutronMagneticMomentRatio</v>
      </c>
      <c r="G74" s="43" t="str">
        <f t="shared" si="1"/>
        <v>-0.44820652</v>
      </c>
      <c r="H74" s="43">
        <f t="shared" si="2"/>
        <v>-0.44820652</v>
      </c>
      <c r="I74" s="43" t="str">
        <f t="shared" si="3"/>
        <v>0.00000011</v>
      </c>
      <c r="J74" s="43">
        <f t="shared" si="4"/>
        <v>0.00000011</v>
      </c>
      <c r="K74" s="43" t="b">
        <f t="shared" si="5"/>
        <v>0</v>
      </c>
      <c r="L74" s="21" t="str">
        <f>IFERROR(__xludf.DUMMYFUNCTION("if(regexmatch(B74,""e(.*)$""),regexextract(B74,""e(.*)$""),"""")"),"")</f>
        <v/>
      </c>
      <c r="M74" s="45"/>
      <c r="N74" s="45">
        <f>countif(Constants!F:F,F74)</f>
        <v>1</v>
      </c>
      <c r="O74" s="21" t="str">
        <f>ifna(VLOOKUP(A74,Constants!D:D,1,false),"")</f>
        <v>deuteron-neutron mag. mom. ratio</v>
      </c>
    </row>
    <row r="75">
      <c r="A75" s="6" t="s">
        <v>923</v>
      </c>
      <c r="B75" s="6" t="s">
        <v>3329</v>
      </c>
      <c r="C75" s="6" t="s">
        <v>3330</v>
      </c>
      <c r="E75" s="42">
        <f>countif(Constants!F:F,F75)</f>
        <v>1</v>
      </c>
      <c r="F75" s="21" t="str">
        <f>ifna(VLOOKUP($A75,Constants!$D:$F,3,false),"")</f>
        <v>DeuteronProtonMagneticMomentRatio</v>
      </c>
      <c r="G75" s="43" t="str">
        <f t="shared" si="1"/>
        <v>0.3070122077</v>
      </c>
      <c r="H75" s="43">
        <f t="shared" si="2"/>
        <v>0.3070122077</v>
      </c>
      <c r="I75" s="43" t="str">
        <f t="shared" si="3"/>
        <v>0.0000000015</v>
      </c>
      <c r="J75" s="43">
        <f t="shared" si="4"/>
        <v>0.0000000015</v>
      </c>
      <c r="K75" s="43" t="b">
        <f t="shared" si="5"/>
        <v>0</v>
      </c>
      <c r="L75" s="21" t="str">
        <f>IFERROR(__xludf.DUMMYFUNCTION("if(regexmatch(B75,""e(.*)$""),regexextract(B75,""e(.*)$""),"""")"),"")</f>
        <v/>
      </c>
      <c r="M75" s="45"/>
      <c r="N75" s="45">
        <f>countif(Constants!F:F,F75)</f>
        <v>1</v>
      </c>
      <c r="O75" s="21" t="str">
        <f>ifna(VLOOKUP(A75,Constants!D:D,1,false),"")</f>
        <v>deuteron-proton mag. mom. ratio</v>
      </c>
    </row>
    <row r="76">
      <c r="A76" s="6" t="s">
        <v>928</v>
      </c>
      <c r="B76" s="6" t="s">
        <v>3331</v>
      </c>
      <c r="C76" s="6" t="s">
        <v>3332</v>
      </c>
      <c r="E76" s="42">
        <f>countif(Constants!F:F,F76)</f>
        <v>1</v>
      </c>
      <c r="F76" s="21" t="str">
        <f>ifna(VLOOKUP($A76,Constants!$D:$F,3,false),"")</f>
        <v>DeuteronProtonMassRatio</v>
      </c>
      <c r="G76" s="43" t="str">
        <f t="shared" si="1"/>
        <v>1.99900750087</v>
      </c>
      <c r="H76" s="43">
        <f t="shared" si="2"/>
        <v>1.999007501</v>
      </c>
      <c r="I76" s="43" t="str">
        <f t="shared" si="3"/>
        <v>0.00000000019</v>
      </c>
      <c r="J76" s="43">
        <f t="shared" si="4"/>
        <v>0.00000000019</v>
      </c>
      <c r="K76" s="43" t="b">
        <f t="shared" si="5"/>
        <v>0</v>
      </c>
      <c r="L76" s="21" t="str">
        <f>IFERROR(__xludf.DUMMYFUNCTION("if(regexmatch(B76,""e(.*)$""),regexextract(B76,""e(.*)$""),"""")"),"")</f>
        <v/>
      </c>
      <c r="M76" s="45"/>
      <c r="N76" s="45">
        <f>countif(Constants!F:F,F76)</f>
        <v>1</v>
      </c>
      <c r="O76" s="21" t="str">
        <f>ifna(VLOOKUP(A76,Constants!D:D,1,false),"")</f>
        <v>deuteron-proton mass ratio</v>
      </c>
    </row>
    <row r="77">
      <c r="A77" s="6" t="s">
        <v>936</v>
      </c>
      <c r="B77" s="46" t="s">
        <v>3333</v>
      </c>
      <c r="C77" s="46" t="s">
        <v>3334</v>
      </c>
      <c r="D77" s="6" t="s">
        <v>571</v>
      </c>
      <c r="E77" s="42">
        <f>countif(Constants!F:F,F77)</f>
        <v>1</v>
      </c>
      <c r="F77" s="21" t="str">
        <f>ifna(VLOOKUP($A77,Constants!$D:$F,3,false),"")</f>
        <v>DeuteronRmsChargeRadius</v>
      </c>
      <c r="G77" s="43" t="str">
        <f t="shared" si="1"/>
        <v>2.1413e-15</v>
      </c>
      <c r="H77" s="43">
        <f t="shared" si="2"/>
        <v>0</v>
      </c>
      <c r="I77" s="43" t="str">
        <f t="shared" si="3"/>
        <v>0.0025e-15</v>
      </c>
      <c r="J77" s="43">
        <f t="shared" si="4"/>
        <v>0</v>
      </c>
      <c r="K77" s="43" t="b">
        <f t="shared" si="5"/>
        <v>0</v>
      </c>
      <c r="L77" s="21" t="str">
        <f>IFERROR(__xludf.DUMMYFUNCTION("if(regexmatch(B77,""e(.*)$""),regexextract(B77,""e(.*)$""),"""")"),"-15")</f>
        <v>-15</v>
      </c>
      <c r="M77" s="45"/>
      <c r="N77" s="45">
        <f>countif(Constants!F:F,F77)</f>
        <v>1</v>
      </c>
      <c r="O77" s="21" t="str">
        <f>ifna(VLOOKUP(A77,Constants!D:D,1,false),"")</f>
        <v>deuteron rms charge radius</v>
      </c>
    </row>
    <row r="78">
      <c r="A78" s="6" t="s">
        <v>2177</v>
      </c>
      <c r="B78" s="6" t="s">
        <v>3335</v>
      </c>
      <c r="C78" s="6" t="s">
        <v>2261</v>
      </c>
      <c r="D78" s="6" t="s">
        <v>743</v>
      </c>
      <c r="E78" s="42">
        <f>countif(Constants!F:F,F78)</f>
        <v>1</v>
      </c>
      <c r="F78" s="6" t="s">
        <v>286</v>
      </c>
      <c r="G78" s="43" t="str">
        <f t="shared" si="1"/>
        <v>8.854187817e-12</v>
      </c>
      <c r="H78" s="43">
        <f t="shared" si="2"/>
        <v>0</v>
      </c>
      <c r="I78" s="43" t="str">
        <f t="shared" si="3"/>
        <v>(exact)</v>
      </c>
      <c r="J78" s="43" t="str">
        <f t="shared" si="4"/>
        <v/>
      </c>
      <c r="K78" s="43" t="b">
        <f t="shared" si="5"/>
        <v>1</v>
      </c>
      <c r="L78" s="21" t="str">
        <f>IFERROR(__xludf.DUMMYFUNCTION("if(regexmatch(B78,""e(.*)$""),regexextract(B78,""e(.*)$""),"""")"),"-12")</f>
        <v>-12</v>
      </c>
      <c r="M78" s="45"/>
      <c r="N78" s="45">
        <f>countif(Constants!F:F,F78)</f>
        <v>1</v>
      </c>
      <c r="O78" s="21" t="str">
        <f>ifna(VLOOKUP(A78,Constants!D:D,1,false),"")</f>
        <v/>
      </c>
    </row>
    <row r="79">
      <c r="A79" s="6" t="s">
        <v>940</v>
      </c>
      <c r="B79" s="6" t="s">
        <v>3336</v>
      </c>
      <c r="C79" s="6" t="s">
        <v>3337</v>
      </c>
      <c r="D79" s="6" t="s">
        <v>941</v>
      </c>
      <c r="E79" s="42">
        <f>countif(Constants!F:F,F79)</f>
        <v>1</v>
      </c>
      <c r="F79" s="21" t="str">
        <f>ifna(VLOOKUP($A79,Constants!$D:$F,3,false),"")</f>
        <v>ElectronChargeToMassQuotient</v>
      </c>
      <c r="G79" s="43" t="str">
        <f t="shared" si="1"/>
        <v>-1.758820024e11</v>
      </c>
      <c r="H79" s="43">
        <f t="shared" si="2"/>
        <v>-175882002400</v>
      </c>
      <c r="I79" s="43" t="str">
        <f t="shared" si="3"/>
        <v>0.000000011e11</v>
      </c>
      <c r="J79" s="43">
        <f t="shared" si="4"/>
        <v>1100</v>
      </c>
      <c r="K79" s="43" t="b">
        <f t="shared" si="5"/>
        <v>0</v>
      </c>
      <c r="L79" s="21" t="str">
        <f>IFERROR(__xludf.DUMMYFUNCTION("if(regexmatch(B79,""e(.*)$""),regexextract(B79,""e(.*)$""),"""")"),"11")</f>
        <v>11</v>
      </c>
      <c r="M79" s="45"/>
      <c r="N79" s="45">
        <f>countif(Constants!F:F,F79)</f>
        <v>1</v>
      </c>
      <c r="O79" s="21" t="str">
        <f>ifna(VLOOKUP(A79,Constants!D:D,1,false),"")</f>
        <v>electron charge to mass quotient</v>
      </c>
    </row>
    <row r="80">
      <c r="A80" s="6" t="s">
        <v>946</v>
      </c>
      <c r="B80" s="6" t="s">
        <v>3338</v>
      </c>
      <c r="C80" s="6" t="s">
        <v>2671</v>
      </c>
      <c r="E80" s="42">
        <f>countif(Constants!F:F,F80)</f>
        <v>1</v>
      </c>
      <c r="F80" s="21" t="str">
        <f>ifna(VLOOKUP($A80,Constants!$D:$F,3,false),"")</f>
        <v>ElectronDeuteronMagneticMomentRatio</v>
      </c>
      <c r="G80" s="43" t="str">
        <f t="shared" si="1"/>
        <v>-2143.923499</v>
      </c>
      <c r="H80" s="43">
        <f t="shared" si="2"/>
        <v>-2143.923499</v>
      </c>
      <c r="I80" s="43" t="str">
        <f t="shared" si="3"/>
        <v>0.000012</v>
      </c>
      <c r="J80" s="43">
        <f t="shared" si="4"/>
        <v>0.000012</v>
      </c>
      <c r="K80" s="43" t="b">
        <f t="shared" si="5"/>
        <v>0</v>
      </c>
      <c r="L80" s="21" t="str">
        <f>IFERROR(__xludf.DUMMYFUNCTION("if(regexmatch(B80,""e(.*)$""),regexextract(B80,""e(.*)$""),"""")"),"")</f>
        <v/>
      </c>
      <c r="M80" s="45"/>
      <c r="N80" s="45">
        <f>countif(Constants!F:F,F80)</f>
        <v>1</v>
      </c>
      <c r="O80" s="21" t="str">
        <f>ifna(VLOOKUP(A80,Constants!D:D,1,false),"")</f>
        <v>electron-deuteron mag. mom. ratio</v>
      </c>
    </row>
    <row r="81">
      <c r="A81" s="6" t="s">
        <v>951</v>
      </c>
      <c r="B81" s="6" t="s">
        <v>3339</v>
      </c>
      <c r="C81" s="6" t="s">
        <v>2880</v>
      </c>
      <c r="E81" s="42">
        <f>countif(Constants!F:F,F81)</f>
        <v>1</v>
      </c>
      <c r="F81" s="21" t="str">
        <f>ifna(VLOOKUP($A81,Constants!$D:$F,3,false),"")</f>
        <v>ElectronDeuteronMassRatio</v>
      </c>
      <c r="G81" s="43" t="str">
        <f t="shared" si="1"/>
        <v>2.724437107484e-4</v>
      </c>
      <c r="H81" s="43">
        <f t="shared" si="2"/>
        <v>0.0002724437107</v>
      </c>
      <c r="I81" s="43" t="str">
        <f t="shared" si="3"/>
        <v>0.000000000096e-4</v>
      </c>
      <c r="J81" s="43">
        <f t="shared" si="4"/>
        <v>0</v>
      </c>
      <c r="K81" s="43" t="b">
        <f t="shared" si="5"/>
        <v>0</v>
      </c>
      <c r="L81" s="21" t="str">
        <f>IFERROR(__xludf.DUMMYFUNCTION("if(regexmatch(B81,""e(.*)$""),regexextract(B81,""e(.*)$""),"""")"),"-4")</f>
        <v>-4</v>
      </c>
      <c r="M81" s="45"/>
      <c r="N81" s="45">
        <f>countif(Constants!F:F,F81)</f>
        <v>1</v>
      </c>
      <c r="O81" s="21" t="str">
        <f>ifna(VLOOKUP(A81,Constants!D:D,1,false),"")</f>
        <v>electron-deuteron mass ratio</v>
      </c>
    </row>
    <row r="82">
      <c r="A82" s="6" t="s">
        <v>956</v>
      </c>
      <c r="B82" s="6" t="s">
        <v>3340</v>
      </c>
      <c r="C82" s="6" t="s">
        <v>3341</v>
      </c>
      <c r="E82" s="42">
        <f>countif(Constants!F:F,F82)</f>
        <v>1</v>
      </c>
      <c r="F82" s="21" t="str">
        <f>ifna(VLOOKUP($A82,Constants!$D:$F,3,false),"")</f>
        <v>ElectronGFactor</v>
      </c>
      <c r="G82" s="43" t="str">
        <f t="shared" si="1"/>
        <v>-2.00231930436182</v>
      </c>
      <c r="H82" s="43">
        <f t="shared" si="2"/>
        <v>-2.002319304</v>
      </c>
      <c r="I82" s="43" t="str">
        <f t="shared" si="3"/>
        <v>0.00000000000052</v>
      </c>
      <c r="J82" s="43">
        <f t="shared" si="4"/>
        <v>0</v>
      </c>
      <c r="K82" s="43" t="b">
        <f t="shared" si="5"/>
        <v>0</v>
      </c>
      <c r="L82" s="21" t="str">
        <f>IFERROR(__xludf.DUMMYFUNCTION("if(regexmatch(B82,""e(.*)$""),regexextract(B82,""e(.*)$""),"""")"),"")</f>
        <v/>
      </c>
      <c r="M82" s="45"/>
      <c r="N82" s="45">
        <f>countif(Constants!F:F,F82)</f>
        <v>1</v>
      </c>
      <c r="O82" s="21" t="str">
        <f>ifna(VLOOKUP(A82,Constants!D:D,1,false),"")</f>
        <v>electron g factor</v>
      </c>
    </row>
    <row r="83">
      <c r="A83" s="6" t="s">
        <v>960</v>
      </c>
      <c r="B83" s="6" t="s">
        <v>3342</v>
      </c>
      <c r="C83" s="6" t="s">
        <v>3337</v>
      </c>
      <c r="D83" s="6" t="s">
        <v>961</v>
      </c>
      <c r="E83" s="42">
        <f>countif(Constants!F:F,F83)</f>
        <v>1</v>
      </c>
      <c r="F83" s="21" t="str">
        <f>ifna(VLOOKUP($A83,Constants!$D:$F,3,false),"")</f>
        <v>ElectronGyromagneticRatio</v>
      </c>
      <c r="G83" s="43" t="str">
        <f t="shared" si="1"/>
        <v>1.760859644e11</v>
      </c>
      <c r="H83" s="43">
        <f t="shared" si="2"/>
        <v>176085964400</v>
      </c>
      <c r="I83" s="43" t="str">
        <f t="shared" si="3"/>
        <v>0.000000011e11</v>
      </c>
      <c r="J83" s="43">
        <f t="shared" si="4"/>
        <v>1100</v>
      </c>
      <c r="K83" s="43" t="b">
        <f t="shared" si="5"/>
        <v>0</v>
      </c>
      <c r="L83" s="21" t="str">
        <f>IFERROR(__xludf.DUMMYFUNCTION("if(regexmatch(B83,""e(.*)$""),regexextract(B83,""e(.*)$""),"""")"),"11")</f>
        <v>11</v>
      </c>
      <c r="M83" s="45"/>
      <c r="N83" s="45">
        <f>countif(Constants!F:F,F83)</f>
        <v>1</v>
      </c>
      <c r="O83" s="21" t="str">
        <f>ifna(VLOOKUP(A83,Constants!D:D,1,false),"")</f>
        <v>electron gyromag. ratio</v>
      </c>
    </row>
    <row r="84">
      <c r="A84" s="6" t="s">
        <v>966</v>
      </c>
      <c r="B84" s="6" t="s">
        <v>3343</v>
      </c>
      <c r="C84" s="6" t="s">
        <v>3204</v>
      </c>
      <c r="D84" s="6" t="s">
        <v>969</v>
      </c>
      <c r="E84" s="42">
        <f>countif(Constants!F:F,F84)</f>
        <v>1</v>
      </c>
      <c r="F84" s="13" t="s">
        <v>3344</v>
      </c>
      <c r="G84" s="43" t="str">
        <f t="shared" si="1"/>
        <v>28024.95164</v>
      </c>
      <c r="H84" s="43">
        <f t="shared" si="2"/>
        <v>28024.95164</v>
      </c>
      <c r="I84" s="43" t="str">
        <f t="shared" si="3"/>
        <v>0.00017</v>
      </c>
      <c r="J84" s="43">
        <f t="shared" si="4"/>
        <v>0.00017</v>
      </c>
      <c r="K84" s="43" t="b">
        <f t="shared" si="5"/>
        <v>0</v>
      </c>
      <c r="L84" s="21" t="str">
        <f>IFERROR(__xludf.DUMMYFUNCTION("if(regexmatch(B84,""e(.*)$""),regexextract(B84,""e(.*)$""),"""")"),"")</f>
        <v/>
      </c>
      <c r="M84" s="45"/>
      <c r="N84" s="45">
        <f>countif(Constants!F:F,F84)</f>
        <v>1</v>
      </c>
      <c r="O84" s="21" t="str">
        <f>ifna(VLOOKUP(A84,Constants!D:D,1,false),"")</f>
        <v/>
      </c>
    </row>
    <row r="85">
      <c r="A85" s="6" t="s">
        <v>975</v>
      </c>
      <c r="B85" s="6" t="s">
        <v>3345</v>
      </c>
      <c r="C85" s="6" t="s">
        <v>3346</v>
      </c>
      <c r="E85" s="42">
        <f>countif(Constants!F:F,F85)</f>
        <v>1</v>
      </c>
      <c r="F85" s="21" t="str">
        <f>ifna(VLOOKUP($A85,Constants!$D:$F,3,false),"")</f>
        <v>Electron-HelionMassRatio</v>
      </c>
      <c r="G85" s="43" t="str">
        <f t="shared" si="1"/>
        <v>1.819543074854e-4</v>
      </c>
      <c r="H85" s="43">
        <f t="shared" si="2"/>
        <v>0.0001819543075</v>
      </c>
      <c r="I85" s="43" t="str">
        <f t="shared" si="3"/>
        <v>0.000000000088e-4</v>
      </c>
      <c r="J85" s="43">
        <f t="shared" si="4"/>
        <v>0</v>
      </c>
      <c r="K85" s="43" t="b">
        <f t="shared" si="5"/>
        <v>0</v>
      </c>
      <c r="L85" s="21" t="str">
        <f>IFERROR(__xludf.DUMMYFUNCTION("if(regexmatch(B85,""e(.*)$""),regexextract(B85,""e(.*)$""),"""")"),"-4")</f>
        <v>-4</v>
      </c>
      <c r="M85" s="45"/>
      <c r="N85" s="45">
        <f>countif(Constants!F:F,F85)</f>
        <v>1</v>
      </c>
      <c r="O85" s="21" t="str">
        <f>ifna(VLOOKUP(A85,Constants!D:D,1,false),"")</f>
        <v>electron-helion mass ratio</v>
      </c>
    </row>
    <row r="86">
      <c r="A86" s="6" t="s">
        <v>979</v>
      </c>
      <c r="B86" s="6" t="s">
        <v>3347</v>
      </c>
      <c r="C86" s="6" t="s">
        <v>3283</v>
      </c>
      <c r="D86" s="6" t="s">
        <v>714</v>
      </c>
      <c r="E86" s="42">
        <f>countif(Constants!F:F,F86)</f>
        <v>1</v>
      </c>
      <c r="F86" s="21" t="str">
        <f>ifna(VLOOKUP($A86,Constants!$D:$F,3,false),"")</f>
        <v>ElectronMagneticMoment</v>
      </c>
      <c r="G86" s="43" t="str">
        <f t="shared" si="1"/>
        <v>-928.4764620e-26</v>
      </c>
      <c r="H86" s="43">
        <f t="shared" si="2"/>
        <v>0</v>
      </c>
      <c r="I86" s="43" t="str">
        <f t="shared" si="3"/>
        <v>0.0000057e-26</v>
      </c>
      <c r="J86" s="43">
        <f t="shared" si="4"/>
        <v>0</v>
      </c>
      <c r="K86" s="43" t="b">
        <f t="shared" si="5"/>
        <v>0</v>
      </c>
      <c r="L86" s="21" t="str">
        <f>IFERROR(__xludf.DUMMYFUNCTION("if(regexmatch(B86,""e(.*)$""),regexextract(B86,""e(.*)$""),"""")"),"-26")</f>
        <v>-26</v>
      </c>
      <c r="M86" s="45"/>
      <c r="N86" s="45">
        <f>countif(Constants!F:F,F86)</f>
        <v>1</v>
      </c>
      <c r="O86" s="21" t="str">
        <f>ifna(VLOOKUP(A86,Constants!D:D,1,false),"")</f>
        <v>electron mag. mom.</v>
      </c>
    </row>
    <row r="87">
      <c r="A87" s="6" t="s">
        <v>984</v>
      </c>
      <c r="B87" s="6" t="s">
        <v>3348</v>
      </c>
      <c r="C87" s="6" t="s">
        <v>3349</v>
      </c>
      <c r="E87" s="42">
        <f>countif(Constants!F:F,F87)</f>
        <v>1</v>
      </c>
      <c r="F87" s="21" t="str">
        <f>ifna(VLOOKUP($A87,Constants!$D:$F,3,false),"")</f>
        <v>ElectronMagneticMomentAnomaly</v>
      </c>
      <c r="G87" s="43" t="str">
        <f t="shared" si="1"/>
        <v>1.15965218091e-3</v>
      </c>
      <c r="H87" s="43">
        <f t="shared" si="2"/>
        <v>0.001159652181</v>
      </c>
      <c r="I87" s="43" t="str">
        <f t="shared" si="3"/>
        <v>0.00000000026e-3</v>
      </c>
      <c r="J87" s="43">
        <f t="shared" si="4"/>
        <v>0</v>
      </c>
      <c r="K87" s="43" t="b">
        <f t="shared" si="5"/>
        <v>0</v>
      </c>
      <c r="L87" s="21" t="str">
        <f>IFERROR(__xludf.DUMMYFUNCTION("if(regexmatch(B87,""e(.*)$""),regexextract(B87,""e(.*)$""),"""")"),"-3")</f>
        <v>-3</v>
      </c>
      <c r="M87" s="45"/>
      <c r="N87" s="45">
        <f>countif(Constants!F:F,F87)</f>
        <v>1</v>
      </c>
      <c r="O87" s="21" t="str">
        <f>ifna(VLOOKUP(A87,Constants!D:D,1,false),"")</f>
        <v>electron mag. mom. anomaly</v>
      </c>
    </row>
    <row r="88">
      <c r="A88" s="6" t="s">
        <v>989</v>
      </c>
      <c r="B88" s="6" t="s">
        <v>3350</v>
      </c>
      <c r="C88" s="6" t="s">
        <v>3351</v>
      </c>
      <c r="E88" s="42">
        <f>countif(Constants!F:F,F88)</f>
        <v>1</v>
      </c>
      <c r="F88" s="21" t="str">
        <f>ifna(VLOOKUP($A88,Constants!$D:$F,3,false),"")</f>
        <v>ElectronMagneticMomentToBohrMagnetonRatio</v>
      </c>
      <c r="G88" s="43" t="str">
        <f t="shared" si="1"/>
        <v>-1.00115965218091</v>
      </c>
      <c r="H88" s="43">
        <f t="shared" si="2"/>
        <v>-1.001159652</v>
      </c>
      <c r="I88" s="43" t="str">
        <f t="shared" si="3"/>
        <v>0.00000000000026</v>
      </c>
      <c r="J88" s="43">
        <f t="shared" si="4"/>
        <v>0</v>
      </c>
      <c r="K88" s="43" t="b">
        <f t="shared" si="5"/>
        <v>0</v>
      </c>
      <c r="L88" s="21" t="str">
        <f>IFERROR(__xludf.DUMMYFUNCTION("if(regexmatch(B88,""e(.*)$""),regexextract(B88,""e(.*)$""),"""")"),"")</f>
        <v/>
      </c>
      <c r="M88" s="45"/>
      <c r="N88" s="45">
        <f>countif(Constants!F:F,F88)</f>
        <v>1</v>
      </c>
      <c r="O88" s="21" t="str">
        <f>ifna(VLOOKUP(A88,Constants!D:D,1,false),"")</f>
        <v>electron mag. mom. to Bohr magneton ratio</v>
      </c>
    </row>
    <row r="89">
      <c r="A89" s="6" t="s">
        <v>994</v>
      </c>
      <c r="B89" s="6" t="s">
        <v>3352</v>
      </c>
      <c r="C89" s="6" t="s">
        <v>2223</v>
      </c>
      <c r="E89" s="42">
        <f>countif(Constants!F:F,F89)</f>
        <v>1</v>
      </c>
      <c r="F89" s="21" t="str">
        <f>ifna(VLOOKUP($A89,Constants!$D:$F,3,false),"")</f>
        <v>ElectronMagneticMomentToNuclearMagnetonRatio</v>
      </c>
      <c r="G89" s="43" t="str">
        <f t="shared" si="1"/>
        <v>-1838.28197234</v>
      </c>
      <c r="H89" s="43">
        <f t="shared" si="2"/>
        <v>-1838.281972</v>
      </c>
      <c r="I89" s="43" t="str">
        <f t="shared" si="3"/>
        <v>0.00000017</v>
      </c>
      <c r="J89" s="43">
        <f t="shared" si="4"/>
        <v>0.00000017</v>
      </c>
      <c r="K89" s="43" t="b">
        <f t="shared" si="5"/>
        <v>0</v>
      </c>
      <c r="L89" s="21" t="str">
        <f>IFERROR(__xludf.DUMMYFUNCTION("if(regexmatch(B89,""e(.*)$""),regexextract(B89,""e(.*)$""),"""")"),"")</f>
        <v/>
      </c>
      <c r="M89" s="45"/>
      <c r="N89" s="45">
        <f>countif(Constants!F:F,F89)</f>
        <v>1</v>
      </c>
      <c r="O89" s="21" t="str">
        <f>ifna(VLOOKUP(A89,Constants!D:D,1,false),"")</f>
        <v>electron mag. mom. to nuclear magneton ratio</v>
      </c>
    </row>
    <row r="90">
      <c r="A90" s="6" t="s">
        <v>999</v>
      </c>
      <c r="B90" s="6" t="s">
        <v>3270</v>
      </c>
      <c r="C90" s="6" t="s">
        <v>3271</v>
      </c>
      <c r="D90" s="6" t="s">
        <v>538</v>
      </c>
      <c r="E90" s="42">
        <f>countif(Constants!F:F,F90)</f>
        <v>1</v>
      </c>
      <c r="F90" s="21" t="str">
        <f>ifna(VLOOKUP($A90,Constants!$D:$F,3,false),"")</f>
        <v>ElectronMass</v>
      </c>
      <c r="G90" s="43" t="str">
        <f t="shared" si="1"/>
        <v>9.10938356e-31</v>
      </c>
      <c r="H90" s="43">
        <f t="shared" si="2"/>
        <v>0</v>
      </c>
      <c r="I90" s="43" t="str">
        <f t="shared" si="3"/>
        <v>0.00000011e-31</v>
      </c>
      <c r="J90" s="43">
        <f t="shared" si="4"/>
        <v>0</v>
      </c>
      <c r="K90" s="43" t="b">
        <f t="shared" si="5"/>
        <v>0</v>
      </c>
      <c r="L90" s="21" t="str">
        <f>IFERROR(__xludf.DUMMYFUNCTION("if(regexmatch(B90,""e(.*)$""),regexextract(B90,""e(.*)$""),"""")"),"-31")</f>
        <v>-31</v>
      </c>
      <c r="M90" s="45"/>
      <c r="N90" s="45">
        <f>countif(Constants!F:F,F90)</f>
        <v>1</v>
      </c>
      <c r="O90" s="21" t="str">
        <f>ifna(VLOOKUP(A90,Constants!D:D,1,false),"")</f>
        <v>electron mass</v>
      </c>
    </row>
    <row r="91">
      <c r="A91" s="6" t="s">
        <v>1004</v>
      </c>
      <c r="B91" s="6" t="s">
        <v>3353</v>
      </c>
      <c r="C91" s="6" t="s">
        <v>3354</v>
      </c>
      <c r="D91" s="6" t="s">
        <v>543</v>
      </c>
      <c r="E91" s="42">
        <f>countif(Constants!F:F,F91)</f>
        <v>1</v>
      </c>
      <c r="F91" s="21" t="str">
        <f>ifna(VLOOKUP($A91,Constants!$D:$F,3,false),"")</f>
        <v>ElectronMassEnergyEquivalent</v>
      </c>
      <c r="G91" s="43" t="str">
        <f t="shared" si="1"/>
        <v>8.18710565e-14</v>
      </c>
      <c r="H91" s="43">
        <f t="shared" si="2"/>
        <v>0</v>
      </c>
      <c r="I91" s="43" t="str">
        <f t="shared" si="3"/>
        <v>0.00000010e-14</v>
      </c>
      <c r="J91" s="43">
        <f t="shared" si="4"/>
        <v>0</v>
      </c>
      <c r="K91" s="43" t="b">
        <f t="shared" si="5"/>
        <v>0</v>
      </c>
      <c r="L91" s="21" t="str">
        <f>IFERROR(__xludf.DUMMYFUNCTION("if(regexmatch(B91,""e(.*)$""),regexextract(B91,""e(.*)$""),"""")"),"-14")</f>
        <v>-14</v>
      </c>
      <c r="M91" s="45"/>
      <c r="N91" s="45">
        <f>countif(Constants!F:F,F91)</f>
        <v>1</v>
      </c>
      <c r="O91" s="21" t="str">
        <f>ifna(VLOOKUP(A91,Constants!D:D,1,false),"")</f>
        <v>electron mass energy equivalent</v>
      </c>
    </row>
    <row r="92">
      <c r="A92" s="6" t="s">
        <v>1008</v>
      </c>
      <c r="B92" s="6" t="s">
        <v>3355</v>
      </c>
      <c r="C92" s="6" t="s">
        <v>2692</v>
      </c>
      <c r="D92" s="6" t="s">
        <v>548</v>
      </c>
      <c r="E92" s="42">
        <f>countif(Constants!F:F,F92)</f>
        <v>1</v>
      </c>
      <c r="F92" s="21" t="str">
        <f>ifna(VLOOKUP($A92,Constants!$D:$F,3,false),"")</f>
        <v>ElectronMassEnergyEquivalentInMeV</v>
      </c>
      <c r="G92" s="43" t="str">
        <f t="shared" si="1"/>
        <v>0.5109989461</v>
      </c>
      <c r="H92" s="43">
        <f t="shared" si="2"/>
        <v>0.5109989461</v>
      </c>
      <c r="I92" s="43" t="str">
        <f t="shared" si="3"/>
        <v>0.0000000031</v>
      </c>
      <c r="J92" s="43">
        <f t="shared" si="4"/>
        <v>0.0000000031</v>
      </c>
      <c r="K92" s="43" t="b">
        <f t="shared" si="5"/>
        <v>0</v>
      </c>
      <c r="L92" s="21" t="str">
        <f>IFERROR(__xludf.DUMMYFUNCTION("if(regexmatch(B92,""e(.*)$""),regexextract(B92,""e(.*)$""),"""")"),"")</f>
        <v/>
      </c>
      <c r="M92" s="45"/>
      <c r="N92" s="45">
        <f>countif(Constants!F:F,F92)</f>
        <v>1</v>
      </c>
      <c r="O92" s="21" t="str">
        <f>ifna(VLOOKUP(A92,Constants!D:D,1,false),"")</f>
        <v>electron mass energy equivalent in MeV</v>
      </c>
    </row>
    <row r="93">
      <c r="A93" s="6" t="s">
        <v>1011</v>
      </c>
      <c r="B93" s="6" t="s">
        <v>3356</v>
      </c>
      <c r="C93" s="6" t="s">
        <v>2897</v>
      </c>
      <c r="D93" s="6" t="s">
        <v>553</v>
      </c>
      <c r="E93" s="42">
        <f>countif(Constants!F:F,F93)</f>
        <v>1</v>
      </c>
      <c r="F93" s="21" t="str">
        <f>ifna(VLOOKUP($A93,Constants!$D:$F,3,false),"")</f>
        <v>ElectronMassInAtomicMassUnit</v>
      </c>
      <c r="G93" s="43" t="str">
        <f t="shared" si="1"/>
        <v>5.48579909070e-4</v>
      </c>
      <c r="H93" s="43">
        <f t="shared" si="2"/>
        <v>0.0005485799091</v>
      </c>
      <c r="I93" s="43" t="str">
        <f t="shared" si="3"/>
        <v>0.00000000016e-4</v>
      </c>
      <c r="J93" s="43">
        <f t="shared" si="4"/>
        <v>0</v>
      </c>
      <c r="K93" s="43" t="b">
        <f t="shared" si="5"/>
        <v>0</v>
      </c>
      <c r="L93" s="21" t="str">
        <f>IFERROR(__xludf.DUMMYFUNCTION("if(regexmatch(B93,""e(.*)$""),regexextract(B93,""e(.*)$""),"""")"),"-4")</f>
        <v>-4</v>
      </c>
      <c r="M93" s="45"/>
      <c r="N93" s="45">
        <f>countif(Constants!F:F,F93)</f>
        <v>1</v>
      </c>
      <c r="O93" s="21" t="str">
        <f>ifna(VLOOKUP(A93,Constants!D:D,1,false),"")</f>
        <v>electron mass in u</v>
      </c>
    </row>
    <row r="94">
      <c r="A94" s="6" t="s">
        <v>1014</v>
      </c>
      <c r="B94" s="6" t="s">
        <v>3357</v>
      </c>
      <c r="C94" s="6" t="s">
        <v>3358</v>
      </c>
      <c r="D94" s="6" t="s">
        <v>557</v>
      </c>
      <c r="E94" s="42">
        <f>countif(Constants!F:F,F94)</f>
        <v>1</v>
      </c>
      <c r="F94" s="21" t="str">
        <f>ifna(VLOOKUP($A94,Constants!$D:$F,3,false),"")</f>
        <v>ElectronMolarMass</v>
      </c>
      <c r="G94" s="43" t="str">
        <f t="shared" si="1"/>
        <v>5.48579909070e-7</v>
      </c>
      <c r="H94" s="43">
        <f t="shared" si="2"/>
        <v>0.0000005485799091</v>
      </c>
      <c r="I94" s="43" t="str">
        <f t="shared" si="3"/>
        <v>0.00000000016e-7</v>
      </c>
      <c r="J94" s="43">
        <f t="shared" si="4"/>
        <v>0</v>
      </c>
      <c r="K94" s="43" t="b">
        <f t="shared" si="5"/>
        <v>0</v>
      </c>
      <c r="L94" s="21" t="str">
        <f>IFERROR(__xludf.DUMMYFUNCTION("if(regexmatch(B94,""e(.*)$""),regexextract(B94,""e(.*)$""),"""")"),"-7")</f>
        <v>-7</v>
      </c>
      <c r="M94" s="45"/>
      <c r="N94" s="45">
        <f>countif(Constants!F:F,F94)</f>
        <v>1</v>
      </c>
      <c r="O94" s="21" t="str">
        <f>ifna(VLOOKUP(A94,Constants!D:D,1,false),"")</f>
        <v>electron molar mass</v>
      </c>
    </row>
    <row r="95">
      <c r="A95" s="6" t="s">
        <v>1018</v>
      </c>
      <c r="B95" s="6" t="s">
        <v>3359</v>
      </c>
      <c r="C95" s="6" t="s">
        <v>2388</v>
      </c>
      <c r="E95" s="42">
        <f>countif(Constants!F:F,F95)</f>
        <v>1</v>
      </c>
      <c r="F95" s="21" t="str">
        <f>ifna(VLOOKUP($A95,Constants!$D:$F,3,false),"")</f>
        <v>ElectronMuonMagneticMomentRatio</v>
      </c>
      <c r="G95" s="43" t="str">
        <f t="shared" si="1"/>
        <v>206.7669880</v>
      </c>
      <c r="H95" s="43">
        <f t="shared" si="2"/>
        <v>206.766988</v>
      </c>
      <c r="I95" s="43" t="str">
        <f t="shared" si="3"/>
        <v>0.0000046</v>
      </c>
      <c r="J95" s="43">
        <f t="shared" si="4"/>
        <v>0.0000046</v>
      </c>
      <c r="K95" s="43" t="b">
        <f t="shared" si="5"/>
        <v>0</v>
      </c>
      <c r="L95" s="21" t="str">
        <f>IFERROR(__xludf.DUMMYFUNCTION("if(regexmatch(B95,""e(.*)$""),regexextract(B95,""e(.*)$""),"""")"),"")</f>
        <v/>
      </c>
      <c r="M95" s="45"/>
      <c r="N95" s="45">
        <f>countif(Constants!F:F,F95)</f>
        <v>1</v>
      </c>
      <c r="O95" s="21" t="str">
        <f>ifna(VLOOKUP(A95,Constants!D:D,1,false),"")</f>
        <v>electron-muon mag. mom. ratio</v>
      </c>
    </row>
    <row r="96">
      <c r="A96" s="6" t="s">
        <v>1023</v>
      </c>
      <c r="B96" s="6" t="s">
        <v>3360</v>
      </c>
      <c r="C96" s="6" t="s">
        <v>2390</v>
      </c>
      <c r="E96" s="42">
        <f>countif(Constants!F:F,F96)</f>
        <v>1</v>
      </c>
      <c r="F96" s="21" t="str">
        <f>ifna(VLOOKUP($A96,Constants!$D:$F,3,false),"")</f>
        <v>ElectronMuonMassRatio</v>
      </c>
      <c r="G96" s="43" t="str">
        <f t="shared" si="1"/>
        <v>4.83633170e-3</v>
      </c>
      <c r="H96" s="43">
        <f t="shared" si="2"/>
        <v>0.0048363317</v>
      </c>
      <c r="I96" s="43" t="str">
        <f t="shared" si="3"/>
        <v>0.00000011e-3</v>
      </c>
      <c r="J96" s="43">
        <f t="shared" si="4"/>
        <v>0.00000000011</v>
      </c>
      <c r="K96" s="43" t="b">
        <f t="shared" si="5"/>
        <v>0</v>
      </c>
      <c r="L96" s="21" t="str">
        <f>IFERROR(__xludf.DUMMYFUNCTION("if(regexmatch(B96,""e(.*)$""),regexextract(B96,""e(.*)$""),"""")"),"-3")</f>
        <v>-3</v>
      </c>
      <c r="M96" s="45"/>
      <c r="N96" s="45">
        <f>countif(Constants!F:F,F96)</f>
        <v>1</v>
      </c>
      <c r="O96" s="21" t="str">
        <f>ifna(VLOOKUP(A96,Constants!D:D,1,false),"")</f>
        <v>electron-muon mass ratio</v>
      </c>
    </row>
    <row r="97">
      <c r="A97" s="6" t="s">
        <v>1028</v>
      </c>
      <c r="B97" s="6" t="s">
        <v>2901</v>
      </c>
      <c r="C97" s="6" t="s">
        <v>2392</v>
      </c>
      <c r="E97" s="42">
        <f>countif(Constants!F:F,F97)</f>
        <v>1</v>
      </c>
      <c r="F97" s="21" t="str">
        <f>ifna(VLOOKUP($A97,Constants!$D:$F,3,false),"")</f>
        <v>ElectronNeutronMagneticMomentRatio</v>
      </c>
      <c r="G97" s="43" t="str">
        <f t="shared" si="1"/>
        <v>960.92050</v>
      </c>
      <c r="H97" s="43">
        <f t="shared" si="2"/>
        <v>960.9205</v>
      </c>
      <c r="I97" s="43" t="str">
        <f t="shared" si="3"/>
        <v>0.00023</v>
      </c>
      <c r="J97" s="43">
        <f t="shared" si="4"/>
        <v>0.00023</v>
      </c>
      <c r="K97" s="43" t="b">
        <f t="shared" si="5"/>
        <v>0</v>
      </c>
      <c r="L97" s="21" t="str">
        <f>IFERROR(__xludf.DUMMYFUNCTION("if(regexmatch(B97,""e(.*)$""),regexextract(B97,""e(.*)$""),"""")"),"")</f>
        <v/>
      </c>
      <c r="M97" s="45"/>
      <c r="N97" s="45">
        <f>countif(Constants!F:F,F97)</f>
        <v>1</v>
      </c>
      <c r="O97" s="21" t="str">
        <f>ifna(VLOOKUP(A97,Constants!D:D,1,false),"")</f>
        <v>electron-neutron mag. mom. ratio</v>
      </c>
    </row>
    <row r="98">
      <c r="A98" s="6" t="s">
        <v>1033</v>
      </c>
      <c r="B98" s="6" t="s">
        <v>3361</v>
      </c>
      <c r="C98" s="6" t="s">
        <v>3362</v>
      </c>
      <c r="E98" s="42">
        <f>countif(Constants!F:F,F98)</f>
        <v>1</v>
      </c>
      <c r="F98" s="21" t="str">
        <f>ifna(VLOOKUP($A98,Constants!$D:$F,3,false),"")</f>
        <v>ElectronNeutronMassRatio</v>
      </c>
      <c r="G98" s="43" t="str">
        <f t="shared" si="1"/>
        <v>5.4386734428e-4</v>
      </c>
      <c r="H98" s="43">
        <f t="shared" si="2"/>
        <v>0.0005438673443</v>
      </c>
      <c r="I98" s="43" t="str">
        <f t="shared" si="3"/>
        <v>0.0000000027e-4</v>
      </c>
      <c r="J98" s="43">
        <f t="shared" si="4"/>
        <v>0</v>
      </c>
      <c r="K98" s="43" t="b">
        <f t="shared" si="5"/>
        <v>0</v>
      </c>
      <c r="L98" s="21" t="str">
        <f>IFERROR(__xludf.DUMMYFUNCTION("if(regexmatch(B98,""e(.*)$""),regexextract(B98,""e(.*)$""),"""")"),"-4")</f>
        <v>-4</v>
      </c>
      <c r="M98" s="45"/>
      <c r="N98" s="45">
        <f>countif(Constants!F:F,F98)</f>
        <v>1</v>
      </c>
      <c r="O98" s="21" t="str">
        <f>ifna(VLOOKUP(A98,Constants!D:D,1,false),"")</f>
        <v>electron-neutron mass ratio</v>
      </c>
    </row>
    <row r="99">
      <c r="A99" s="6" t="s">
        <v>1038</v>
      </c>
      <c r="B99" s="6" t="s">
        <v>3363</v>
      </c>
      <c r="C99" s="6" t="s">
        <v>3364</v>
      </c>
      <c r="E99" s="42">
        <f>countif(Constants!F:F,F99)</f>
        <v>1</v>
      </c>
      <c r="F99" s="21" t="str">
        <f>ifna(VLOOKUP($A99,Constants!$D:$F,3,false),"")</f>
        <v>ElectronProtonMagneticMomentRatio</v>
      </c>
      <c r="G99" s="43" t="str">
        <f t="shared" si="1"/>
        <v>-658.2106866</v>
      </c>
      <c r="H99" s="43">
        <f t="shared" si="2"/>
        <v>-658.2106866</v>
      </c>
      <c r="I99" s="43" t="str">
        <f t="shared" si="3"/>
        <v>0.0000020</v>
      </c>
      <c r="J99" s="43">
        <f t="shared" si="4"/>
        <v>0.000002</v>
      </c>
      <c r="K99" s="43" t="b">
        <f t="shared" si="5"/>
        <v>0</v>
      </c>
      <c r="L99" s="21" t="str">
        <f>IFERROR(__xludf.DUMMYFUNCTION("if(regexmatch(B99,""e(.*)$""),regexextract(B99,""e(.*)$""),"""")"),"")</f>
        <v/>
      </c>
      <c r="M99" s="45"/>
      <c r="N99" s="45">
        <f>countif(Constants!F:F,F99)</f>
        <v>1</v>
      </c>
      <c r="O99" s="21" t="str">
        <f>ifna(VLOOKUP(A99,Constants!D:D,1,false),"")</f>
        <v>electron-proton mag. mom. ratio</v>
      </c>
    </row>
    <row r="100">
      <c r="A100" s="6" t="s">
        <v>1043</v>
      </c>
      <c r="B100" s="6" t="s">
        <v>3365</v>
      </c>
      <c r="C100" s="6" t="s">
        <v>3366</v>
      </c>
      <c r="E100" s="42">
        <f>countif(Constants!F:F,F100)</f>
        <v>1</v>
      </c>
      <c r="F100" s="21" t="str">
        <f>ifna(VLOOKUP($A100,Constants!$D:$F,3,false),"")</f>
        <v>ElectronProtonMassRatio</v>
      </c>
      <c r="G100" s="43" t="str">
        <f t="shared" si="1"/>
        <v>5.44617021352e-4</v>
      </c>
      <c r="H100" s="43">
        <f t="shared" si="2"/>
        <v>0.0005446170214</v>
      </c>
      <c r="I100" s="43" t="str">
        <f t="shared" si="3"/>
        <v>0.00000000052e-4</v>
      </c>
      <c r="J100" s="43">
        <f t="shared" si="4"/>
        <v>0</v>
      </c>
      <c r="K100" s="43" t="b">
        <f t="shared" si="5"/>
        <v>0</v>
      </c>
      <c r="L100" s="21" t="str">
        <f>IFERROR(__xludf.DUMMYFUNCTION("if(regexmatch(B100,""e(.*)$""),regexextract(B100,""e(.*)$""),"""")"),"-4")</f>
        <v>-4</v>
      </c>
      <c r="M100" s="45"/>
      <c r="N100" s="45">
        <f>countif(Constants!F:F,F100)</f>
        <v>1</v>
      </c>
      <c r="O100" s="21" t="str">
        <f>ifna(VLOOKUP(A100,Constants!D:D,1,false),"")</f>
        <v>electron-proton mass ratio</v>
      </c>
    </row>
    <row r="101">
      <c r="A101" s="6" t="s">
        <v>1051</v>
      </c>
      <c r="B101" s="6" t="s">
        <v>3367</v>
      </c>
      <c r="C101" s="6" t="s">
        <v>3368</v>
      </c>
      <c r="E101" s="42">
        <f>countif(Constants!F:F,F101)</f>
        <v>1</v>
      </c>
      <c r="F101" s="21" t="str">
        <f>ifna(VLOOKUP($A101,Constants!$D:$F,3,false),"")</f>
        <v>ElectronTauMassRatio</v>
      </c>
      <c r="G101" s="43" t="str">
        <f t="shared" si="1"/>
        <v>2.87592e-4</v>
      </c>
      <c r="H101" s="43">
        <f t="shared" si="2"/>
        <v>0.000287592</v>
      </c>
      <c r="I101" s="43" t="str">
        <f t="shared" si="3"/>
        <v>0.00026e-4</v>
      </c>
      <c r="J101" s="43">
        <f t="shared" si="4"/>
        <v>0.000000026</v>
      </c>
      <c r="K101" s="43" t="b">
        <f t="shared" si="5"/>
        <v>0</v>
      </c>
      <c r="L101" s="21" t="str">
        <f>IFERROR(__xludf.DUMMYFUNCTION("if(regexmatch(B101,""e(.*)$""),regexextract(B101,""e(.*)$""),"""")"),"-4")</f>
        <v>-4</v>
      </c>
      <c r="M101" s="45"/>
      <c r="N101" s="45">
        <f>countif(Constants!F:F,F101)</f>
        <v>1</v>
      </c>
      <c r="O101" s="21" t="str">
        <f>ifna(VLOOKUP(A101,Constants!D:D,1,false),"")</f>
        <v>electron-tau mass ratio</v>
      </c>
    </row>
    <row r="102">
      <c r="A102" s="6" t="s">
        <v>1055</v>
      </c>
      <c r="B102" s="6" t="s">
        <v>3369</v>
      </c>
      <c r="C102" s="6" t="s">
        <v>2909</v>
      </c>
      <c r="E102" s="42">
        <f>countif(Constants!F:F,F102)</f>
        <v>1</v>
      </c>
      <c r="F102" s="21" t="str">
        <f>ifna(VLOOKUP($A102,Constants!$D:$F,3,false),"")</f>
        <v>ElectronToAlphaParticleMassRatio</v>
      </c>
      <c r="G102" s="43" t="str">
        <f t="shared" si="1"/>
        <v>1.370933554798e-4</v>
      </c>
      <c r="H102" s="43">
        <f t="shared" si="2"/>
        <v>0.0001370933555</v>
      </c>
      <c r="I102" s="43" t="str">
        <f t="shared" si="3"/>
        <v>0.000000000045e-4</v>
      </c>
      <c r="J102" s="43">
        <f t="shared" si="4"/>
        <v>0</v>
      </c>
      <c r="K102" s="43" t="b">
        <f t="shared" si="5"/>
        <v>0</v>
      </c>
      <c r="L102" s="21" t="str">
        <f>IFERROR(__xludf.DUMMYFUNCTION("if(regexmatch(B102,""e(.*)$""),regexextract(B102,""e(.*)$""),"""")"),"-4")</f>
        <v>-4</v>
      </c>
      <c r="M102" s="45"/>
      <c r="N102" s="45">
        <f>countif(Constants!F:F,F102)</f>
        <v>1</v>
      </c>
      <c r="O102" s="21" t="str">
        <f>ifna(VLOOKUP(A102,Constants!D:D,1,false),"")</f>
        <v>electron to alpha particle mass ratio</v>
      </c>
    </row>
    <row r="103">
      <c r="A103" s="6" t="s">
        <v>1059</v>
      </c>
      <c r="B103" s="6" t="s">
        <v>2910</v>
      </c>
      <c r="C103" s="6" t="s">
        <v>2911</v>
      </c>
      <c r="E103" s="42">
        <f>countif(Constants!F:F,F103)</f>
        <v>1</v>
      </c>
      <c r="F103" s="21" t="str">
        <f>ifna(VLOOKUP($A103,Constants!$D:$F,3,false),"")</f>
        <v>ElectronToShieldedHelionMagneticMomentRatio</v>
      </c>
      <c r="G103" s="43" t="str">
        <f t="shared" si="1"/>
        <v>864.058257</v>
      </c>
      <c r="H103" s="43">
        <f t="shared" si="2"/>
        <v>864.058257</v>
      </c>
      <c r="I103" s="43" t="str">
        <f t="shared" si="3"/>
        <v>0.000010</v>
      </c>
      <c r="J103" s="43">
        <f t="shared" si="4"/>
        <v>0.00001</v>
      </c>
      <c r="K103" s="43" t="b">
        <f t="shared" si="5"/>
        <v>0</v>
      </c>
      <c r="L103" s="21" t="str">
        <f>IFERROR(__xludf.DUMMYFUNCTION("if(regexmatch(B103,""e(.*)$""),regexextract(B103,""e(.*)$""),"""")"),"")</f>
        <v/>
      </c>
      <c r="M103" s="45"/>
      <c r="N103" s="45">
        <f>countif(Constants!F:F,F103)</f>
        <v>1</v>
      </c>
      <c r="O103" s="21" t="str">
        <f>ifna(VLOOKUP(A103,Constants!D:D,1,false),"")</f>
        <v>electron to shielded helion mag. mom. ratio</v>
      </c>
    </row>
    <row r="104">
      <c r="A104" s="6" t="s">
        <v>1064</v>
      </c>
      <c r="B104" s="6" t="s">
        <v>2912</v>
      </c>
      <c r="C104" s="6" t="s">
        <v>2913</v>
      </c>
      <c r="E104" s="42">
        <f>countif(Constants!F:F,F104)</f>
        <v>1</v>
      </c>
      <c r="F104" s="21" t="str">
        <f>ifna(VLOOKUP($A104,Constants!$D:$F,3,false),"")</f>
        <v>ElectronToShieldedProtonMagneticMomentRatio</v>
      </c>
      <c r="G104" s="43" t="str">
        <f t="shared" si="1"/>
        <v>-658.2275971</v>
      </c>
      <c r="H104" s="43">
        <f t="shared" si="2"/>
        <v>-658.2275971</v>
      </c>
      <c r="I104" s="43" t="str">
        <f t="shared" si="3"/>
        <v>0.0000072</v>
      </c>
      <c r="J104" s="43">
        <f t="shared" si="4"/>
        <v>0.0000072</v>
      </c>
      <c r="K104" s="43" t="b">
        <f t="shared" si="5"/>
        <v>0</v>
      </c>
      <c r="L104" s="21" t="str">
        <f>IFERROR(__xludf.DUMMYFUNCTION("if(regexmatch(B104,""e(.*)$""),regexextract(B104,""e(.*)$""),"""")"),"")</f>
        <v/>
      </c>
      <c r="M104" s="45"/>
      <c r="N104" s="45">
        <f>countif(Constants!F:F,F104)</f>
        <v>1</v>
      </c>
      <c r="O104" s="21" t="str">
        <f>ifna(VLOOKUP(A104,Constants!D:D,1,false),"")</f>
        <v>electron to shielded proton mag. mom. ratio</v>
      </c>
    </row>
    <row r="105">
      <c r="A105" s="6" t="s">
        <v>1069</v>
      </c>
      <c r="B105" s="6" t="s">
        <v>3370</v>
      </c>
      <c r="C105" s="6" t="s">
        <v>3371</v>
      </c>
      <c r="E105" s="42">
        <f>countif(Constants!F:F,F105)</f>
        <v>1</v>
      </c>
      <c r="F105" s="21" t="str">
        <f>ifna(VLOOKUP($A105,Constants!$D:$F,3,false),"")</f>
        <v>Electron-TritonMassRatio</v>
      </c>
      <c r="G105" s="43" t="str">
        <f t="shared" si="1"/>
        <v>1.819200062203e-4</v>
      </c>
      <c r="H105" s="43">
        <f t="shared" si="2"/>
        <v>0.0001819200062</v>
      </c>
      <c r="I105" s="43" t="str">
        <f t="shared" si="3"/>
        <v>0.000000000084e-4</v>
      </c>
      <c r="J105" s="43">
        <f t="shared" si="4"/>
        <v>0</v>
      </c>
      <c r="K105" s="43" t="b">
        <f t="shared" si="5"/>
        <v>0</v>
      </c>
      <c r="L105" s="21" t="str">
        <f>IFERROR(__xludf.DUMMYFUNCTION("if(regexmatch(B105,""e(.*)$""),regexextract(B105,""e(.*)$""),"""")"),"-4")</f>
        <v>-4</v>
      </c>
      <c r="M105" s="45"/>
      <c r="N105" s="45">
        <f>countif(Constants!F:F,F105)</f>
        <v>1</v>
      </c>
      <c r="O105" s="21" t="str">
        <f>ifna(VLOOKUP(A105,Constants!D:D,1,false),"")</f>
        <v>electron-triton mass ratio</v>
      </c>
    </row>
    <row r="106">
      <c r="A106" s="6" t="s">
        <v>1073</v>
      </c>
      <c r="B106" s="6" t="s">
        <v>3241</v>
      </c>
      <c r="C106" s="6" t="s">
        <v>3242</v>
      </c>
      <c r="D106" s="6" t="s">
        <v>543</v>
      </c>
      <c r="E106" s="42">
        <f>countif(Constants!F:F,F106)</f>
        <v>1</v>
      </c>
      <c r="F106" s="21" t="str">
        <f>ifna(VLOOKUP($A106,Constants!$D:$F,3,false),"")</f>
        <v>ElectronVolt</v>
      </c>
      <c r="G106" s="43" t="str">
        <f t="shared" si="1"/>
        <v>1.6021766208e-19</v>
      </c>
      <c r="H106" s="43">
        <f t="shared" si="2"/>
        <v>0</v>
      </c>
      <c r="I106" s="43" t="str">
        <f t="shared" si="3"/>
        <v>0.0000000098e-19</v>
      </c>
      <c r="J106" s="43">
        <f t="shared" si="4"/>
        <v>0</v>
      </c>
      <c r="K106" s="43" t="b">
        <f t="shared" si="5"/>
        <v>0</v>
      </c>
      <c r="L106" s="21" t="str">
        <f>IFERROR(__xludf.DUMMYFUNCTION("if(regexmatch(B106,""e(.*)$""),regexextract(B106,""e(.*)$""),"""")"),"-19")</f>
        <v>-19</v>
      </c>
      <c r="M106" s="45"/>
      <c r="N106" s="45">
        <f>countif(Constants!F:F,F106)</f>
        <v>1</v>
      </c>
      <c r="O106" s="21" t="str">
        <f>ifna(VLOOKUP(A106,Constants!D:D,1,false),"")</f>
        <v>electron volt</v>
      </c>
    </row>
    <row r="107">
      <c r="A107" s="6" t="s">
        <v>1078</v>
      </c>
      <c r="B107" s="6" t="s">
        <v>3372</v>
      </c>
      <c r="C107" s="6" t="s">
        <v>3373</v>
      </c>
      <c r="D107" s="6" t="s">
        <v>553</v>
      </c>
      <c r="E107" s="42">
        <f>countif(Constants!F:F,F107)</f>
        <v>1</v>
      </c>
      <c r="F107" s="21" t="str">
        <f>ifna(VLOOKUP($A107,Constants!$D:$F,3,false),"")</f>
        <v>ElectronVoltAtomicMassUnitRelationship</v>
      </c>
      <c r="G107" s="43" t="str">
        <f t="shared" si="1"/>
        <v>1.0735441105e-9</v>
      </c>
      <c r="H107" s="43">
        <f t="shared" si="2"/>
        <v>0.000000001073544111</v>
      </c>
      <c r="I107" s="43" t="str">
        <f t="shared" si="3"/>
        <v>0.0000000066e-9</v>
      </c>
      <c r="J107" s="43">
        <f t="shared" si="4"/>
        <v>0</v>
      </c>
      <c r="K107" s="43" t="b">
        <f t="shared" si="5"/>
        <v>0</v>
      </c>
      <c r="L107" s="21" t="str">
        <f>IFERROR(__xludf.DUMMYFUNCTION("if(regexmatch(B107,""e(.*)$""),regexextract(B107,""e(.*)$""),"""")"),"-9")</f>
        <v>-9</v>
      </c>
      <c r="M107" s="45"/>
      <c r="N107" s="45">
        <f>countif(Constants!F:F,F107)</f>
        <v>1</v>
      </c>
      <c r="O107" s="21" t="str">
        <f>ifna(VLOOKUP(A107,Constants!D:D,1,false),"")</f>
        <v>electron volt-atomic mass unit relationship</v>
      </c>
    </row>
    <row r="108">
      <c r="A108" s="6" t="s">
        <v>1084</v>
      </c>
      <c r="B108" s="6" t="s">
        <v>3374</v>
      </c>
      <c r="C108" s="6" t="s">
        <v>3375</v>
      </c>
      <c r="D108" s="6" t="s">
        <v>593</v>
      </c>
      <c r="E108" s="42">
        <f>countif(Constants!F:F,F108)</f>
        <v>1</v>
      </c>
      <c r="F108" s="21" t="str">
        <f>ifna(VLOOKUP($A108,Constants!$D:$F,3,false),"")</f>
        <v>ElectronVoltHartreeRelationship</v>
      </c>
      <c r="G108" s="43" t="str">
        <f t="shared" si="1"/>
        <v>3.674932248e-2</v>
      </c>
      <c r="H108" s="43">
        <f t="shared" si="2"/>
        <v>0.03674932248</v>
      </c>
      <c r="I108" s="43" t="str">
        <f t="shared" si="3"/>
        <v>0.000000023e-2</v>
      </c>
      <c r="J108" s="43">
        <f t="shared" si="4"/>
        <v>0.00000000023</v>
      </c>
      <c r="K108" s="43" t="b">
        <f t="shared" si="5"/>
        <v>0</v>
      </c>
      <c r="L108" s="21" t="str">
        <f>IFERROR(__xludf.DUMMYFUNCTION("if(regexmatch(B108,""e(.*)$""),regexextract(B108,""e(.*)$""),"""")"),"-2")</f>
        <v>-2</v>
      </c>
      <c r="M108" s="45"/>
      <c r="N108" s="45">
        <f>countif(Constants!F:F,F108)</f>
        <v>1</v>
      </c>
      <c r="O108" s="21" t="str">
        <f>ifna(VLOOKUP(A108,Constants!D:D,1,false),"")</f>
        <v>electron volt-hartree relationship</v>
      </c>
    </row>
    <row r="109">
      <c r="A109" s="6" t="s">
        <v>1090</v>
      </c>
      <c r="B109" s="6" t="s">
        <v>3376</v>
      </c>
      <c r="C109" s="6" t="s">
        <v>3377</v>
      </c>
      <c r="D109" s="6" t="s">
        <v>600</v>
      </c>
      <c r="E109" s="42">
        <f>countif(Constants!F:F,F109)</f>
        <v>1</v>
      </c>
      <c r="F109" s="21" t="str">
        <f>ifna(VLOOKUP($A109,Constants!$D:$F,3,false),"")</f>
        <v>ElectronVoltHertzRelationship</v>
      </c>
      <c r="G109" s="43" t="str">
        <f t="shared" si="1"/>
        <v>2.417989262e14</v>
      </c>
      <c r="H109" s="43">
        <f t="shared" si="2"/>
        <v>241798926200000</v>
      </c>
      <c r="I109" s="43" t="str">
        <f t="shared" si="3"/>
        <v>0.000000015e14</v>
      </c>
      <c r="J109" s="43">
        <f t="shared" si="4"/>
        <v>1500000</v>
      </c>
      <c r="K109" s="43" t="b">
        <f t="shared" si="5"/>
        <v>0</v>
      </c>
      <c r="L109" s="21" t="str">
        <f>IFERROR(__xludf.DUMMYFUNCTION("if(regexmatch(B109,""e(.*)$""),regexextract(B109,""e(.*)$""),"""")"),"14")</f>
        <v>14</v>
      </c>
      <c r="M109" s="45"/>
      <c r="N109" s="45">
        <f>countif(Constants!F:F,F109)</f>
        <v>1</v>
      </c>
      <c r="O109" s="21" t="str">
        <f>ifna(VLOOKUP(A109,Constants!D:D,1,false),"")</f>
        <v>electron volt-hertz relationship</v>
      </c>
    </row>
    <row r="110">
      <c r="A110" s="6" t="s">
        <v>1096</v>
      </c>
      <c r="B110" s="6" t="s">
        <v>3378</v>
      </c>
      <c r="C110" s="6" t="s">
        <v>3379</v>
      </c>
      <c r="D110" s="6" t="s">
        <v>606</v>
      </c>
      <c r="E110" s="42">
        <f>countif(Constants!F:F,F110)</f>
        <v>1</v>
      </c>
      <c r="F110" s="21" t="str">
        <f>ifna(VLOOKUP($A110,Constants!$D:$F,3,false),"")</f>
        <v>ElectronVoltInverseMeterRelationship</v>
      </c>
      <c r="G110" s="43" t="str">
        <f t="shared" si="1"/>
        <v>8.065544005e5</v>
      </c>
      <c r="H110" s="43">
        <f t="shared" si="2"/>
        <v>806554.4005</v>
      </c>
      <c r="I110" s="43" t="str">
        <f t="shared" si="3"/>
        <v>0.000000050e5</v>
      </c>
      <c r="J110" s="43">
        <f t="shared" si="4"/>
        <v>0.005</v>
      </c>
      <c r="K110" s="43" t="b">
        <f t="shared" si="5"/>
        <v>0</v>
      </c>
      <c r="L110" s="21" t="str">
        <f>IFERROR(__xludf.DUMMYFUNCTION("if(regexmatch(B110,""e(.*)$""),regexextract(B110,""e(.*)$""),"""")"),"5")</f>
        <v>5</v>
      </c>
      <c r="M110" s="45"/>
      <c r="N110" s="45">
        <f>countif(Constants!F:F,F110)</f>
        <v>1</v>
      </c>
      <c r="O110" s="21" t="str">
        <f>ifna(VLOOKUP(A110,Constants!D:D,1,false),"")</f>
        <v>electron volt-inverse meter relationship</v>
      </c>
    </row>
    <row r="111">
      <c r="A111" s="6" t="s">
        <v>1102</v>
      </c>
      <c r="B111" s="6" t="s">
        <v>3241</v>
      </c>
      <c r="C111" s="6" t="s">
        <v>3242</v>
      </c>
      <c r="D111" s="6" t="s">
        <v>543</v>
      </c>
      <c r="E111" s="42">
        <f>countif(Constants!F:F,F111)</f>
        <v>1</v>
      </c>
      <c r="F111" s="21" t="str">
        <f>ifna(VLOOKUP($A111,Constants!$D:$F,3,false),"")</f>
        <v>ElectronVoltJouleRelationship</v>
      </c>
      <c r="G111" s="43" t="str">
        <f t="shared" si="1"/>
        <v>1.6021766208e-19</v>
      </c>
      <c r="H111" s="43">
        <f t="shared" si="2"/>
        <v>0</v>
      </c>
      <c r="I111" s="43" t="str">
        <f t="shared" si="3"/>
        <v>0.0000000098e-19</v>
      </c>
      <c r="J111" s="43">
        <f t="shared" si="4"/>
        <v>0</v>
      </c>
      <c r="K111" s="43" t="b">
        <f t="shared" si="5"/>
        <v>0</v>
      </c>
      <c r="L111" s="21" t="str">
        <f>IFERROR(__xludf.DUMMYFUNCTION("if(regexmatch(B111,""e(.*)$""),regexextract(B111,""e(.*)$""),"""")"),"-19")</f>
        <v>-19</v>
      </c>
      <c r="M111" s="45"/>
      <c r="N111" s="45">
        <f>countif(Constants!F:F,F111)</f>
        <v>1</v>
      </c>
      <c r="O111" s="21" t="str">
        <f>ifna(VLOOKUP(A111,Constants!D:D,1,false),"")</f>
        <v>electron volt-joule relationship</v>
      </c>
    </row>
    <row r="112">
      <c r="A112" s="6" t="s">
        <v>1108</v>
      </c>
      <c r="B112" s="6" t="s">
        <v>3380</v>
      </c>
      <c r="C112" s="6" t="s">
        <v>3381</v>
      </c>
      <c r="D112" s="6" t="s">
        <v>618</v>
      </c>
      <c r="E112" s="42">
        <f>countif(Constants!F:F,F112)</f>
        <v>1</v>
      </c>
      <c r="F112" s="21" t="str">
        <f>ifna(VLOOKUP($A112,Constants!$D:$F,3,false),"")</f>
        <v>ElectronVoltKelvinRelationship</v>
      </c>
      <c r="G112" s="43" t="str">
        <f t="shared" si="1"/>
        <v>1.16045221e4</v>
      </c>
      <c r="H112" s="43">
        <f t="shared" si="2"/>
        <v>11604.5221</v>
      </c>
      <c r="I112" s="43" t="str">
        <f t="shared" si="3"/>
        <v>0.00000067e4</v>
      </c>
      <c r="J112" s="43">
        <f t="shared" si="4"/>
        <v>0.0067</v>
      </c>
      <c r="K112" s="43" t="b">
        <f t="shared" si="5"/>
        <v>0</v>
      </c>
      <c r="L112" s="21" t="str">
        <f>IFERROR(__xludf.DUMMYFUNCTION("if(regexmatch(B112,""e(.*)$""),regexextract(B112,""e(.*)$""),"""")"),"4")</f>
        <v>4</v>
      </c>
      <c r="M112" s="45"/>
      <c r="N112" s="45">
        <f>countif(Constants!F:F,F112)</f>
        <v>1</v>
      </c>
      <c r="O112" s="21" t="str">
        <f>ifna(VLOOKUP(A112,Constants!D:D,1,false),"")</f>
        <v>electron volt-kelvin relationship</v>
      </c>
    </row>
    <row r="113">
      <c r="A113" s="6" t="s">
        <v>1114</v>
      </c>
      <c r="B113" s="6" t="s">
        <v>3382</v>
      </c>
      <c r="C113" s="6" t="s">
        <v>3383</v>
      </c>
      <c r="D113" s="6" t="s">
        <v>538</v>
      </c>
      <c r="E113" s="42">
        <f>countif(Constants!F:F,F113)</f>
        <v>1</v>
      </c>
      <c r="F113" s="21" t="str">
        <f>ifna(VLOOKUP($A113,Constants!$D:$F,3,false),"")</f>
        <v>ElectronVoltKilogramRelationship</v>
      </c>
      <c r="G113" s="43" t="str">
        <f t="shared" si="1"/>
        <v>1.782661907e-36</v>
      </c>
      <c r="H113" s="43">
        <f t="shared" si="2"/>
        <v>0</v>
      </c>
      <c r="I113" s="43" t="str">
        <f t="shared" si="3"/>
        <v>0.000000011e-36</v>
      </c>
      <c r="J113" s="43">
        <f t="shared" si="4"/>
        <v>0</v>
      </c>
      <c r="K113" s="43" t="b">
        <f t="shared" si="5"/>
        <v>0</v>
      </c>
      <c r="L113" s="21" t="str">
        <f>IFERROR(__xludf.DUMMYFUNCTION("if(regexmatch(B113,""e(.*)$""),regexextract(B113,""e(.*)$""),"""")"),"-36")</f>
        <v>-36</v>
      </c>
      <c r="M113" s="45"/>
      <c r="N113" s="45">
        <f>countif(Constants!F:F,F113)</f>
        <v>1</v>
      </c>
      <c r="O113" s="21" t="str">
        <f>ifna(VLOOKUP(A113,Constants!D:D,1,false),"")</f>
        <v>electron volt-kilogram relationship</v>
      </c>
    </row>
    <row r="114">
      <c r="A114" s="6" t="s">
        <v>1118</v>
      </c>
      <c r="B114" s="6" t="s">
        <v>3241</v>
      </c>
      <c r="C114" s="6" t="s">
        <v>3242</v>
      </c>
      <c r="D114" s="6" t="s">
        <v>649</v>
      </c>
      <c r="E114" s="42">
        <f>countif(Constants!F:F,F114)</f>
        <v>1</v>
      </c>
      <c r="F114" s="21" t="str">
        <f>ifna(VLOOKUP($A114,Constants!$D:$F,3,false),"")</f>
        <v>ElementaryCharge</v>
      </c>
      <c r="G114" s="43" t="str">
        <f t="shared" si="1"/>
        <v>1.6021766208e-19</v>
      </c>
      <c r="H114" s="43">
        <f t="shared" si="2"/>
        <v>0</v>
      </c>
      <c r="I114" s="43" t="str">
        <f t="shared" si="3"/>
        <v>0.0000000098e-19</v>
      </c>
      <c r="J114" s="43">
        <f t="shared" si="4"/>
        <v>0</v>
      </c>
      <c r="K114" s="43" t="b">
        <f t="shared" si="5"/>
        <v>0</v>
      </c>
      <c r="L114" s="21" t="str">
        <f>IFERROR(__xludf.DUMMYFUNCTION("if(regexmatch(B114,""e(.*)$""),regexextract(B114,""e(.*)$""),"""")"),"-19")</f>
        <v>-19</v>
      </c>
      <c r="M114" s="45"/>
      <c r="N114" s="45">
        <f>countif(Constants!F:F,F114)</f>
        <v>1</v>
      </c>
      <c r="O114" s="21" t="str">
        <f>ifna(VLOOKUP(A114,Constants!D:D,1,false),"")</f>
        <v>elementary charge</v>
      </c>
    </row>
    <row r="115">
      <c r="A115" s="6" t="s">
        <v>3384</v>
      </c>
      <c r="B115" s="6" t="s">
        <v>3376</v>
      </c>
      <c r="C115" s="6" t="s">
        <v>3377</v>
      </c>
      <c r="D115" s="6" t="s">
        <v>1124</v>
      </c>
      <c r="E115" s="42">
        <f>countif(Constants!F:F,F115)</f>
        <v>1</v>
      </c>
      <c r="F115" s="6" t="s">
        <v>317</v>
      </c>
      <c r="G115" s="43" t="str">
        <f t="shared" si="1"/>
        <v>2.417989262e14</v>
      </c>
      <c r="H115" s="43">
        <f t="shared" si="2"/>
        <v>241798926200000</v>
      </c>
      <c r="I115" s="43" t="str">
        <f t="shared" si="3"/>
        <v>0.000000015e14</v>
      </c>
      <c r="J115" s="43">
        <f t="shared" si="4"/>
        <v>1500000</v>
      </c>
      <c r="K115" s="43" t="b">
        <f t="shared" si="5"/>
        <v>0</v>
      </c>
      <c r="L115" s="21" t="str">
        <f>IFERROR(__xludf.DUMMYFUNCTION("if(regexmatch(B115,""e(.*)$""),regexextract(B115,""e(.*)$""),"""")"),"14")</f>
        <v>14</v>
      </c>
      <c r="M115" s="45"/>
      <c r="N115" s="45">
        <f>countif(Constants!F:F,F115)</f>
        <v>1</v>
      </c>
      <c r="O115" s="21" t="str">
        <f>ifna(VLOOKUP(A115,Constants!D:D,1,false),"")</f>
        <v/>
      </c>
    </row>
    <row r="116">
      <c r="A116" s="6" t="s">
        <v>1129</v>
      </c>
      <c r="B116" s="6" t="s">
        <v>3385</v>
      </c>
      <c r="C116" s="6" t="s">
        <v>3386</v>
      </c>
      <c r="D116" s="6" t="s">
        <v>1130</v>
      </c>
      <c r="E116" s="42">
        <f>countif(Constants!F:F,F116)</f>
        <v>1</v>
      </c>
      <c r="F116" s="21" t="str">
        <f>ifna(VLOOKUP($A116,Constants!$D:$F,3,false),"")</f>
        <v>FaradayConstant</v>
      </c>
      <c r="G116" s="43" t="str">
        <f t="shared" si="1"/>
        <v>96485.33289</v>
      </c>
      <c r="H116" s="43">
        <f t="shared" si="2"/>
        <v>96485.33289</v>
      </c>
      <c r="I116" s="43" t="str">
        <f t="shared" si="3"/>
        <v>0.00059</v>
      </c>
      <c r="J116" s="43">
        <f t="shared" si="4"/>
        <v>0.00059</v>
      </c>
      <c r="K116" s="43" t="b">
        <f t="shared" si="5"/>
        <v>0</v>
      </c>
      <c r="L116" s="21" t="str">
        <f>IFERROR(__xludf.DUMMYFUNCTION("if(regexmatch(B116,""e(.*)$""),regexextract(B116,""e(.*)$""),"""")"),"")</f>
        <v/>
      </c>
      <c r="M116" s="45"/>
      <c r="N116" s="45">
        <f>countif(Constants!F:F,F116)</f>
        <v>1</v>
      </c>
      <c r="O116" s="21" t="str">
        <f>ifna(VLOOKUP(A116,Constants!D:D,1,false),"")</f>
        <v>Faraday constant</v>
      </c>
    </row>
    <row r="117">
      <c r="A117" s="6" t="s">
        <v>1135</v>
      </c>
      <c r="B117" s="6" t="s">
        <v>3387</v>
      </c>
      <c r="C117" s="46" t="s">
        <v>3388</v>
      </c>
      <c r="D117" s="6" t="s">
        <v>1136</v>
      </c>
      <c r="E117" s="42">
        <f>countif(Constants!F:F,F117)</f>
        <v>1</v>
      </c>
      <c r="F117" s="6" t="s">
        <v>1137</v>
      </c>
      <c r="G117" s="43" t="str">
        <f t="shared" si="1"/>
        <v>96485.3251</v>
      </c>
      <c r="H117" s="43">
        <f t="shared" si="2"/>
        <v>96485.3251</v>
      </c>
      <c r="I117" s="43" t="str">
        <f t="shared" si="3"/>
        <v>0.0012</v>
      </c>
      <c r="J117" s="43">
        <f t="shared" si="4"/>
        <v>0.0012</v>
      </c>
      <c r="K117" s="43" t="b">
        <f t="shared" si="5"/>
        <v>0</v>
      </c>
      <c r="L117" s="21" t="str">
        <f>IFERROR(__xludf.DUMMYFUNCTION("if(regexmatch(B117,""e(.*)$""),regexextract(B117,""e(.*)$""),"""")"),"")</f>
        <v/>
      </c>
      <c r="M117" s="45"/>
      <c r="N117" s="45">
        <f>countif(Constants!F:F,F117)</f>
        <v>1</v>
      </c>
      <c r="O117" s="21" t="str">
        <f>ifna(VLOOKUP(A117,Constants!D:D,1,false),"")</f>
        <v>Faraday constant for conventional electric current</v>
      </c>
    </row>
    <row r="118">
      <c r="A118" s="6" t="s">
        <v>1140</v>
      </c>
      <c r="B118" s="6" t="s">
        <v>2926</v>
      </c>
      <c r="C118" s="6" t="s">
        <v>2420</v>
      </c>
      <c r="D118" s="6" t="s">
        <v>1141</v>
      </c>
      <c r="E118" s="42">
        <f>countif(Constants!F:F,F118)</f>
        <v>1</v>
      </c>
      <c r="F118" s="21" t="str">
        <f>ifna(VLOOKUP($A118,Constants!$D:$F,3,false),"")</f>
        <v>FermiCouplingConstant</v>
      </c>
      <c r="G118" s="43" t="str">
        <f t="shared" si="1"/>
        <v>1.1663787e-5</v>
      </c>
      <c r="H118" s="43">
        <f t="shared" si="2"/>
        <v>0.000011663787</v>
      </c>
      <c r="I118" s="43" t="str">
        <f t="shared" si="3"/>
        <v>0.0000006e-5</v>
      </c>
      <c r="J118" s="43">
        <f t="shared" si="4"/>
        <v>0</v>
      </c>
      <c r="K118" s="43" t="b">
        <f t="shared" si="5"/>
        <v>0</v>
      </c>
      <c r="L118" s="21" t="str">
        <f>IFERROR(__xludf.DUMMYFUNCTION("if(regexmatch(B118,""e(.*)$""),regexextract(B118,""e(.*)$""),"""")"),"-5")</f>
        <v>-5</v>
      </c>
      <c r="M118" s="45"/>
      <c r="N118" s="45">
        <f>countif(Constants!F:F,F118)</f>
        <v>1</v>
      </c>
      <c r="O118" s="21" t="str">
        <f>ifna(VLOOKUP(A118,Constants!D:D,1,false),"")</f>
        <v>Fermi coupling constant</v>
      </c>
    </row>
    <row r="119">
      <c r="A119" s="6" t="s">
        <v>1146</v>
      </c>
      <c r="B119" s="6" t="s">
        <v>3389</v>
      </c>
      <c r="C119" s="6" t="s">
        <v>3390</v>
      </c>
      <c r="E119" s="42">
        <f>countif(Constants!F:F,F119)</f>
        <v>1</v>
      </c>
      <c r="F119" s="21" t="str">
        <f>ifna(VLOOKUP($A119,Constants!$D:$F,3,false),"")</f>
        <v>FineStructureConstant</v>
      </c>
      <c r="G119" s="43" t="str">
        <f t="shared" si="1"/>
        <v>7.2973525664e-3</v>
      </c>
      <c r="H119" s="43">
        <f t="shared" si="2"/>
        <v>0.007297352566</v>
      </c>
      <c r="I119" s="43" t="str">
        <f t="shared" si="3"/>
        <v>0.0000000017e-3</v>
      </c>
      <c r="J119" s="43">
        <f t="shared" si="4"/>
        <v>0</v>
      </c>
      <c r="K119" s="43" t="b">
        <f t="shared" si="5"/>
        <v>0</v>
      </c>
      <c r="L119" s="21" t="str">
        <f>IFERROR(__xludf.DUMMYFUNCTION("if(regexmatch(B119,""e(.*)$""),regexextract(B119,""e(.*)$""),"""")"),"-3")</f>
        <v>-3</v>
      </c>
      <c r="M119" s="45"/>
      <c r="N119" s="45">
        <f>countif(Constants!F:F,F119)</f>
        <v>1</v>
      </c>
      <c r="O119" s="21" t="str">
        <f>ifna(VLOOKUP(A119,Constants!D:D,1,false),"")</f>
        <v>fine-structure constant</v>
      </c>
    </row>
    <row r="120">
      <c r="A120" s="6" t="s">
        <v>1150</v>
      </c>
      <c r="B120" s="6" t="s">
        <v>3391</v>
      </c>
      <c r="C120" s="6" t="s">
        <v>3392</v>
      </c>
      <c r="D120" s="6" t="s">
        <v>1151</v>
      </c>
      <c r="E120" s="42">
        <f>countif(Constants!F:F,F120)</f>
        <v>1</v>
      </c>
      <c r="F120" s="21" t="str">
        <f>ifna(VLOOKUP($A120,Constants!$D:$F,3,false),"")</f>
        <v>FirstRadiationConstant</v>
      </c>
      <c r="G120" s="43" t="str">
        <f t="shared" si="1"/>
        <v>3.741771790e-16</v>
      </c>
      <c r="H120" s="43">
        <f t="shared" si="2"/>
        <v>0</v>
      </c>
      <c r="I120" s="43" t="str">
        <f t="shared" si="3"/>
        <v>0.000000046e-16</v>
      </c>
      <c r="J120" s="43">
        <f t="shared" si="4"/>
        <v>0</v>
      </c>
      <c r="K120" s="43" t="b">
        <f t="shared" si="5"/>
        <v>0</v>
      </c>
      <c r="L120" s="21" t="str">
        <f>IFERROR(__xludf.DUMMYFUNCTION("if(regexmatch(B120,""e(.*)$""),regexextract(B120,""e(.*)$""),"""")"),"-16")</f>
        <v>-16</v>
      </c>
      <c r="M120" s="45"/>
      <c r="N120" s="45">
        <f>countif(Constants!F:F,F120)</f>
        <v>1</v>
      </c>
      <c r="O120" s="21" t="str">
        <f>ifna(VLOOKUP(A120,Constants!D:D,1,false),"")</f>
        <v>first radiation constant</v>
      </c>
    </row>
    <row r="121">
      <c r="A121" s="6" t="s">
        <v>1156</v>
      </c>
      <c r="B121" s="6" t="s">
        <v>3393</v>
      </c>
      <c r="C121" s="6" t="s">
        <v>3394</v>
      </c>
      <c r="D121" s="6" t="s">
        <v>1157</v>
      </c>
      <c r="E121" s="42">
        <f>countif(Constants!F:F,F121)</f>
        <v>1</v>
      </c>
      <c r="F121" s="21" t="str">
        <f>ifna(VLOOKUP($A121,Constants!$D:$F,3,false),"")</f>
        <v>FirstRadiationConstantForSpectralRadiance</v>
      </c>
      <c r="G121" s="43" t="str">
        <f t="shared" si="1"/>
        <v>1.191042953e-16</v>
      </c>
      <c r="H121" s="43">
        <f t="shared" si="2"/>
        <v>0</v>
      </c>
      <c r="I121" s="43" t="str">
        <f t="shared" si="3"/>
        <v>0.000000015e-16</v>
      </c>
      <c r="J121" s="43">
        <f t="shared" si="4"/>
        <v>0</v>
      </c>
      <c r="K121" s="43" t="b">
        <f t="shared" si="5"/>
        <v>0</v>
      </c>
      <c r="L121" s="21" t="str">
        <f>IFERROR(__xludf.DUMMYFUNCTION("if(regexmatch(B121,""e(.*)$""),regexextract(B121,""e(.*)$""),"""")"),"-16")</f>
        <v>-16</v>
      </c>
      <c r="M121" s="45"/>
      <c r="N121" s="45">
        <f>countif(Constants!F:F,F121)</f>
        <v>1</v>
      </c>
      <c r="O121" s="21" t="str">
        <f>ifna(VLOOKUP(A121,Constants!D:D,1,false),"")</f>
        <v>first radiation constant for spectral radiance</v>
      </c>
    </row>
    <row r="122">
      <c r="A122" s="6" t="s">
        <v>1162</v>
      </c>
      <c r="B122" s="6" t="s">
        <v>3395</v>
      </c>
      <c r="C122" s="6" t="s">
        <v>2282</v>
      </c>
      <c r="D122" s="6" t="s">
        <v>553</v>
      </c>
      <c r="E122" s="42">
        <f>countif(Constants!F:F,F122)</f>
        <v>1</v>
      </c>
      <c r="F122" s="21" t="str">
        <f>ifna(VLOOKUP($A122,Constants!$D:$F,3,false),"")</f>
        <v>HartreeAtomicMassUnitRelationship</v>
      </c>
      <c r="G122" s="43" t="str">
        <f t="shared" si="1"/>
        <v>2.9212623197e-8</v>
      </c>
      <c r="H122" s="43">
        <f t="shared" si="2"/>
        <v>0.0000000292126232</v>
      </c>
      <c r="I122" s="43" t="str">
        <f t="shared" si="3"/>
        <v>0.0000000013e-8</v>
      </c>
      <c r="J122" s="43">
        <f t="shared" si="4"/>
        <v>0</v>
      </c>
      <c r="K122" s="43" t="b">
        <f t="shared" si="5"/>
        <v>0</v>
      </c>
      <c r="L122" s="21" t="str">
        <f>IFERROR(__xludf.DUMMYFUNCTION("if(regexmatch(B122,""e(.*)$""),regexextract(B122,""e(.*)$""),"""")"),"-8")</f>
        <v>-8</v>
      </c>
      <c r="M122" s="45"/>
      <c r="N122" s="45">
        <f>countif(Constants!F:F,F122)</f>
        <v>1</v>
      </c>
      <c r="O122" s="21" t="str">
        <f>ifna(VLOOKUP(A122,Constants!D:D,1,false),"")</f>
        <v>hartree-atomic mass unit relationship</v>
      </c>
    </row>
    <row r="123">
      <c r="A123" s="6" t="s">
        <v>1168</v>
      </c>
      <c r="B123" s="6" t="s">
        <v>3255</v>
      </c>
      <c r="C123" s="6" t="s">
        <v>2223</v>
      </c>
      <c r="D123" s="6" t="s">
        <v>175</v>
      </c>
      <c r="E123" s="42">
        <f>countif(Constants!F:F,F123)</f>
        <v>1</v>
      </c>
      <c r="F123" s="21" t="str">
        <f>ifna(VLOOKUP($A123,Constants!$D:$F,3,false),"")</f>
        <v>HartreeElectronVoltRelationship</v>
      </c>
      <c r="G123" s="43" t="str">
        <f t="shared" si="1"/>
        <v>27.21138602</v>
      </c>
      <c r="H123" s="43">
        <f t="shared" si="2"/>
        <v>27.21138602</v>
      </c>
      <c r="I123" s="43" t="str">
        <f t="shared" si="3"/>
        <v>0.00000017</v>
      </c>
      <c r="J123" s="43">
        <f t="shared" si="4"/>
        <v>0.00000017</v>
      </c>
      <c r="K123" s="43" t="b">
        <f t="shared" si="5"/>
        <v>0</v>
      </c>
      <c r="L123" s="21" t="str">
        <f>IFERROR(__xludf.DUMMYFUNCTION("if(regexmatch(B123,""e(.*)$""),regexextract(B123,""e(.*)$""),"""")"),"")</f>
        <v/>
      </c>
      <c r="M123" s="45"/>
      <c r="N123" s="45">
        <f>countif(Constants!F:F,F123)</f>
        <v>1</v>
      </c>
      <c r="O123" s="21" t="str">
        <f>ifna(VLOOKUP(A123,Constants!D:D,1,false),"")</f>
        <v>hartree-electron volt relationship</v>
      </c>
    </row>
    <row r="124">
      <c r="A124" s="6" t="s">
        <v>1173</v>
      </c>
      <c r="B124" s="6" t="s">
        <v>3258</v>
      </c>
      <c r="C124" s="6" t="s">
        <v>3259</v>
      </c>
      <c r="D124" s="6" t="s">
        <v>543</v>
      </c>
      <c r="E124" s="42">
        <f>countif(Constants!F:F,F124)</f>
        <v>1</v>
      </c>
      <c r="F124" s="21" t="str">
        <f>ifna(VLOOKUP($A124,Constants!$D:$F,3,false),"")</f>
        <v>HartreeEnergy</v>
      </c>
      <c r="G124" s="43" t="str">
        <f t="shared" si="1"/>
        <v>4.359744650e-18</v>
      </c>
      <c r="H124" s="43">
        <f t="shared" si="2"/>
        <v>0</v>
      </c>
      <c r="I124" s="43" t="str">
        <f t="shared" si="3"/>
        <v>0.000000054e-18</v>
      </c>
      <c r="J124" s="43">
        <f t="shared" si="4"/>
        <v>0</v>
      </c>
      <c r="K124" s="43" t="b">
        <f t="shared" si="5"/>
        <v>0</v>
      </c>
      <c r="L124" s="21" t="str">
        <f>IFERROR(__xludf.DUMMYFUNCTION("if(regexmatch(B124,""e(.*)$""),regexextract(B124,""e(.*)$""),"""")"),"-18")</f>
        <v>-18</v>
      </c>
      <c r="M124" s="45"/>
      <c r="N124" s="45">
        <f>countif(Constants!F:F,F124)</f>
        <v>1</v>
      </c>
      <c r="O124" s="21" t="str">
        <f>ifna(VLOOKUP(A124,Constants!D:D,1,false),"")</f>
        <v>Hartree energy</v>
      </c>
    </row>
    <row r="125">
      <c r="A125" s="6" t="s">
        <v>1177</v>
      </c>
      <c r="B125" s="6" t="s">
        <v>3255</v>
      </c>
      <c r="C125" s="6" t="s">
        <v>2223</v>
      </c>
      <c r="D125" s="6" t="s">
        <v>175</v>
      </c>
      <c r="E125" s="42">
        <f>countif(Constants!F:F,F125)</f>
        <v>1</v>
      </c>
      <c r="F125" s="21" t="str">
        <f>ifna(VLOOKUP($A125,Constants!$D:$F,3,false),"")</f>
        <v>HartreeEnergyInEV</v>
      </c>
      <c r="G125" s="43" t="str">
        <f t="shared" si="1"/>
        <v>27.21138602</v>
      </c>
      <c r="H125" s="43">
        <f t="shared" si="2"/>
        <v>27.21138602</v>
      </c>
      <c r="I125" s="43" t="str">
        <f t="shared" si="3"/>
        <v>0.00000017</v>
      </c>
      <c r="J125" s="43">
        <f t="shared" si="4"/>
        <v>0.00000017</v>
      </c>
      <c r="K125" s="43" t="b">
        <f t="shared" si="5"/>
        <v>0</v>
      </c>
      <c r="L125" s="21" t="str">
        <f>IFERROR(__xludf.DUMMYFUNCTION("if(regexmatch(B125,""e(.*)$""),regexextract(B125,""e(.*)$""),"""")"),"")</f>
        <v/>
      </c>
      <c r="M125" s="45"/>
      <c r="N125" s="45">
        <f>countif(Constants!F:F,F125)</f>
        <v>1</v>
      </c>
      <c r="O125" s="21" t="str">
        <f>ifna(VLOOKUP(A125,Constants!D:D,1,false),"")</f>
        <v>Hartree energy in eV</v>
      </c>
    </row>
    <row r="126">
      <c r="A126" s="6" t="s">
        <v>1180</v>
      </c>
      <c r="B126" s="6" t="s">
        <v>3396</v>
      </c>
      <c r="C126" s="6" t="s">
        <v>3397</v>
      </c>
      <c r="D126" s="6" t="s">
        <v>600</v>
      </c>
      <c r="E126" s="42">
        <f>countif(Constants!F:F,F126)</f>
        <v>1</v>
      </c>
      <c r="F126" s="21" t="str">
        <f>ifna(VLOOKUP($A126,Constants!$D:$F,3,false),"")</f>
        <v>HartreeHertzRelationship</v>
      </c>
      <c r="G126" s="43" t="str">
        <f t="shared" si="1"/>
        <v>6.579683920711e15</v>
      </c>
      <c r="H126" s="43">
        <f t="shared" si="2"/>
        <v>6.57968E+15</v>
      </c>
      <c r="I126" s="43" t="str">
        <f t="shared" si="3"/>
        <v>0.000000000039e15</v>
      </c>
      <c r="J126" s="43">
        <f t="shared" si="4"/>
        <v>39000</v>
      </c>
      <c r="K126" s="43" t="b">
        <f t="shared" si="5"/>
        <v>0</v>
      </c>
      <c r="L126" s="21" t="str">
        <f>IFERROR(__xludf.DUMMYFUNCTION("if(regexmatch(B126,""e(.*)$""),regexextract(B126,""e(.*)$""),"""")"),"15")</f>
        <v>15</v>
      </c>
      <c r="M126" s="45"/>
      <c r="N126" s="45">
        <f>countif(Constants!F:F,F126)</f>
        <v>1</v>
      </c>
      <c r="O126" s="21" t="str">
        <f>ifna(VLOOKUP(A126,Constants!D:D,1,false),"")</f>
        <v>hartree-hertz relationship</v>
      </c>
    </row>
    <row r="127">
      <c r="A127" s="6" t="s">
        <v>1185</v>
      </c>
      <c r="B127" s="6" t="s">
        <v>3398</v>
      </c>
      <c r="C127" s="6" t="s">
        <v>3399</v>
      </c>
      <c r="D127" s="6" t="s">
        <v>606</v>
      </c>
      <c r="E127" s="42">
        <f>countif(Constants!F:F,F127)</f>
        <v>1</v>
      </c>
      <c r="F127" s="21" t="str">
        <f>ifna(VLOOKUP($A127,Constants!$D:$F,3,false),"")</f>
        <v>HartreeInverseMeterRelationship</v>
      </c>
      <c r="G127" s="43" t="str">
        <f t="shared" si="1"/>
        <v>2.194746313702e7</v>
      </c>
      <c r="H127" s="43">
        <f t="shared" si="2"/>
        <v>21947463.14</v>
      </c>
      <c r="I127" s="43" t="str">
        <f t="shared" si="3"/>
        <v>0.000000000013e7</v>
      </c>
      <c r="J127" s="43">
        <f t="shared" si="4"/>
        <v>0.00013</v>
      </c>
      <c r="K127" s="43" t="b">
        <f t="shared" si="5"/>
        <v>0</v>
      </c>
      <c r="L127" s="21" t="str">
        <f>IFERROR(__xludf.DUMMYFUNCTION("if(regexmatch(B127,""e(.*)$""),regexextract(B127,""e(.*)$""),"""")"),"7")</f>
        <v>7</v>
      </c>
      <c r="M127" s="45"/>
      <c r="N127" s="45">
        <f>countif(Constants!F:F,F127)</f>
        <v>1</v>
      </c>
      <c r="O127" s="21" t="str">
        <f>ifna(VLOOKUP(A127,Constants!D:D,1,false),"")</f>
        <v>hartree-inverse meter relationship</v>
      </c>
    </row>
    <row r="128">
      <c r="A128" s="6" t="s">
        <v>1190</v>
      </c>
      <c r="B128" s="6" t="s">
        <v>3258</v>
      </c>
      <c r="C128" s="6" t="s">
        <v>3259</v>
      </c>
      <c r="D128" s="6" t="s">
        <v>543</v>
      </c>
      <c r="E128" s="42">
        <f>countif(Constants!F:F,F128)</f>
        <v>1</v>
      </c>
      <c r="F128" s="21" t="str">
        <f>ifna(VLOOKUP($A128,Constants!$D:$F,3,false),"")</f>
        <v>HartreeJouleRelationship</v>
      </c>
      <c r="G128" s="43" t="str">
        <f t="shared" si="1"/>
        <v>4.359744650e-18</v>
      </c>
      <c r="H128" s="43">
        <f t="shared" si="2"/>
        <v>0</v>
      </c>
      <c r="I128" s="43" t="str">
        <f t="shared" si="3"/>
        <v>0.000000054e-18</v>
      </c>
      <c r="J128" s="43">
        <f t="shared" si="4"/>
        <v>0</v>
      </c>
      <c r="K128" s="43" t="b">
        <f t="shared" si="5"/>
        <v>0</v>
      </c>
      <c r="L128" s="21" t="str">
        <f>IFERROR(__xludf.DUMMYFUNCTION("if(regexmatch(B128,""e(.*)$""),regexextract(B128,""e(.*)$""),"""")"),"-18")</f>
        <v>-18</v>
      </c>
      <c r="M128" s="45"/>
      <c r="N128" s="45">
        <f>countif(Constants!F:F,F128)</f>
        <v>1</v>
      </c>
      <c r="O128" s="21" t="str">
        <f>ifna(VLOOKUP(A128,Constants!D:D,1,false),"")</f>
        <v>hartree-joule relationship</v>
      </c>
    </row>
    <row r="129">
      <c r="A129" s="6" t="s">
        <v>1195</v>
      </c>
      <c r="B129" s="6" t="s">
        <v>3400</v>
      </c>
      <c r="C129" s="6" t="s">
        <v>3401</v>
      </c>
      <c r="D129" s="6" t="s">
        <v>618</v>
      </c>
      <c r="E129" s="42">
        <f>countif(Constants!F:F,F129)</f>
        <v>1</v>
      </c>
      <c r="F129" s="21" t="str">
        <f>ifna(VLOOKUP($A129,Constants!$D:$F,3,false),"")</f>
        <v>HartreeKelvinRelationship</v>
      </c>
      <c r="G129" s="43" t="str">
        <f t="shared" si="1"/>
        <v>3.1577513e5</v>
      </c>
      <c r="H129" s="43">
        <f t="shared" si="2"/>
        <v>315775.13</v>
      </c>
      <c r="I129" s="43" t="str">
        <f t="shared" si="3"/>
        <v>0.0000018e5</v>
      </c>
      <c r="J129" s="43">
        <f t="shared" si="4"/>
        <v>0.18</v>
      </c>
      <c r="K129" s="43" t="b">
        <f t="shared" si="5"/>
        <v>0</v>
      </c>
      <c r="L129" s="21" t="str">
        <f>IFERROR(__xludf.DUMMYFUNCTION("if(regexmatch(B129,""e(.*)$""),regexextract(B129,""e(.*)$""),"""")"),"5")</f>
        <v>5</v>
      </c>
      <c r="M129" s="45"/>
      <c r="N129" s="45">
        <f>countif(Constants!F:F,F129)</f>
        <v>1</v>
      </c>
      <c r="O129" s="21" t="str">
        <f>ifna(VLOOKUP(A129,Constants!D:D,1,false),"")</f>
        <v>hartree-kelvin relationship</v>
      </c>
    </row>
    <row r="130">
      <c r="A130" s="6" t="s">
        <v>1200</v>
      </c>
      <c r="B130" s="6" t="s">
        <v>3402</v>
      </c>
      <c r="C130" s="6" t="s">
        <v>3403</v>
      </c>
      <c r="D130" s="6" t="s">
        <v>538</v>
      </c>
      <c r="E130" s="42">
        <f>countif(Constants!F:F,F130)</f>
        <v>1</v>
      </c>
      <c r="F130" s="21" t="str">
        <f>ifna(VLOOKUP($A130,Constants!$D:$F,3,false),"")</f>
        <v>HartreeKilogramRelationship</v>
      </c>
      <c r="G130" s="43" t="str">
        <f t="shared" si="1"/>
        <v>4.850870129e-35</v>
      </c>
      <c r="H130" s="43">
        <f t="shared" si="2"/>
        <v>0</v>
      </c>
      <c r="I130" s="43" t="str">
        <f t="shared" si="3"/>
        <v>0.000000060e-35</v>
      </c>
      <c r="J130" s="43">
        <f t="shared" si="4"/>
        <v>0</v>
      </c>
      <c r="K130" s="43" t="b">
        <f t="shared" si="5"/>
        <v>0</v>
      </c>
      <c r="L130" s="21" t="str">
        <f>IFERROR(__xludf.DUMMYFUNCTION("if(regexmatch(B130,""e(.*)$""),regexextract(B130,""e(.*)$""),"""")"),"-35")</f>
        <v>-35</v>
      </c>
      <c r="M130" s="45"/>
      <c r="N130" s="45">
        <f>countif(Constants!F:F,F130)</f>
        <v>1</v>
      </c>
      <c r="O130" s="21" t="str">
        <f>ifna(VLOOKUP(A130,Constants!D:D,1,false),"")</f>
        <v>hartree-kilogram relationship</v>
      </c>
    </row>
    <row r="131">
      <c r="A131" s="6" t="s">
        <v>1205</v>
      </c>
      <c r="B131" s="6" t="s">
        <v>3404</v>
      </c>
      <c r="C131" s="6" t="s">
        <v>3180</v>
      </c>
      <c r="E131" s="42">
        <f>countif(Constants!F:F,F131)</f>
        <v>1</v>
      </c>
      <c r="F131" s="21" t="str">
        <f>ifna(VLOOKUP($A131,Constants!$D:$F,3,false),"")</f>
        <v>HelionElectronMassRatio</v>
      </c>
      <c r="G131" s="43" t="str">
        <f t="shared" si="1"/>
        <v>5495.88527922</v>
      </c>
      <c r="H131" s="43">
        <f t="shared" si="2"/>
        <v>5495.885279</v>
      </c>
      <c r="I131" s="43" t="str">
        <f t="shared" si="3"/>
        <v>0.00000027</v>
      </c>
      <c r="J131" s="43">
        <f t="shared" si="4"/>
        <v>0.00000027</v>
      </c>
      <c r="K131" s="43" t="b">
        <f t="shared" si="5"/>
        <v>0</v>
      </c>
      <c r="L131" s="21" t="str">
        <f>IFERROR(__xludf.DUMMYFUNCTION("if(regexmatch(B131,""e(.*)$""),regexextract(B131,""e(.*)$""),"""")"),"")</f>
        <v/>
      </c>
      <c r="M131" s="45"/>
      <c r="N131" s="45">
        <f>countif(Constants!F:F,F131)</f>
        <v>1</v>
      </c>
      <c r="O131" s="21" t="str">
        <f>ifna(VLOOKUP(A131,Constants!D:D,1,false),"")</f>
        <v>helion-electron mass ratio</v>
      </c>
    </row>
    <row r="132">
      <c r="A132" s="6" t="s">
        <v>1208</v>
      </c>
      <c r="B132" s="6" t="s">
        <v>3405</v>
      </c>
      <c r="C132" s="6" t="s">
        <v>2942</v>
      </c>
      <c r="E132" s="42">
        <f>countif(Constants!F:F,F132)</f>
        <v>1</v>
      </c>
      <c r="F132" s="21" t="str">
        <f>ifna(VLOOKUP($A132,Constants!$D:$F,3,false),"")</f>
        <v>HelionGFactor</v>
      </c>
      <c r="G132" s="43" t="str">
        <f t="shared" si="1"/>
        <v>-4.255250616</v>
      </c>
      <c r="H132" s="43">
        <f t="shared" si="2"/>
        <v>-4.255250616</v>
      </c>
      <c r="I132" s="43" t="str">
        <f t="shared" si="3"/>
        <v>0.000000050</v>
      </c>
      <c r="J132" s="43">
        <f t="shared" si="4"/>
        <v>0.00000005</v>
      </c>
      <c r="K132" s="43" t="b">
        <f t="shared" si="5"/>
        <v>0</v>
      </c>
      <c r="L132" s="21" t="str">
        <f>IFERROR(__xludf.DUMMYFUNCTION("if(regexmatch(B132,""e(.*)$""),regexextract(B132,""e(.*)$""),"""")"),"")</f>
        <v/>
      </c>
      <c r="M132" s="45"/>
      <c r="N132" s="45">
        <f>countif(Constants!F:F,F132)</f>
        <v>1</v>
      </c>
      <c r="O132" s="21" t="str">
        <f>ifna(VLOOKUP(A132,Constants!D:D,1,false),"")</f>
        <v>helion g factor</v>
      </c>
    </row>
    <row r="133">
      <c r="A133" s="6" t="s">
        <v>1211</v>
      </c>
      <c r="B133" s="6" t="s">
        <v>3406</v>
      </c>
      <c r="C133" s="6" t="s">
        <v>3407</v>
      </c>
      <c r="D133" s="6" t="s">
        <v>714</v>
      </c>
      <c r="E133" s="42">
        <f>countif(Constants!F:F,F133)</f>
        <v>1</v>
      </c>
      <c r="F133" s="21" t="str">
        <f>ifna(VLOOKUP($A133,Constants!$D:$F,3,false),"")</f>
        <v>HelionMag.Mom.</v>
      </c>
      <c r="G133" s="43" t="str">
        <f t="shared" si="1"/>
        <v>-1.074617522e-26</v>
      </c>
      <c r="H133" s="43">
        <f t="shared" si="2"/>
        <v>0</v>
      </c>
      <c r="I133" s="43" t="str">
        <f t="shared" si="3"/>
        <v>0.000000014e-26</v>
      </c>
      <c r="J133" s="43">
        <f t="shared" si="4"/>
        <v>0</v>
      </c>
      <c r="K133" s="43" t="b">
        <f t="shared" si="5"/>
        <v>0</v>
      </c>
      <c r="L133" s="21" t="str">
        <f>IFERROR(__xludf.DUMMYFUNCTION("if(regexmatch(B133,""e(.*)$""),regexextract(B133,""e(.*)$""),"""")"),"-26")</f>
        <v>-26</v>
      </c>
      <c r="M133" s="45"/>
      <c r="N133" s="45">
        <f>countif(Constants!F:F,F133)</f>
        <v>1</v>
      </c>
      <c r="O133" s="21" t="str">
        <f>ifna(VLOOKUP(A133,Constants!D:D,1,false),"")</f>
        <v>helion mag. mom.</v>
      </c>
    </row>
    <row r="134">
      <c r="A134" s="6" t="s">
        <v>1215</v>
      </c>
      <c r="B134" s="6" t="s">
        <v>2945</v>
      </c>
      <c r="C134" s="6" t="s">
        <v>2946</v>
      </c>
      <c r="E134" s="42">
        <f>countif(Constants!F:F,F134)</f>
        <v>1</v>
      </c>
      <c r="F134" s="21" t="str">
        <f>ifna(VLOOKUP($A134,Constants!$D:$F,3,false),"")</f>
        <v>HelionMag.Mom.ToBohrMagnetonRatio</v>
      </c>
      <c r="G134" s="43" t="str">
        <f t="shared" si="1"/>
        <v>-1.158740958e-3</v>
      </c>
      <c r="H134" s="43">
        <f t="shared" si="2"/>
        <v>-0.001158740958</v>
      </c>
      <c r="I134" s="43" t="str">
        <f t="shared" si="3"/>
        <v>0.000000014e-3</v>
      </c>
      <c r="J134" s="43">
        <f t="shared" si="4"/>
        <v>0</v>
      </c>
      <c r="K134" s="43" t="b">
        <f t="shared" si="5"/>
        <v>0</v>
      </c>
      <c r="L134" s="21" t="str">
        <f>IFERROR(__xludf.DUMMYFUNCTION("if(regexmatch(B134,""e(.*)$""),regexextract(B134,""e(.*)$""),"""")"),"-3")</f>
        <v>-3</v>
      </c>
      <c r="M134" s="45"/>
      <c r="N134" s="45">
        <f>countif(Constants!F:F,F134)</f>
        <v>1</v>
      </c>
      <c r="O134" s="21" t="str">
        <f>ifna(VLOOKUP(A134,Constants!D:D,1,false),"")</f>
        <v>helion mag. mom. to Bohr magneton ratio</v>
      </c>
    </row>
    <row r="135">
      <c r="A135" s="6" t="s">
        <v>1219</v>
      </c>
      <c r="B135" s="6" t="s">
        <v>3408</v>
      </c>
      <c r="C135" s="6" t="s">
        <v>2948</v>
      </c>
      <c r="E135" s="42">
        <f>countif(Constants!F:F,F135)</f>
        <v>1</v>
      </c>
      <c r="F135" s="21" t="str">
        <f>ifna(VLOOKUP($A135,Constants!$D:$F,3,false),"")</f>
        <v>HelionMag.Mom.ToNuclearMagnetonRatio</v>
      </c>
      <c r="G135" s="43" t="str">
        <f t="shared" si="1"/>
        <v>-2.127625308</v>
      </c>
      <c r="H135" s="43">
        <f t="shared" si="2"/>
        <v>-2.127625308</v>
      </c>
      <c r="I135" s="43" t="str">
        <f t="shared" si="3"/>
        <v>0.000000025</v>
      </c>
      <c r="J135" s="43">
        <f t="shared" si="4"/>
        <v>0.000000025</v>
      </c>
      <c r="K135" s="43" t="b">
        <f t="shared" si="5"/>
        <v>0</v>
      </c>
      <c r="L135" s="21" t="str">
        <f>IFERROR(__xludf.DUMMYFUNCTION("if(regexmatch(B135,""e(.*)$""),regexextract(B135,""e(.*)$""),"""")"),"")</f>
        <v/>
      </c>
      <c r="M135" s="45"/>
      <c r="N135" s="45">
        <f>countif(Constants!F:F,F135)</f>
        <v>1</v>
      </c>
      <c r="O135" s="21" t="str">
        <f>ifna(VLOOKUP(A135,Constants!D:D,1,false),"")</f>
        <v>helion mag. mom. to nuclear magneton ratio</v>
      </c>
    </row>
    <row r="136">
      <c r="A136" s="6" t="s">
        <v>1223</v>
      </c>
      <c r="B136" s="6" t="s">
        <v>3409</v>
      </c>
      <c r="C136" s="6" t="s">
        <v>3410</v>
      </c>
      <c r="D136" s="6" t="s">
        <v>538</v>
      </c>
      <c r="E136" s="42">
        <f>countif(Constants!F:F,F136)</f>
        <v>1</v>
      </c>
      <c r="F136" s="21" t="str">
        <f>ifna(VLOOKUP($A136,Constants!$D:$F,3,false),"")</f>
        <v>HelionMass</v>
      </c>
      <c r="G136" s="43" t="str">
        <f t="shared" si="1"/>
        <v>5.006412700e-27</v>
      </c>
      <c r="H136" s="43">
        <f t="shared" si="2"/>
        <v>0</v>
      </c>
      <c r="I136" s="43" t="str">
        <f t="shared" si="3"/>
        <v>0.000000062e-27</v>
      </c>
      <c r="J136" s="43">
        <f t="shared" si="4"/>
        <v>0</v>
      </c>
      <c r="K136" s="43" t="b">
        <f t="shared" si="5"/>
        <v>0</v>
      </c>
      <c r="L136" s="21" t="str">
        <f>IFERROR(__xludf.DUMMYFUNCTION("if(regexmatch(B136,""e(.*)$""),regexextract(B136,""e(.*)$""),"""")"),"-27")</f>
        <v>-27</v>
      </c>
      <c r="M136" s="45"/>
      <c r="N136" s="45">
        <f>countif(Constants!F:F,F136)</f>
        <v>1</v>
      </c>
      <c r="O136" s="21" t="str">
        <f>ifna(VLOOKUP(A136,Constants!D:D,1,false),"")</f>
        <v>helion mass</v>
      </c>
    </row>
    <row r="137">
      <c r="A137" s="6" t="s">
        <v>1227</v>
      </c>
      <c r="B137" s="6" t="s">
        <v>3411</v>
      </c>
      <c r="C137" s="6" t="s">
        <v>3412</v>
      </c>
      <c r="D137" s="6" t="s">
        <v>543</v>
      </c>
      <c r="E137" s="42">
        <f>countif(Constants!F:F,F137)</f>
        <v>1</v>
      </c>
      <c r="F137" s="21" t="str">
        <f>ifna(VLOOKUP($A137,Constants!$D:$F,3,false),"")</f>
        <v>HelionMassEnergyEquivalent</v>
      </c>
      <c r="G137" s="43" t="str">
        <f t="shared" si="1"/>
        <v>4.499539341e-10</v>
      </c>
      <c r="H137" s="43">
        <f t="shared" si="2"/>
        <v>0.0000000004499539341</v>
      </c>
      <c r="I137" s="43" t="str">
        <f t="shared" si="3"/>
        <v>0.000000055e-10</v>
      </c>
      <c r="J137" s="43">
        <f t="shared" si="4"/>
        <v>0</v>
      </c>
      <c r="K137" s="43" t="b">
        <f t="shared" si="5"/>
        <v>0</v>
      </c>
      <c r="L137" s="21" t="str">
        <f>IFERROR(__xludf.DUMMYFUNCTION("if(regexmatch(B137,""e(.*)$""),regexextract(B137,""e(.*)$""),"""")"),"-10")</f>
        <v>-10</v>
      </c>
      <c r="M137" s="45"/>
      <c r="N137" s="45">
        <f>countif(Constants!F:F,F137)</f>
        <v>1</v>
      </c>
      <c r="O137" s="21" t="str">
        <f>ifna(VLOOKUP(A137,Constants!D:D,1,false),"")</f>
        <v>helion mass energy equivalent</v>
      </c>
    </row>
    <row r="138">
      <c r="A138" s="6" t="s">
        <v>1231</v>
      </c>
      <c r="B138" s="6" t="s">
        <v>3413</v>
      </c>
      <c r="C138" s="6" t="s">
        <v>3414</v>
      </c>
      <c r="D138" s="6" t="s">
        <v>548</v>
      </c>
      <c r="E138" s="42">
        <f>countif(Constants!F:F,F138)</f>
        <v>1</v>
      </c>
      <c r="F138" s="21" t="str">
        <f>ifna(VLOOKUP($A138,Constants!$D:$F,3,false),"")</f>
        <v>HelionMassEnergyEquivalentInMeV</v>
      </c>
      <c r="G138" s="43" t="str">
        <f t="shared" si="1"/>
        <v>2808.391586</v>
      </c>
      <c r="H138" s="43">
        <f t="shared" si="2"/>
        <v>2808.391586</v>
      </c>
      <c r="I138" s="43" t="str">
        <f t="shared" si="3"/>
        <v>0.000017</v>
      </c>
      <c r="J138" s="43">
        <f t="shared" si="4"/>
        <v>0.000017</v>
      </c>
      <c r="K138" s="43" t="b">
        <f t="shared" si="5"/>
        <v>0</v>
      </c>
      <c r="L138" s="21" t="str">
        <f>IFERROR(__xludf.DUMMYFUNCTION("if(regexmatch(B138,""e(.*)$""),regexextract(B138,""e(.*)$""),"""")"),"")</f>
        <v/>
      </c>
      <c r="M138" s="45"/>
      <c r="N138" s="45">
        <f>countif(Constants!F:F,F138)</f>
        <v>1</v>
      </c>
      <c r="O138" s="21" t="str">
        <f>ifna(VLOOKUP(A138,Constants!D:D,1,false),"")</f>
        <v>helion mass energy equivalent in MeV</v>
      </c>
    </row>
    <row r="139">
      <c r="A139" s="6" t="s">
        <v>1234</v>
      </c>
      <c r="B139" s="6" t="s">
        <v>3415</v>
      </c>
      <c r="C139" s="6" t="s">
        <v>3189</v>
      </c>
      <c r="D139" s="6" t="s">
        <v>553</v>
      </c>
      <c r="E139" s="42">
        <f>countif(Constants!F:F,F139)</f>
        <v>1</v>
      </c>
      <c r="F139" s="21" t="str">
        <f>ifna(VLOOKUP($A139,Constants!$D:$F,3,false),"")</f>
        <v>HelionMassInAtomicMassUnit</v>
      </c>
      <c r="G139" s="43" t="str">
        <f t="shared" si="1"/>
        <v>3.01493224673</v>
      </c>
      <c r="H139" s="43">
        <f t="shared" si="2"/>
        <v>3.014932247</v>
      </c>
      <c r="I139" s="43" t="str">
        <f t="shared" si="3"/>
        <v>0.00000000012</v>
      </c>
      <c r="J139" s="43">
        <f t="shared" si="4"/>
        <v>0.00000000012</v>
      </c>
      <c r="K139" s="43" t="b">
        <f t="shared" si="5"/>
        <v>0</v>
      </c>
      <c r="L139" s="21" t="str">
        <f>IFERROR(__xludf.DUMMYFUNCTION("if(regexmatch(B139,""e(.*)$""),regexextract(B139,""e(.*)$""),"""")"),"")</f>
        <v/>
      </c>
      <c r="M139" s="45"/>
      <c r="N139" s="45">
        <f>countif(Constants!F:F,F139)</f>
        <v>1</v>
      </c>
      <c r="O139" s="21" t="str">
        <f>ifna(VLOOKUP(A139,Constants!D:D,1,false),"")</f>
        <v>helion mass in u</v>
      </c>
    </row>
    <row r="140">
      <c r="A140" s="6" t="s">
        <v>1237</v>
      </c>
      <c r="B140" s="6" t="s">
        <v>3416</v>
      </c>
      <c r="C140" s="6" t="s">
        <v>3417</v>
      </c>
      <c r="D140" s="6" t="s">
        <v>557</v>
      </c>
      <c r="E140" s="42">
        <f>countif(Constants!F:F,F140)</f>
        <v>1</v>
      </c>
      <c r="F140" s="21" t="str">
        <f>ifna(VLOOKUP($A140,Constants!$D:$F,3,false),"")</f>
        <v>HelionMolarMass</v>
      </c>
      <c r="G140" s="43" t="str">
        <f t="shared" si="1"/>
        <v>3.01493224673e-3</v>
      </c>
      <c r="H140" s="43">
        <f t="shared" si="2"/>
        <v>0.003014932247</v>
      </c>
      <c r="I140" s="43" t="str">
        <f t="shared" si="3"/>
        <v>0.00000000012e-3</v>
      </c>
      <c r="J140" s="43">
        <f t="shared" si="4"/>
        <v>0</v>
      </c>
      <c r="K140" s="43" t="b">
        <f t="shared" si="5"/>
        <v>0</v>
      </c>
      <c r="L140" s="21" t="str">
        <f>IFERROR(__xludf.DUMMYFUNCTION("if(regexmatch(B140,""e(.*)$""),regexextract(B140,""e(.*)$""),"""")"),"-3")</f>
        <v>-3</v>
      </c>
      <c r="M140" s="45"/>
      <c r="N140" s="45">
        <f>countif(Constants!F:F,F140)</f>
        <v>1</v>
      </c>
      <c r="O140" s="21" t="str">
        <f>ifna(VLOOKUP(A140,Constants!D:D,1,false),"")</f>
        <v>helion molar mass</v>
      </c>
    </row>
    <row r="141">
      <c r="A141" s="6" t="s">
        <v>1241</v>
      </c>
      <c r="B141" s="6" t="s">
        <v>3418</v>
      </c>
      <c r="C141" s="6" t="s">
        <v>3419</v>
      </c>
      <c r="E141" s="42">
        <f>countif(Constants!F:F,F141)</f>
        <v>1</v>
      </c>
      <c r="F141" s="21" t="str">
        <f>ifna(VLOOKUP($A141,Constants!$D:$F,3,false),"")</f>
        <v>HelionProtonMassRatio</v>
      </c>
      <c r="G141" s="43" t="str">
        <f t="shared" si="1"/>
        <v>2.99315267046</v>
      </c>
      <c r="H141" s="43">
        <f t="shared" si="2"/>
        <v>2.99315267</v>
      </c>
      <c r="I141" s="43" t="str">
        <f t="shared" si="3"/>
        <v>0.00000000029</v>
      </c>
      <c r="J141" s="43">
        <f t="shared" si="4"/>
        <v>0.00000000029</v>
      </c>
      <c r="K141" s="43" t="b">
        <f t="shared" si="5"/>
        <v>0</v>
      </c>
      <c r="L141" s="21" t="str">
        <f>IFERROR(__xludf.DUMMYFUNCTION("if(regexmatch(B141,""e(.*)$""),regexextract(B141,""e(.*)$""),"""")"),"")</f>
        <v/>
      </c>
      <c r="M141" s="45"/>
      <c r="N141" s="45">
        <f>countif(Constants!F:F,F141)</f>
        <v>1</v>
      </c>
      <c r="O141" s="21" t="str">
        <f>ifna(VLOOKUP(A141,Constants!D:D,1,false),"")</f>
        <v>helion-proton mass ratio</v>
      </c>
    </row>
    <row r="142">
      <c r="A142" s="6" t="s">
        <v>1251</v>
      </c>
      <c r="B142" s="6" t="s">
        <v>3420</v>
      </c>
      <c r="C142" s="6" t="s">
        <v>3421</v>
      </c>
      <c r="D142" s="6" t="s">
        <v>553</v>
      </c>
      <c r="E142" s="42">
        <f>countif(Constants!F:F,F142)</f>
        <v>1</v>
      </c>
      <c r="F142" s="21" t="str">
        <f>ifna(VLOOKUP($A142,Constants!$D:$F,3,false),"")</f>
        <v>HertzAtomicMassUnitRelationship</v>
      </c>
      <c r="G142" s="43" t="str">
        <f t="shared" si="1"/>
        <v>4.4398216616e-24</v>
      </c>
      <c r="H142" s="43">
        <f t="shared" si="2"/>
        <v>0</v>
      </c>
      <c r="I142" s="43" t="str">
        <f t="shared" si="3"/>
        <v>0.0000000020e-24</v>
      </c>
      <c r="J142" s="43">
        <f t="shared" si="4"/>
        <v>0</v>
      </c>
      <c r="K142" s="43" t="b">
        <f t="shared" si="5"/>
        <v>0</v>
      </c>
      <c r="L142" s="21" t="str">
        <f>IFERROR(__xludf.DUMMYFUNCTION("if(regexmatch(B142,""e(.*)$""),regexextract(B142,""e(.*)$""),"""")"),"-24")</f>
        <v>-24</v>
      </c>
      <c r="M142" s="45"/>
      <c r="N142" s="45">
        <f>countif(Constants!F:F,F142)</f>
        <v>1</v>
      </c>
      <c r="O142" s="21" t="str">
        <f>ifna(VLOOKUP(A142,Constants!D:D,1,false),"")</f>
        <v>hertz-atomic mass unit relationship</v>
      </c>
    </row>
    <row r="143">
      <c r="A143" s="6" t="s">
        <v>1257</v>
      </c>
      <c r="B143" s="6" t="s">
        <v>3422</v>
      </c>
      <c r="C143" s="6" t="s">
        <v>3423</v>
      </c>
      <c r="D143" s="6" t="s">
        <v>175</v>
      </c>
      <c r="E143" s="42">
        <f>countif(Constants!F:F,F143)</f>
        <v>1</v>
      </c>
      <c r="F143" s="21" t="str">
        <f>ifna(VLOOKUP($A143,Constants!$D:$F,3,false),"")</f>
        <v>HertzElectronVoltRelationship</v>
      </c>
      <c r="G143" s="43" t="str">
        <f t="shared" si="1"/>
        <v>4.135667662e-15</v>
      </c>
      <c r="H143" s="43">
        <f t="shared" si="2"/>
        <v>0</v>
      </c>
      <c r="I143" s="43" t="str">
        <f t="shared" si="3"/>
        <v>0.000000025e-15</v>
      </c>
      <c r="J143" s="43">
        <f t="shared" si="4"/>
        <v>0</v>
      </c>
      <c r="K143" s="43" t="b">
        <f t="shared" si="5"/>
        <v>0</v>
      </c>
      <c r="L143" s="21" t="str">
        <f>IFERROR(__xludf.DUMMYFUNCTION("if(regexmatch(B143,""e(.*)$""),regexextract(B143,""e(.*)$""),"""")"),"-15")</f>
        <v>-15</v>
      </c>
      <c r="M143" s="45"/>
      <c r="N143" s="45">
        <f>countif(Constants!F:F,F143)</f>
        <v>1</v>
      </c>
      <c r="O143" s="21" t="str">
        <f>ifna(VLOOKUP(A143,Constants!D:D,1,false),"")</f>
        <v>hertz-electron volt relationship</v>
      </c>
    </row>
    <row r="144">
      <c r="A144" s="6" t="s">
        <v>1262</v>
      </c>
      <c r="B144" s="6" t="s">
        <v>3424</v>
      </c>
      <c r="C144" s="6" t="s">
        <v>3425</v>
      </c>
      <c r="D144" s="6" t="s">
        <v>593</v>
      </c>
      <c r="E144" s="42">
        <f>countif(Constants!F:F,F144)</f>
        <v>1</v>
      </c>
      <c r="F144" s="21" t="str">
        <f>ifna(VLOOKUP($A144,Constants!$D:$F,3,false),"")</f>
        <v>HertzHartreeRelationship</v>
      </c>
      <c r="G144" s="43" t="str">
        <f t="shared" si="1"/>
        <v>1.5198298460088e-16</v>
      </c>
      <c r="H144" s="43">
        <f t="shared" si="2"/>
        <v>0</v>
      </c>
      <c r="I144" s="43" t="str">
        <f t="shared" si="3"/>
        <v>0.0000000000090e-16</v>
      </c>
      <c r="J144" s="43">
        <f t="shared" si="4"/>
        <v>0</v>
      </c>
      <c r="K144" s="43" t="b">
        <f t="shared" si="5"/>
        <v>0</v>
      </c>
      <c r="L144" s="21" t="str">
        <f>IFERROR(__xludf.DUMMYFUNCTION("if(regexmatch(B144,""e(.*)$""),regexextract(B144,""e(.*)$""),"""")"),"-16")</f>
        <v>-16</v>
      </c>
      <c r="M144" s="45"/>
      <c r="N144" s="45">
        <f>countif(Constants!F:F,F144)</f>
        <v>1</v>
      </c>
      <c r="O144" s="21" t="str">
        <f>ifna(VLOOKUP(A144,Constants!D:D,1,false),"")</f>
        <v>hertz-hartree relationship</v>
      </c>
    </row>
    <row r="145">
      <c r="A145" s="6" t="s">
        <v>1267</v>
      </c>
      <c r="B145" s="6" t="s">
        <v>2967</v>
      </c>
      <c r="C145" s="6" t="s">
        <v>2261</v>
      </c>
      <c r="D145" s="6" t="s">
        <v>606</v>
      </c>
      <c r="E145" s="42">
        <f>countif(Constants!F:F,F145)</f>
        <v>1</v>
      </c>
      <c r="F145" s="21" t="str">
        <f>ifna(VLOOKUP($A145,Constants!$D:$F,3,false),"")</f>
        <v>HertzInverseMeterRelationship</v>
      </c>
      <c r="G145" s="43" t="str">
        <f t="shared" si="1"/>
        <v>3.335640951e-9</v>
      </c>
      <c r="H145" s="43">
        <f t="shared" si="2"/>
        <v>0.000000003335640951</v>
      </c>
      <c r="I145" s="43" t="str">
        <f t="shared" si="3"/>
        <v>(exact)</v>
      </c>
      <c r="J145" s="43" t="str">
        <f t="shared" si="4"/>
        <v/>
      </c>
      <c r="K145" s="43" t="b">
        <f t="shared" si="5"/>
        <v>1</v>
      </c>
      <c r="L145" s="21" t="str">
        <f>IFERROR(__xludf.DUMMYFUNCTION("if(regexmatch(B145,""e(.*)$""),regexextract(B145,""e(.*)$""),"""")"),"-9")</f>
        <v>-9</v>
      </c>
      <c r="M145" s="45"/>
      <c r="N145" s="45">
        <f>countif(Constants!F:F,F145)</f>
        <v>1</v>
      </c>
      <c r="O145" s="21" t="str">
        <f>ifna(VLOOKUP(A145,Constants!D:D,1,false),"")</f>
        <v>hertz-inverse meter relationship</v>
      </c>
    </row>
    <row r="146">
      <c r="A146" s="6" t="s">
        <v>1272</v>
      </c>
      <c r="B146" s="6" t="s">
        <v>3426</v>
      </c>
      <c r="C146" s="6" t="s">
        <v>3427</v>
      </c>
      <c r="D146" s="6" t="s">
        <v>543</v>
      </c>
      <c r="E146" s="42">
        <f>countif(Constants!F:F,F146)</f>
        <v>1</v>
      </c>
      <c r="F146" s="21" t="str">
        <f>ifna(VLOOKUP($A146,Constants!$D:$F,3,false),"")</f>
        <v>HertzJouleRelationship</v>
      </c>
      <c r="G146" s="43" t="str">
        <f t="shared" si="1"/>
        <v>6.626070040e-34</v>
      </c>
      <c r="H146" s="43">
        <f t="shared" si="2"/>
        <v>0</v>
      </c>
      <c r="I146" s="43" t="str">
        <f t="shared" si="3"/>
        <v>0.000000081e-34</v>
      </c>
      <c r="J146" s="43">
        <f t="shared" si="4"/>
        <v>0</v>
      </c>
      <c r="K146" s="43" t="b">
        <f t="shared" si="5"/>
        <v>0</v>
      </c>
      <c r="L146" s="21" t="str">
        <f>IFERROR(__xludf.DUMMYFUNCTION("if(regexmatch(B146,""e(.*)$""),regexextract(B146,""e(.*)$""),"""")"),"-34")</f>
        <v>-34</v>
      </c>
      <c r="M146" s="45"/>
      <c r="N146" s="45">
        <f>countif(Constants!F:F,F146)</f>
        <v>1</v>
      </c>
      <c r="O146" s="21" t="str">
        <f>ifna(VLOOKUP(A146,Constants!D:D,1,false),"")</f>
        <v>hertz-joule relationship</v>
      </c>
    </row>
    <row r="147">
      <c r="A147" s="6" t="s">
        <v>1277</v>
      </c>
      <c r="B147" s="6" t="s">
        <v>3428</v>
      </c>
      <c r="C147" s="6" t="s">
        <v>3429</v>
      </c>
      <c r="D147" s="6" t="s">
        <v>618</v>
      </c>
      <c r="E147" s="42">
        <f>countif(Constants!F:F,F147)</f>
        <v>1</v>
      </c>
      <c r="F147" s="21" t="str">
        <f>ifna(VLOOKUP($A147,Constants!$D:$F,3,false),"")</f>
        <v>HertzKelvinRelationship</v>
      </c>
      <c r="G147" s="43" t="str">
        <f t="shared" si="1"/>
        <v>4.7992447e-11</v>
      </c>
      <c r="H147" s="43">
        <f t="shared" si="2"/>
        <v>0</v>
      </c>
      <c r="I147" s="43" t="str">
        <f t="shared" si="3"/>
        <v>0.0000028e-11</v>
      </c>
      <c r="J147" s="43">
        <f t="shared" si="4"/>
        <v>0</v>
      </c>
      <c r="K147" s="43" t="b">
        <f t="shared" si="5"/>
        <v>0</v>
      </c>
      <c r="L147" s="21" t="str">
        <f>IFERROR(__xludf.DUMMYFUNCTION("if(regexmatch(B147,""e(.*)$""),regexextract(B147,""e(.*)$""),"""")"),"-11")</f>
        <v>-11</v>
      </c>
      <c r="M147" s="45"/>
      <c r="N147" s="45">
        <f>countif(Constants!F:F,F147)</f>
        <v>1</v>
      </c>
      <c r="O147" s="21" t="str">
        <f>ifna(VLOOKUP(A147,Constants!D:D,1,false),"")</f>
        <v>hertz-kelvin relationship</v>
      </c>
    </row>
    <row r="148">
      <c r="A148" s="6" t="s">
        <v>1282</v>
      </c>
      <c r="B148" s="6" t="s">
        <v>3430</v>
      </c>
      <c r="C148" s="6" t="s">
        <v>3431</v>
      </c>
      <c r="D148" s="6" t="s">
        <v>538</v>
      </c>
      <c r="E148" s="42">
        <f>countif(Constants!F:F,F148)</f>
        <v>1</v>
      </c>
      <c r="F148" s="21" t="str">
        <f>ifna(VLOOKUP($A148,Constants!$D:$F,3,false),"")</f>
        <v>HertzKilogramRelationship</v>
      </c>
      <c r="G148" s="43" t="str">
        <f t="shared" si="1"/>
        <v>7.372497201e-51</v>
      </c>
      <c r="H148" s="43">
        <f t="shared" si="2"/>
        <v>0</v>
      </c>
      <c r="I148" s="43" t="str">
        <f t="shared" si="3"/>
        <v>0.000000091e-51</v>
      </c>
      <c r="J148" s="43">
        <f t="shared" si="4"/>
        <v>0</v>
      </c>
      <c r="K148" s="43" t="b">
        <f t="shared" si="5"/>
        <v>0</v>
      </c>
      <c r="L148" s="21" t="str">
        <f>IFERROR(__xludf.DUMMYFUNCTION("if(regexmatch(B148,""e(.*)$""),regexextract(B148,""e(.*)$""),"""")"),"-51")</f>
        <v>-51</v>
      </c>
      <c r="M148" s="45"/>
      <c r="N148" s="45">
        <f>countif(Constants!F:F,F148)</f>
        <v>1</v>
      </c>
      <c r="O148" s="21" t="str">
        <f>ifna(VLOOKUP(A148,Constants!D:D,1,false),"")</f>
        <v>hertz-kilogram relationship</v>
      </c>
    </row>
    <row r="149">
      <c r="A149" s="6" t="s">
        <v>1290</v>
      </c>
      <c r="B149" s="6" t="s">
        <v>3432</v>
      </c>
      <c r="C149" s="6" t="s">
        <v>3433</v>
      </c>
      <c r="E149" s="42">
        <f>countif(Constants!F:F,F149)</f>
        <v>1</v>
      </c>
      <c r="F149" s="21" t="str">
        <f>ifna(VLOOKUP($A149,Constants!$D:$F,3,false),"")</f>
        <v>InverseFineStructureConstant</v>
      </c>
      <c r="G149" s="43" t="str">
        <f t="shared" si="1"/>
        <v>137.035999139</v>
      </c>
      <c r="H149" s="43">
        <f t="shared" si="2"/>
        <v>137.0359991</v>
      </c>
      <c r="I149" s="43" t="str">
        <f t="shared" si="3"/>
        <v>0.000000031</v>
      </c>
      <c r="J149" s="43">
        <f t="shared" si="4"/>
        <v>0.000000031</v>
      </c>
      <c r="K149" s="43" t="b">
        <f t="shared" si="5"/>
        <v>0</v>
      </c>
      <c r="L149" s="21" t="str">
        <f>IFERROR(__xludf.DUMMYFUNCTION("if(regexmatch(B149,""e(.*)$""),regexextract(B149,""e(.*)$""),"""")"),"")</f>
        <v/>
      </c>
      <c r="M149" s="45"/>
      <c r="N149" s="45">
        <f>countif(Constants!F:F,F149)</f>
        <v>1</v>
      </c>
      <c r="O149" s="21" t="str">
        <f>ifna(VLOOKUP(A149,Constants!D:D,1,false),"")</f>
        <v>inverse fine-structure constant</v>
      </c>
    </row>
    <row r="150">
      <c r="A150" s="6" t="s">
        <v>1294</v>
      </c>
      <c r="B150" s="6" t="s">
        <v>3434</v>
      </c>
      <c r="C150" s="6" t="s">
        <v>3435</v>
      </c>
      <c r="D150" s="6" t="s">
        <v>553</v>
      </c>
      <c r="E150" s="42">
        <f>countif(Constants!F:F,F150)</f>
        <v>1</v>
      </c>
      <c r="F150" s="21" t="str">
        <f>ifna(VLOOKUP($A150,Constants!$D:$F,3,false),"")</f>
        <v>InverseMeterAtomicMassUnitRelationship</v>
      </c>
      <c r="G150" s="43" t="str">
        <f t="shared" si="1"/>
        <v>1.33102504900e-15</v>
      </c>
      <c r="H150" s="43">
        <f t="shared" si="2"/>
        <v>0</v>
      </c>
      <c r="I150" s="43" t="str">
        <f t="shared" si="3"/>
        <v>0.00000000061e-15</v>
      </c>
      <c r="J150" s="43">
        <f t="shared" si="4"/>
        <v>0</v>
      </c>
      <c r="K150" s="43" t="b">
        <f t="shared" si="5"/>
        <v>0</v>
      </c>
      <c r="L150" s="21" t="str">
        <f>IFERROR(__xludf.DUMMYFUNCTION("if(regexmatch(B150,""e(.*)$""),regexextract(B150,""e(.*)$""),"""")"),"-15")</f>
        <v>-15</v>
      </c>
      <c r="M150" s="45"/>
      <c r="N150" s="45">
        <f>countif(Constants!F:F,F150)</f>
        <v>1</v>
      </c>
      <c r="O150" s="21" t="str">
        <f>ifna(VLOOKUP(A150,Constants!D:D,1,false),"")</f>
        <v>inverse meter-atomic mass unit relationship</v>
      </c>
    </row>
    <row r="151">
      <c r="A151" s="6" t="s">
        <v>1300</v>
      </c>
      <c r="B151" s="6" t="s">
        <v>3436</v>
      </c>
      <c r="C151" s="6" t="s">
        <v>3437</v>
      </c>
      <c r="D151" s="6" t="s">
        <v>175</v>
      </c>
      <c r="E151" s="42">
        <f>countif(Constants!F:F,F151)</f>
        <v>1</v>
      </c>
      <c r="F151" s="21" t="str">
        <f>ifna(VLOOKUP($A151,Constants!$D:$F,3,false),"")</f>
        <v>InverseMeterElectronVoltRelationship</v>
      </c>
      <c r="G151" s="43" t="str">
        <f t="shared" si="1"/>
        <v>1.2398419739e-6</v>
      </c>
      <c r="H151" s="43">
        <f t="shared" si="2"/>
        <v>0.000001239841974</v>
      </c>
      <c r="I151" s="43" t="str">
        <f t="shared" si="3"/>
        <v>0.0000000076e-6</v>
      </c>
      <c r="J151" s="43">
        <f t="shared" si="4"/>
        <v>0</v>
      </c>
      <c r="K151" s="43" t="b">
        <f t="shared" si="5"/>
        <v>0</v>
      </c>
      <c r="L151" s="21" t="str">
        <f>IFERROR(__xludf.DUMMYFUNCTION("if(regexmatch(B151,""e(.*)$""),regexextract(B151,""e(.*)$""),"""")"),"-6")</f>
        <v>-6</v>
      </c>
      <c r="M151" s="45"/>
      <c r="N151" s="45">
        <f>countif(Constants!F:F,F151)</f>
        <v>1</v>
      </c>
      <c r="O151" s="21" t="str">
        <f>ifna(VLOOKUP(A151,Constants!D:D,1,false),"")</f>
        <v>inverse meter-electron volt relationship</v>
      </c>
    </row>
    <row r="152">
      <c r="A152" s="6" t="s">
        <v>1305</v>
      </c>
      <c r="B152" s="6" t="s">
        <v>3438</v>
      </c>
      <c r="C152" s="6" t="s">
        <v>3439</v>
      </c>
      <c r="D152" s="6" t="s">
        <v>593</v>
      </c>
      <c r="E152" s="42">
        <f>countif(Constants!F:F,F152)</f>
        <v>1</v>
      </c>
      <c r="F152" s="21" t="str">
        <f>ifna(VLOOKUP($A152,Constants!$D:$F,3,false),"")</f>
        <v>InverseMeterHartreeRelationship</v>
      </c>
      <c r="G152" s="43" t="str">
        <f t="shared" si="1"/>
        <v>4.556335252767e-8</v>
      </c>
      <c r="H152" s="43">
        <f t="shared" si="2"/>
        <v>0.00000004556335253</v>
      </c>
      <c r="I152" s="43" t="str">
        <f t="shared" si="3"/>
        <v>0.000000000027e-8</v>
      </c>
      <c r="J152" s="43">
        <f t="shared" si="4"/>
        <v>0</v>
      </c>
      <c r="K152" s="43" t="b">
        <f t="shared" si="5"/>
        <v>0</v>
      </c>
      <c r="L152" s="21" t="str">
        <f>IFERROR(__xludf.DUMMYFUNCTION("if(regexmatch(B152,""e(.*)$""),regexextract(B152,""e(.*)$""),"""")"),"-8")</f>
        <v>-8</v>
      </c>
      <c r="M152" s="45"/>
      <c r="N152" s="45">
        <f>countif(Constants!F:F,F152)</f>
        <v>1</v>
      </c>
      <c r="O152" s="21" t="str">
        <f>ifna(VLOOKUP(A152,Constants!D:D,1,false),"")</f>
        <v>inverse meter-hartree relationship</v>
      </c>
    </row>
    <row r="153">
      <c r="A153" s="6" t="s">
        <v>1309</v>
      </c>
      <c r="B153" s="6" t="s">
        <v>2978</v>
      </c>
      <c r="C153" s="6" t="s">
        <v>2261</v>
      </c>
      <c r="D153" s="6" t="s">
        <v>600</v>
      </c>
      <c r="E153" s="42">
        <f>countif(Constants!F:F,F153)</f>
        <v>1</v>
      </c>
      <c r="F153" s="21" t="str">
        <f>ifna(VLOOKUP($A153,Constants!$D:$F,3,false),"")</f>
        <v>InverseMeterHertzRelationship</v>
      </c>
      <c r="G153" s="43" t="str">
        <f t="shared" si="1"/>
        <v>299792458</v>
      </c>
      <c r="H153" s="43">
        <f t="shared" si="2"/>
        <v>299792458</v>
      </c>
      <c r="I153" s="43" t="str">
        <f t="shared" si="3"/>
        <v>(exact)</v>
      </c>
      <c r="J153" s="43" t="str">
        <f t="shared" si="4"/>
        <v/>
      </c>
      <c r="K153" s="43" t="b">
        <f t="shared" si="5"/>
        <v>0</v>
      </c>
      <c r="L153" s="21" t="str">
        <f>IFERROR(__xludf.DUMMYFUNCTION("if(regexmatch(B153,""e(.*)$""),regexextract(B153,""e(.*)$""),"""")"),"")</f>
        <v/>
      </c>
      <c r="M153" s="45"/>
      <c r="N153" s="45">
        <f>countif(Constants!F:F,F153)</f>
        <v>1</v>
      </c>
      <c r="O153" s="21" t="str">
        <f>ifna(VLOOKUP(A153,Constants!D:D,1,false),"")</f>
        <v>inverse meter-hertz relationship</v>
      </c>
    </row>
    <row r="154">
      <c r="A154" s="6" t="s">
        <v>1314</v>
      </c>
      <c r="B154" s="6" t="s">
        <v>3440</v>
      </c>
      <c r="C154" s="6" t="s">
        <v>3441</v>
      </c>
      <c r="D154" s="6" t="s">
        <v>543</v>
      </c>
      <c r="E154" s="42">
        <f>countif(Constants!F:F,F154)</f>
        <v>1</v>
      </c>
      <c r="F154" s="21" t="str">
        <f>ifna(VLOOKUP($A154,Constants!$D:$F,3,false),"")</f>
        <v>InverseMeterJouleRelationship</v>
      </c>
      <c r="G154" s="43" t="str">
        <f t="shared" si="1"/>
        <v>1.986445824e-25</v>
      </c>
      <c r="H154" s="43">
        <f t="shared" si="2"/>
        <v>0</v>
      </c>
      <c r="I154" s="43" t="str">
        <f t="shared" si="3"/>
        <v>0.000000024e-25</v>
      </c>
      <c r="J154" s="43">
        <f t="shared" si="4"/>
        <v>0</v>
      </c>
      <c r="K154" s="43" t="b">
        <f t="shared" si="5"/>
        <v>0</v>
      </c>
      <c r="L154" s="21" t="str">
        <f>IFERROR(__xludf.DUMMYFUNCTION("if(regexmatch(B154,""e(.*)$""),regexextract(B154,""e(.*)$""),"""")"),"-25")</f>
        <v>-25</v>
      </c>
      <c r="M154" s="45"/>
      <c r="N154" s="45">
        <f>countif(Constants!F:F,F154)</f>
        <v>1</v>
      </c>
      <c r="O154" s="21" t="str">
        <f>ifna(VLOOKUP(A154,Constants!D:D,1,false),"")</f>
        <v>inverse meter-joule relationship</v>
      </c>
    </row>
    <row r="155">
      <c r="A155" s="6" t="s">
        <v>1319</v>
      </c>
      <c r="B155" s="6" t="s">
        <v>3442</v>
      </c>
      <c r="C155" s="6" t="s">
        <v>3443</v>
      </c>
      <c r="D155" s="6" t="s">
        <v>618</v>
      </c>
      <c r="E155" s="42">
        <f>countif(Constants!F:F,F155)</f>
        <v>1</v>
      </c>
      <c r="F155" s="21" t="str">
        <f>ifna(VLOOKUP($A155,Constants!$D:$F,3,false),"")</f>
        <v>InverseMeterKelvinRelationship</v>
      </c>
      <c r="G155" s="43" t="str">
        <f t="shared" si="1"/>
        <v>1.43877736e-2</v>
      </c>
      <c r="H155" s="43">
        <f t="shared" si="2"/>
        <v>0.0143877736</v>
      </c>
      <c r="I155" s="43" t="str">
        <f t="shared" si="3"/>
        <v>0.00000083e-2</v>
      </c>
      <c r="J155" s="43">
        <f t="shared" si="4"/>
        <v>0.0000000083</v>
      </c>
      <c r="K155" s="43" t="b">
        <f t="shared" si="5"/>
        <v>0</v>
      </c>
      <c r="L155" s="21" t="str">
        <f>IFERROR(__xludf.DUMMYFUNCTION("if(regexmatch(B155,""e(.*)$""),regexextract(B155,""e(.*)$""),"""")"),"-2")</f>
        <v>-2</v>
      </c>
      <c r="M155" s="45"/>
      <c r="N155" s="45">
        <f>countif(Constants!F:F,F155)</f>
        <v>1</v>
      </c>
      <c r="O155" s="21" t="str">
        <f>ifna(VLOOKUP(A155,Constants!D:D,1,false),"")</f>
        <v>inverse meter-kelvin relationship</v>
      </c>
    </row>
    <row r="156">
      <c r="A156" s="6" t="s">
        <v>1324</v>
      </c>
      <c r="B156" s="6" t="s">
        <v>3444</v>
      </c>
      <c r="C156" s="6" t="s">
        <v>3445</v>
      </c>
      <c r="D156" s="6" t="s">
        <v>538</v>
      </c>
      <c r="E156" s="42">
        <f>countif(Constants!F:F,F156)</f>
        <v>1</v>
      </c>
      <c r="F156" s="21" t="str">
        <f>ifna(VLOOKUP($A156,Constants!$D:$F,3,false),"")</f>
        <v>InverseMeterKilogramRelationship</v>
      </c>
      <c r="G156" s="43" t="str">
        <f t="shared" si="1"/>
        <v>2.210219057e-42</v>
      </c>
      <c r="H156" s="43">
        <f t="shared" si="2"/>
        <v>0</v>
      </c>
      <c r="I156" s="43" t="str">
        <f t="shared" si="3"/>
        <v>0.000000027e-42</v>
      </c>
      <c r="J156" s="43">
        <f t="shared" si="4"/>
        <v>0</v>
      </c>
      <c r="K156" s="43" t="b">
        <f t="shared" si="5"/>
        <v>0</v>
      </c>
      <c r="L156" s="21" t="str">
        <f>IFERROR(__xludf.DUMMYFUNCTION("if(regexmatch(B156,""e(.*)$""),regexextract(B156,""e(.*)$""),"""")"),"-42")</f>
        <v>-42</v>
      </c>
      <c r="M156" s="45"/>
      <c r="N156" s="45">
        <f>countif(Constants!F:F,F156)</f>
        <v>1</v>
      </c>
      <c r="O156" s="21" t="str">
        <f>ifna(VLOOKUP(A156,Constants!D:D,1,false),"")</f>
        <v>inverse meter-kilogram relationship</v>
      </c>
    </row>
    <row r="157">
      <c r="A157" s="6" t="s">
        <v>1329</v>
      </c>
      <c r="B157" s="6" t="s">
        <v>3446</v>
      </c>
      <c r="C157" s="6" t="s">
        <v>3447</v>
      </c>
      <c r="D157" s="6" t="s">
        <v>814</v>
      </c>
      <c r="E157" s="42">
        <f>countif(Constants!F:F,F157)</f>
        <v>1</v>
      </c>
      <c r="F157" s="21" t="str">
        <f>ifna(VLOOKUP($A157,Constants!$D:$F,3,false),"")</f>
        <v>InverseOfConductanceQuantum</v>
      </c>
      <c r="G157" s="43" t="str">
        <f t="shared" si="1"/>
        <v>12906.4037278</v>
      </c>
      <c r="H157" s="43">
        <f t="shared" si="2"/>
        <v>12906.40373</v>
      </c>
      <c r="I157" s="43" t="str">
        <f t="shared" si="3"/>
        <v>0.0000029</v>
      </c>
      <c r="J157" s="43">
        <f t="shared" si="4"/>
        <v>0.0000029</v>
      </c>
      <c r="K157" s="43" t="b">
        <f t="shared" si="5"/>
        <v>0</v>
      </c>
      <c r="L157" s="21" t="str">
        <f>IFERROR(__xludf.DUMMYFUNCTION("if(regexmatch(B157,""e(.*)$""),regexextract(B157,""e(.*)$""),"""")"),"")</f>
        <v/>
      </c>
      <c r="M157" s="45"/>
      <c r="N157" s="45">
        <f>countif(Constants!F:F,F157)</f>
        <v>1</v>
      </c>
      <c r="O157" s="21" t="str">
        <f>ifna(VLOOKUP(A157,Constants!D:D,1,false),"")</f>
        <v>inverse of conductance quantum</v>
      </c>
    </row>
    <row r="158">
      <c r="A158" s="6" t="s">
        <v>1333</v>
      </c>
      <c r="B158" s="6" t="s">
        <v>3448</v>
      </c>
      <c r="C158" s="46" t="s">
        <v>3449</v>
      </c>
      <c r="D158" s="6" t="s">
        <v>847</v>
      </c>
      <c r="E158" s="42">
        <f>countif(Constants!F:F,F158)</f>
        <v>1</v>
      </c>
      <c r="F158" s="21" t="str">
        <f>ifna(VLOOKUP($A158,Constants!$D:$F,3,false),"")</f>
        <v>JosephsonConstant</v>
      </c>
      <c r="G158" s="43" t="str">
        <f t="shared" si="1"/>
        <v>483597.8525e9</v>
      </c>
      <c r="H158" s="43">
        <f t="shared" si="2"/>
        <v>483597852500000</v>
      </c>
      <c r="I158" s="43" t="str">
        <f t="shared" si="3"/>
        <v>0.0030e9</v>
      </c>
      <c r="J158" s="43">
        <f t="shared" si="4"/>
        <v>3000000</v>
      </c>
      <c r="K158" s="43" t="b">
        <f t="shared" si="5"/>
        <v>0</v>
      </c>
      <c r="L158" s="21" t="str">
        <f>IFERROR(__xludf.DUMMYFUNCTION("if(regexmatch(B158,""e(.*)$""),regexextract(B158,""e(.*)$""),"""")"),"9")</f>
        <v>9</v>
      </c>
      <c r="M158" s="45"/>
      <c r="N158" s="45">
        <f>countif(Constants!F:F,F158)</f>
        <v>1</v>
      </c>
      <c r="O158" s="21" t="str">
        <f>ifna(VLOOKUP(A158,Constants!D:D,1,false),"")</f>
        <v>Josephson constant</v>
      </c>
    </row>
    <row r="159">
      <c r="A159" s="6" t="s">
        <v>1337</v>
      </c>
      <c r="B159" s="6" t="s">
        <v>3450</v>
      </c>
      <c r="C159" s="6" t="s">
        <v>3451</v>
      </c>
      <c r="D159" s="6" t="s">
        <v>553</v>
      </c>
      <c r="E159" s="42">
        <f>countif(Constants!F:F,F159)</f>
        <v>1</v>
      </c>
      <c r="F159" s="21" t="str">
        <f>ifna(VLOOKUP($A159,Constants!$D:$F,3,false),"")</f>
        <v>JouleAtomicMassUnitRelationship</v>
      </c>
      <c r="G159" s="43" t="str">
        <f t="shared" si="1"/>
        <v>6.700535363e9</v>
      </c>
      <c r="H159" s="43">
        <f t="shared" si="2"/>
        <v>6700535363</v>
      </c>
      <c r="I159" s="43" t="str">
        <f t="shared" si="3"/>
        <v>0.000000082e9</v>
      </c>
      <c r="J159" s="43">
        <f t="shared" si="4"/>
        <v>82</v>
      </c>
      <c r="K159" s="43" t="b">
        <f t="shared" si="5"/>
        <v>0</v>
      </c>
      <c r="L159" s="21" t="str">
        <f>IFERROR(__xludf.DUMMYFUNCTION("if(regexmatch(B159,""e(.*)$""),regexextract(B159,""e(.*)$""),"""")"),"9")</f>
        <v>9</v>
      </c>
      <c r="M159" s="45"/>
      <c r="N159" s="45">
        <f>countif(Constants!F:F,F159)</f>
        <v>1</v>
      </c>
      <c r="O159" s="21" t="str">
        <f>ifna(VLOOKUP(A159,Constants!D:D,1,false),"")</f>
        <v>joule-atomic mass unit relationship</v>
      </c>
    </row>
    <row r="160">
      <c r="A160" s="6" t="s">
        <v>1343</v>
      </c>
      <c r="B160" s="6" t="s">
        <v>3452</v>
      </c>
      <c r="C160" s="6" t="s">
        <v>3453</v>
      </c>
      <c r="D160" s="6" t="s">
        <v>175</v>
      </c>
      <c r="E160" s="42">
        <f>countif(Constants!F:F,F160)</f>
        <v>1</v>
      </c>
      <c r="F160" s="21" t="str">
        <f>ifna(VLOOKUP($A160,Constants!$D:$F,3,false),"")</f>
        <v>JouleElectronVoltRelationship</v>
      </c>
      <c r="G160" s="43" t="str">
        <f t="shared" si="1"/>
        <v>6.241509126e18</v>
      </c>
      <c r="H160" s="43">
        <f t="shared" si="2"/>
        <v>6.24151E+18</v>
      </c>
      <c r="I160" s="43" t="str">
        <f t="shared" si="3"/>
        <v>0.000000038e18</v>
      </c>
      <c r="J160" s="43">
        <f t="shared" si="4"/>
        <v>38000000000</v>
      </c>
      <c r="K160" s="43" t="b">
        <f t="shared" si="5"/>
        <v>0</v>
      </c>
      <c r="L160" s="21" t="str">
        <f>IFERROR(__xludf.DUMMYFUNCTION("if(regexmatch(B160,""e(.*)$""),regexextract(B160,""e(.*)$""),"""")"),"18")</f>
        <v>18</v>
      </c>
      <c r="M160" s="45"/>
      <c r="N160" s="45">
        <f>countif(Constants!F:F,F160)</f>
        <v>1</v>
      </c>
      <c r="O160" s="21" t="str">
        <f>ifna(VLOOKUP(A160,Constants!D:D,1,false),"")</f>
        <v>joule-electron volt relationship</v>
      </c>
    </row>
    <row r="161">
      <c r="A161" s="6" t="s">
        <v>1348</v>
      </c>
      <c r="B161" s="6" t="s">
        <v>3454</v>
      </c>
      <c r="C161" s="6" t="s">
        <v>3455</v>
      </c>
      <c r="D161" s="6" t="s">
        <v>593</v>
      </c>
      <c r="E161" s="42">
        <f>countif(Constants!F:F,F161)</f>
        <v>1</v>
      </c>
      <c r="F161" s="21" t="str">
        <f>ifna(VLOOKUP($A161,Constants!$D:$F,3,false),"")</f>
        <v>JouleHartreeRelationship</v>
      </c>
      <c r="G161" s="43" t="str">
        <f t="shared" si="1"/>
        <v>2.293712317e17</v>
      </c>
      <c r="H161" s="43">
        <f t="shared" si="2"/>
        <v>2.29371E+17</v>
      </c>
      <c r="I161" s="43" t="str">
        <f t="shared" si="3"/>
        <v>0.000000028e17</v>
      </c>
      <c r="J161" s="43">
        <f t="shared" si="4"/>
        <v>2800000000</v>
      </c>
      <c r="K161" s="43" t="b">
        <f t="shared" si="5"/>
        <v>0</v>
      </c>
      <c r="L161" s="21" t="str">
        <f>IFERROR(__xludf.DUMMYFUNCTION("if(regexmatch(B161,""e(.*)$""),regexextract(B161,""e(.*)$""),"""")"),"17")</f>
        <v>17</v>
      </c>
      <c r="M161" s="45"/>
      <c r="N161" s="45">
        <f>countif(Constants!F:F,F161)</f>
        <v>1</v>
      </c>
      <c r="O161" s="21" t="str">
        <f>ifna(VLOOKUP(A161,Constants!D:D,1,false),"")</f>
        <v>joule-hartree relationship</v>
      </c>
    </row>
    <row r="162">
      <c r="A162" s="6" t="s">
        <v>1353</v>
      </c>
      <c r="B162" s="6" t="s">
        <v>3456</v>
      </c>
      <c r="C162" s="6" t="s">
        <v>3457</v>
      </c>
      <c r="D162" s="6" t="s">
        <v>600</v>
      </c>
      <c r="E162" s="42">
        <f>countif(Constants!F:F,F162)</f>
        <v>1</v>
      </c>
      <c r="F162" s="21" t="str">
        <f>ifna(VLOOKUP($A162,Constants!$D:$F,3,false),"")</f>
        <v>JouleHertzRelationship</v>
      </c>
      <c r="G162" s="43" t="str">
        <f t="shared" si="1"/>
        <v>1.509190205e33</v>
      </c>
      <c r="H162" s="43">
        <f t="shared" si="2"/>
        <v>1.50919E+33</v>
      </c>
      <c r="I162" s="43" t="str">
        <f t="shared" si="3"/>
        <v>0.000000019e33</v>
      </c>
      <c r="J162" s="43">
        <f t="shared" si="4"/>
        <v>1.9E+25</v>
      </c>
      <c r="K162" s="43" t="b">
        <f t="shared" si="5"/>
        <v>0</v>
      </c>
      <c r="L162" s="21" t="str">
        <f>IFERROR(__xludf.DUMMYFUNCTION("if(regexmatch(B162,""e(.*)$""),regexextract(B162,""e(.*)$""),"""")"),"33")</f>
        <v>33</v>
      </c>
      <c r="M162" s="45"/>
      <c r="N162" s="45">
        <f>countif(Constants!F:F,F162)</f>
        <v>1</v>
      </c>
      <c r="O162" s="21" t="str">
        <f>ifna(VLOOKUP(A162,Constants!D:D,1,false),"")</f>
        <v>joule-hertz relationship</v>
      </c>
    </row>
    <row r="163">
      <c r="A163" s="6" t="s">
        <v>1358</v>
      </c>
      <c r="B163" s="6" t="s">
        <v>3458</v>
      </c>
      <c r="C163" s="6" t="s">
        <v>3459</v>
      </c>
      <c r="D163" s="6" t="s">
        <v>606</v>
      </c>
      <c r="E163" s="42">
        <f>countif(Constants!F:F,F163)</f>
        <v>1</v>
      </c>
      <c r="F163" s="21" t="str">
        <f>ifna(VLOOKUP($A163,Constants!$D:$F,3,false),"")</f>
        <v>JouleInverseMeterRelationship</v>
      </c>
      <c r="G163" s="43" t="str">
        <f t="shared" si="1"/>
        <v>5.034116651e24</v>
      </c>
      <c r="H163" s="43">
        <f t="shared" si="2"/>
        <v>5.03412E+24</v>
      </c>
      <c r="I163" s="43" t="str">
        <f t="shared" si="3"/>
        <v>0.000000062e24</v>
      </c>
      <c r="J163" s="43">
        <f t="shared" si="4"/>
        <v>6.2E+16</v>
      </c>
      <c r="K163" s="43" t="b">
        <f t="shared" si="5"/>
        <v>0</v>
      </c>
      <c r="L163" s="21" t="str">
        <f>IFERROR(__xludf.DUMMYFUNCTION("if(regexmatch(B163,""e(.*)$""),regexextract(B163,""e(.*)$""),"""")"),"24")</f>
        <v>24</v>
      </c>
      <c r="M163" s="45"/>
      <c r="N163" s="45">
        <f>countif(Constants!F:F,F163)</f>
        <v>1</v>
      </c>
      <c r="O163" s="21" t="str">
        <f>ifna(VLOOKUP(A163,Constants!D:D,1,false),"")</f>
        <v>joule-inverse meter relationship</v>
      </c>
    </row>
    <row r="164">
      <c r="A164" s="6" t="s">
        <v>1363</v>
      </c>
      <c r="B164" s="6" t="s">
        <v>3460</v>
      </c>
      <c r="C164" s="6" t="s">
        <v>3461</v>
      </c>
      <c r="D164" s="6" t="s">
        <v>618</v>
      </c>
      <c r="E164" s="42">
        <f>countif(Constants!F:F,F164)</f>
        <v>1</v>
      </c>
      <c r="F164" s="21" t="str">
        <f>ifna(VLOOKUP($A164,Constants!$D:$F,3,false),"")</f>
        <v>JouleKelvinRelationship</v>
      </c>
      <c r="G164" s="43" t="str">
        <f t="shared" si="1"/>
        <v>7.2429731e22</v>
      </c>
      <c r="H164" s="43">
        <f t="shared" si="2"/>
        <v>7.24297E+22</v>
      </c>
      <c r="I164" s="43" t="str">
        <f t="shared" si="3"/>
        <v>0.0000042e22</v>
      </c>
      <c r="J164" s="43">
        <f t="shared" si="4"/>
        <v>4.2E+16</v>
      </c>
      <c r="K164" s="43" t="b">
        <f t="shared" si="5"/>
        <v>0</v>
      </c>
      <c r="L164" s="21" t="str">
        <f>IFERROR(__xludf.DUMMYFUNCTION("if(regexmatch(B164,""e(.*)$""),regexextract(B164,""e(.*)$""),"""")"),"22")</f>
        <v>22</v>
      </c>
      <c r="M164" s="45"/>
      <c r="N164" s="45">
        <f>countif(Constants!F:F,F164)</f>
        <v>1</v>
      </c>
      <c r="O164" s="21" t="str">
        <f>ifna(VLOOKUP(A164,Constants!D:D,1,false),"")</f>
        <v>joule-kelvin relationship</v>
      </c>
    </row>
    <row r="165">
      <c r="A165" s="6" t="s">
        <v>1368</v>
      </c>
      <c r="B165" s="6" t="s">
        <v>2992</v>
      </c>
      <c r="C165" s="6" t="s">
        <v>2261</v>
      </c>
      <c r="D165" s="6" t="s">
        <v>538</v>
      </c>
      <c r="E165" s="42">
        <f>countif(Constants!F:F,F165)</f>
        <v>1</v>
      </c>
      <c r="F165" s="21" t="str">
        <f>ifna(VLOOKUP($A165,Constants!$D:$F,3,false),"")</f>
        <v>JouleKilogramRelationship</v>
      </c>
      <c r="G165" s="43" t="str">
        <f t="shared" si="1"/>
        <v>1.112650056e-17</v>
      </c>
      <c r="H165" s="43">
        <f t="shared" si="2"/>
        <v>0</v>
      </c>
      <c r="I165" s="43" t="str">
        <f t="shared" si="3"/>
        <v>(exact)</v>
      </c>
      <c r="J165" s="43" t="str">
        <f t="shared" si="4"/>
        <v/>
      </c>
      <c r="K165" s="43" t="b">
        <f t="shared" si="5"/>
        <v>1</v>
      </c>
      <c r="L165" s="21" t="str">
        <f>IFERROR(__xludf.DUMMYFUNCTION("if(regexmatch(B165,""e(.*)$""),regexextract(B165,""e(.*)$""),"""")"),"-17")</f>
        <v>-17</v>
      </c>
      <c r="M165" s="45"/>
      <c r="N165" s="45">
        <f>countif(Constants!F:F,F165)</f>
        <v>1</v>
      </c>
      <c r="O165" s="21" t="str">
        <f>ifna(VLOOKUP(A165,Constants!D:D,1,false),"")</f>
        <v>joule-kilogram relationship</v>
      </c>
    </row>
    <row r="166">
      <c r="A166" s="6" t="s">
        <v>1373</v>
      </c>
      <c r="B166" s="6" t="s">
        <v>3462</v>
      </c>
      <c r="C166" s="6" t="s">
        <v>3463</v>
      </c>
      <c r="D166" s="6" t="s">
        <v>553</v>
      </c>
      <c r="E166" s="42">
        <f>countif(Constants!F:F,F166)</f>
        <v>1</v>
      </c>
      <c r="F166" s="21" t="str">
        <f>ifna(VLOOKUP($A166,Constants!$D:$F,3,false),"")</f>
        <v>KelvinAtomicMassUnitRelationship</v>
      </c>
      <c r="G166" s="43" t="str">
        <f t="shared" si="1"/>
        <v>9.2510842e-14</v>
      </c>
      <c r="H166" s="43">
        <f t="shared" si="2"/>
        <v>0</v>
      </c>
      <c r="I166" s="43" t="str">
        <f t="shared" si="3"/>
        <v>0.0000053e-14</v>
      </c>
      <c r="J166" s="43">
        <f t="shared" si="4"/>
        <v>0</v>
      </c>
      <c r="K166" s="43" t="b">
        <f t="shared" si="5"/>
        <v>0</v>
      </c>
      <c r="L166" s="21" t="str">
        <f>IFERROR(__xludf.DUMMYFUNCTION("if(regexmatch(B166,""e(.*)$""),regexextract(B166,""e(.*)$""),"""")"),"-14")</f>
        <v>-14</v>
      </c>
      <c r="M166" s="45"/>
      <c r="N166" s="45">
        <f>countif(Constants!F:F,F166)</f>
        <v>1</v>
      </c>
      <c r="O166" s="21" t="str">
        <f>ifna(VLOOKUP(A166,Constants!D:D,1,false),"")</f>
        <v>kelvin-atomic mass unit relationship</v>
      </c>
    </row>
    <row r="167">
      <c r="A167" s="6" t="s">
        <v>1379</v>
      </c>
      <c r="B167" s="6" t="s">
        <v>3295</v>
      </c>
      <c r="C167" s="6" t="s">
        <v>3296</v>
      </c>
      <c r="D167" s="6" t="s">
        <v>175</v>
      </c>
      <c r="E167" s="42">
        <f>countif(Constants!F:F,F167)</f>
        <v>1</v>
      </c>
      <c r="F167" s="21" t="str">
        <f>ifna(VLOOKUP($A167,Constants!$D:$F,3,false),"")</f>
        <v>KelvinElectronVoltRelationship</v>
      </c>
      <c r="G167" s="43" t="str">
        <f t="shared" si="1"/>
        <v>8.6173303e-5</v>
      </c>
      <c r="H167" s="43">
        <f t="shared" si="2"/>
        <v>0.000086173303</v>
      </c>
      <c r="I167" s="43" t="str">
        <f t="shared" si="3"/>
        <v>0.0000050e-5</v>
      </c>
      <c r="J167" s="43">
        <f t="shared" si="4"/>
        <v>0</v>
      </c>
      <c r="K167" s="43" t="b">
        <f t="shared" si="5"/>
        <v>0</v>
      </c>
      <c r="L167" s="21" t="str">
        <f>IFERROR(__xludf.DUMMYFUNCTION("if(regexmatch(B167,""e(.*)$""),regexextract(B167,""e(.*)$""),"""")"),"-5")</f>
        <v>-5</v>
      </c>
      <c r="M167" s="45"/>
      <c r="N167" s="45">
        <f>countif(Constants!F:F,F167)</f>
        <v>1</v>
      </c>
      <c r="O167" s="21" t="str">
        <f>ifna(VLOOKUP(A167,Constants!D:D,1,false),"")</f>
        <v>kelvin-electron volt relationship</v>
      </c>
    </row>
    <row r="168">
      <c r="A168" s="6" t="s">
        <v>1384</v>
      </c>
      <c r="B168" s="6" t="s">
        <v>3464</v>
      </c>
      <c r="C168" s="6" t="s">
        <v>3465</v>
      </c>
      <c r="D168" s="6" t="s">
        <v>593</v>
      </c>
      <c r="E168" s="42">
        <f>countif(Constants!F:F,F168)</f>
        <v>1</v>
      </c>
      <c r="F168" s="21" t="str">
        <f>ifna(VLOOKUP($A168,Constants!$D:$F,3,false),"")</f>
        <v>KelvinHartreeRelationship</v>
      </c>
      <c r="G168" s="43" t="str">
        <f t="shared" si="1"/>
        <v>3.1668105e-6</v>
      </c>
      <c r="H168" s="43">
        <f t="shared" si="2"/>
        <v>0.0000031668105</v>
      </c>
      <c r="I168" s="43" t="str">
        <f t="shared" si="3"/>
        <v>0.0000018e-6</v>
      </c>
      <c r="J168" s="43">
        <f t="shared" si="4"/>
        <v>0</v>
      </c>
      <c r="K168" s="43" t="b">
        <f t="shared" si="5"/>
        <v>0</v>
      </c>
      <c r="L168" s="21" t="str">
        <f>IFERROR(__xludf.DUMMYFUNCTION("if(regexmatch(B168,""e(.*)$""),regexextract(B168,""e(.*)$""),"""")"),"-6")</f>
        <v>-6</v>
      </c>
      <c r="M168" s="45"/>
      <c r="N168" s="45">
        <f>countif(Constants!F:F,F168)</f>
        <v>1</v>
      </c>
      <c r="O168" s="21" t="str">
        <f>ifna(VLOOKUP(A168,Constants!D:D,1,false),"")</f>
        <v>kelvin-hartree relationship</v>
      </c>
    </row>
    <row r="169">
      <c r="A169" s="6" t="s">
        <v>1389</v>
      </c>
      <c r="B169" s="6" t="s">
        <v>3297</v>
      </c>
      <c r="C169" s="6" t="s">
        <v>3298</v>
      </c>
      <c r="D169" s="6" t="s">
        <v>600</v>
      </c>
      <c r="E169" s="42">
        <f>countif(Constants!F:F,F169)</f>
        <v>1</v>
      </c>
      <c r="F169" s="21" t="str">
        <f>ifna(VLOOKUP($A169,Constants!$D:$F,3,false),"")</f>
        <v>KelvinHertzRelationship</v>
      </c>
      <c r="G169" s="43" t="str">
        <f t="shared" si="1"/>
        <v>2.0836612e10</v>
      </c>
      <c r="H169" s="43">
        <f t="shared" si="2"/>
        <v>20836612000</v>
      </c>
      <c r="I169" s="43" t="str">
        <f t="shared" si="3"/>
        <v>0.0000012e10</v>
      </c>
      <c r="J169" s="43">
        <f t="shared" si="4"/>
        <v>12000</v>
      </c>
      <c r="K169" s="43" t="b">
        <f t="shared" si="5"/>
        <v>0</v>
      </c>
      <c r="L169" s="21" t="str">
        <f>IFERROR(__xludf.DUMMYFUNCTION("if(regexmatch(B169,""e(.*)$""),regexextract(B169,""e(.*)$""),"""")"),"10")</f>
        <v>10</v>
      </c>
      <c r="M169" s="45"/>
      <c r="N169" s="45">
        <f>countif(Constants!F:F,F169)</f>
        <v>1</v>
      </c>
      <c r="O169" s="21" t="str">
        <f>ifna(VLOOKUP(A169,Constants!D:D,1,false),"")</f>
        <v>kelvin-hertz relationship</v>
      </c>
    </row>
    <row r="170">
      <c r="A170" s="6" t="s">
        <v>1394</v>
      </c>
      <c r="B170" s="6" t="s">
        <v>3300</v>
      </c>
      <c r="C170" s="6" t="s">
        <v>3301</v>
      </c>
      <c r="D170" s="6" t="s">
        <v>606</v>
      </c>
      <c r="E170" s="42">
        <f>countif(Constants!F:F,F170)</f>
        <v>1</v>
      </c>
      <c r="F170" s="21" t="str">
        <f>ifna(VLOOKUP($A170,Constants!$D:$F,3,false),"")</f>
        <v>KelvinInverseMeterRelationship</v>
      </c>
      <c r="G170" s="43" t="str">
        <f t="shared" si="1"/>
        <v>69.503457</v>
      </c>
      <c r="H170" s="43">
        <f t="shared" si="2"/>
        <v>69.503457</v>
      </c>
      <c r="I170" s="43" t="str">
        <f t="shared" si="3"/>
        <v>0.000040</v>
      </c>
      <c r="J170" s="43">
        <f t="shared" si="4"/>
        <v>0.00004</v>
      </c>
      <c r="K170" s="43" t="b">
        <f t="shared" si="5"/>
        <v>0</v>
      </c>
      <c r="L170" s="21" t="str">
        <f>IFERROR(__xludf.DUMMYFUNCTION("if(regexmatch(B170,""e(.*)$""),regexextract(B170,""e(.*)$""),"""")"),"")</f>
        <v/>
      </c>
      <c r="M170" s="45"/>
      <c r="N170" s="45">
        <f>countif(Constants!F:F,F170)</f>
        <v>1</v>
      </c>
      <c r="O170" s="21" t="str">
        <f>ifna(VLOOKUP(A170,Constants!D:D,1,false),"")</f>
        <v>kelvin-inverse meter relationship</v>
      </c>
    </row>
    <row r="171">
      <c r="A171" s="6" t="s">
        <v>1399</v>
      </c>
      <c r="B171" s="6" t="s">
        <v>3293</v>
      </c>
      <c r="C171" s="6" t="s">
        <v>3294</v>
      </c>
      <c r="D171" s="6" t="s">
        <v>543</v>
      </c>
      <c r="E171" s="42">
        <f>countif(Constants!F:F,F171)</f>
        <v>1</v>
      </c>
      <c r="F171" s="21" t="str">
        <f>ifna(VLOOKUP($A171,Constants!$D:$F,3,false),"")</f>
        <v>KelvinJouleRelationship</v>
      </c>
      <c r="G171" s="43" t="str">
        <f t="shared" si="1"/>
        <v>1.38064852e-23</v>
      </c>
      <c r="H171" s="43">
        <f t="shared" si="2"/>
        <v>0</v>
      </c>
      <c r="I171" s="43" t="str">
        <f t="shared" si="3"/>
        <v>0.00000079e-23</v>
      </c>
      <c r="J171" s="43">
        <f t="shared" si="4"/>
        <v>0</v>
      </c>
      <c r="K171" s="43" t="b">
        <f t="shared" si="5"/>
        <v>0</v>
      </c>
      <c r="L171" s="21" t="str">
        <f>IFERROR(__xludf.DUMMYFUNCTION("if(regexmatch(B171,""e(.*)$""),regexextract(B171,""e(.*)$""),"""")"),"-23")</f>
        <v>-23</v>
      </c>
      <c r="M171" s="45"/>
      <c r="N171" s="45">
        <f>countif(Constants!F:F,F171)</f>
        <v>1</v>
      </c>
      <c r="O171" s="21" t="str">
        <f>ifna(VLOOKUP(A171,Constants!D:D,1,false),"")</f>
        <v>kelvin-joule relationship</v>
      </c>
    </row>
    <row r="172">
      <c r="A172" s="6" t="s">
        <v>1404</v>
      </c>
      <c r="B172" s="6" t="s">
        <v>3466</v>
      </c>
      <c r="C172" s="6" t="s">
        <v>3467</v>
      </c>
      <c r="D172" s="6" t="s">
        <v>538</v>
      </c>
      <c r="E172" s="42">
        <f>countif(Constants!F:F,F172)</f>
        <v>1</v>
      </c>
      <c r="F172" s="21" t="str">
        <f>ifna(VLOOKUP($A172,Constants!$D:$F,3,false),"")</f>
        <v>KelvinKilogramRelationship</v>
      </c>
      <c r="G172" s="43" t="str">
        <f t="shared" si="1"/>
        <v>1.53617865e-40</v>
      </c>
      <c r="H172" s="43">
        <f t="shared" si="2"/>
        <v>0</v>
      </c>
      <c r="I172" s="43" t="str">
        <f t="shared" si="3"/>
        <v>0.00000088e-40</v>
      </c>
      <c r="J172" s="43">
        <f t="shared" si="4"/>
        <v>0</v>
      </c>
      <c r="K172" s="43" t="b">
        <f t="shared" si="5"/>
        <v>0</v>
      </c>
      <c r="L172" s="21" t="str">
        <f>IFERROR(__xludf.DUMMYFUNCTION("if(regexmatch(B172,""e(.*)$""),regexextract(B172,""e(.*)$""),"""")"),"-40")</f>
        <v>-40</v>
      </c>
      <c r="M172" s="45"/>
      <c r="N172" s="45">
        <f>countif(Constants!F:F,F172)</f>
        <v>1</v>
      </c>
      <c r="O172" s="21" t="str">
        <f>ifna(VLOOKUP(A172,Constants!D:D,1,false),"")</f>
        <v>kelvin-kilogram relationship</v>
      </c>
    </row>
    <row r="173">
      <c r="A173" s="6" t="s">
        <v>1409</v>
      </c>
      <c r="B173" s="6" t="s">
        <v>3468</v>
      </c>
      <c r="C173" s="6" t="s">
        <v>3469</v>
      </c>
      <c r="D173" s="6" t="s">
        <v>553</v>
      </c>
      <c r="E173" s="42">
        <f>countif(Constants!F:F,F173)</f>
        <v>1</v>
      </c>
      <c r="F173" s="21" t="str">
        <f>ifna(VLOOKUP($A173,Constants!$D:$F,3,false),"")</f>
        <v>KilogramAtomicMassUnitRelationship</v>
      </c>
      <c r="G173" s="43" t="str">
        <f t="shared" si="1"/>
        <v>6.022140857e26</v>
      </c>
      <c r="H173" s="43">
        <f t="shared" si="2"/>
        <v>6.02214E+26</v>
      </c>
      <c r="I173" s="43" t="str">
        <f t="shared" si="3"/>
        <v>0.000000074e26</v>
      </c>
      <c r="J173" s="43">
        <f t="shared" si="4"/>
        <v>7.4E+18</v>
      </c>
      <c r="K173" s="43" t="b">
        <f t="shared" si="5"/>
        <v>0</v>
      </c>
      <c r="L173" s="21" t="str">
        <f>IFERROR(__xludf.DUMMYFUNCTION("if(regexmatch(B173,""e(.*)$""),regexextract(B173,""e(.*)$""),"""")"),"26")</f>
        <v>26</v>
      </c>
      <c r="M173" s="45"/>
      <c r="N173" s="45">
        <f>countif(Constants!F:F,F173)</f>
        <v>1</v>
      </c>
      <c r="O173" s="21" t="str">
        <f>ifna(VLOOKUP(A173,Constants!D:D,1,false),"")</f>
        <v>kilogram-atomic mass unit relationship</v>
      </c>
    </row>
    <row r="174">
      <c r="A174" s="6" t="s">
        <v>1415</v>
      </c>
      <c r="B174" s="6" t="s">
        <v>3470</v>
      </c>
      <c r="C174" s="6" t="s">
        <v>3471</v>
      </c>
      <c r="D174" s="6" t="s">
        <v>175</v>
      </c>
      <c r="E174" s="42">
        <f>countif(Constants!F:F,F174)</f>
        <v>1</v>
      </c>
      <c r="F174" s="21" t="str">
        <f>ifna(VLOOKUP($A174,Constants!$D:$F,3,false),"")</f>
        <v>KilogramElectronVoltRelationship</v>
      </c>
      <c r="G174" s="43" t="str">
        <f t="shared" si="1"/>
        <v>5.609588650e35</v>
      </c>
      <c r="H174" s="43">
        <f t="shared" si="2"/>
        <v>5.60959E+35</v>
      </c>
      <c r="I174" s="43" t="str">
        <f t="shared" si="3"/>
        <v>0.000000034e35</v>
      </c>
      <c r="J174" s="43">
        <f t="shared" si="4"/>
        <v>3.4E+27</v>
      </c>
      <c r="K174" s="43" t="b">
        <f t="shared" si="5"/>
        <v>0</v>
      </c>
      <c r="L174" s="21" t="str">
        <f>IFERROR(__xludf.DUMMYFUNCTION("if(regexmatch(B174,""e(.*)$""),regexextract(B174,""e(.*)$""),"""")"),"35")</f>
        <v>35</v>
      </c>
      <c r="M174" s="45"/>
      <c r="N174" s="45">
        <f>countif(Constants!F:F,F174)</f>
        <v>1</v>
      </c>
      <c r="O174" s="21" t="str">
        <f>ifna(VLOOKUP(A174,Constants!D:D,1,false),"")</f>
        <v>kilogram-electron volt relationship</v>
      </c>
    </row>
    <row r="175">
      <c r="A175" s="6" t="s">
        <v>1420</v>
      </c>
      <c r="B175" s="6" t="s">
        <v>3472</v>
      </c>
      <c r="C175" s="6" t="s">
        <v>3473</v>
      </c>
      <c r="D175" s="6" t="s">
        <v>593</v>
      </c>
      <c r="E175" s="42">
        <f>countif(Constants!F:F,F175)</f>
        <v>1</v>
      </c>
      <c r="F175" s="21" t="str">
        <f>ifna(VLOOKUP($A175,Constants!$D:$F,3,false),"")</f>
        <v>KilogramHartreeRelationship</v>
      </c>
      <c r="G175" s="43" t="str">
        <f t="shared" si="1"/>
        <v>2.061485823e34</v>
      </c>
      <c r="H175" s="43">
        <f t="shared" si="2"/>
        <v>2.06149E+34</v>
      </c>
      <c r="I175" s="43" t="str">
        <f t="shared" si="3"/>
        <v>0.000000025e34</v>
      </c>
      <c r="J175" s="43">
        <f t="shared" si="4"/>
        <v>2.5E+26</v>
      </c>
      <c r="K175" s="43" t="b">
        <f t="shared" si="5"/>
        <v>0</v>
      </c>
      <c r="L175" s="21" t="str">
        <f>IFERROR(__xludf.DUMMYFUNCTION("if(regexmatch(B175,""e(.*)$""),regexextract(B175,""e(.*)$""),"""")"),"34")</f>
        <v>34</v>
      </c>
      <c r="M175" s="45"/>
      <c r="N175" s="45">
        <f>countif(Constants!F:F,F175)</f>
        <v>1</v>
      </c>
      <c r="O175" s="21" t="str">
        <f>ifna(VLOOKUP(A175,Constants!D:D,1,false),"")</f>
        <v>kilogram-hartree relationship</v>
      </c>
    </row>
    <row r="176">
      <c r="A176" s="6" t="s">
        <v>1425</v>
      </c>
      <c r="B176" s="6" t="s">
        <v>3474</v>
      </c>
      <c r="C176" s="6" t="s">
        <v>3475</v>
      </c>
      <c r="D176" s="6" t="s">
        <v>600</v>
      </c>
      <c r="E176" s="42">
        <f>countif(Constants!F:F,F176)</f>
        <v>1</v>
      </c>
      <c r="F176" s="21" t="str">
        <f>ifna(VLOOKUP($A176,Constants!$D:$F,3,false),"")</f>
        <v>KilogramHertzRelationship</v>
      </c>
      <c r="G176" s="43" t="str">
        <f t="shared" si="1"/>
        <v>1.356392512e50</v>
      </c>
      <c r="H176" s="43">
        <f t="shared" si="2"/>
        <v>1.35639E+50</v>
      </c>
      <c r="I176" s="43" t="str">
        <f t="shared" si="3"/>
        <v>0.000000017e50</v>
      </c>
      <c r="J176" s="43">
        <f t="shared" si="4"/>
        <v>1.7E+42</v>
      </c>
      <c r="K176" s="43" t="b">
        <f t="shared" si="5"/>
        <v>0</v>
      </c>
      <c r="L176" s="21" t="str">
        <f>IFERROR(__xludf.DUMMYFUNCTION("if(regexmatch(B176,""e(.*)$""),regexextract(B176,""e(.*)$""),"""")"),"50")</f>
        <v>50</v>
      </c>
      <c r="M176" s="45"/>
      <c r="N176" s="45">
        <f>countif(Constants!F:F,F176)</f>
        <v>1</v>
      </c>
      <c r="O176" s="21" t="str">
        <f>ifna(VLOOKUP(A176,Constants!D:D,1,false),"")</f>
        <v>kilogram-hertz relationship</v>
      </c>
    </row>
    <row r="177">
      <c r="A177" s="6" t="s">
        <v>1430</v>
      </c>
      <c r="B177" s="6" t="s">
        <v>3476</v>
      </c>
      <c r="C177" s="6" t="s">
        <v>3477</v>
      </c>
      <c r="D177" s="6" t="s">
        <v>606</v>
      </c>
      <c r="E177" s="42">
        <f>countif(Constants!F:F,F177)</f>
        <v>1</v>
      </c>
      <c r="F177" s="21" t="str">
        <f>ifna(VLOOKUP($A177,Constants!$D:$F,3,false),"")</f>
        <v>KilogramInverseMeterRelationship</v>
      </c>
      <c r="G177" s="43" t="str">
        <f t="shared" si="1"/>
        <v>4.524438411e41</v>
      </c>
      <c r="H177" s="43">
        <f t="shared" si="2"/>
        <v>4.52444E+41</v>
      </c>
      <c r="I177" s="43" t="str">
        <f t="shared" si="3"/>
        <v>0.000000056e41</v>
      </c>
      <c r="J177" s="43">
        <f t="shared" si="4"/>
        <v>5.6E+33</v>
      </c>
      <c r="K177" s="43" t="b">
        <f t="shared" si="5"/>
        <v>0</v>
      </c>
      <c r="L177" s="21" t="str">
        <f>IFERROR(__xludf.DUMMYFUNCTION("if(regexmatch(B177,""e(.*)$""),regexextract(B177,""e(.*)$""),"""")"),"41")</f>
        <v>41</v>
      </c>
      <c r="M177" s="45"/>
      <c r="N177" s="45">
        <f>countif(Constants!F:F,F177)</f>
        <v>1</v>
      </c>
      <c r="O177" s="21" t="str">
        <f>ifna(VLOOKUP(A177,Constants!D:D,1,false),"")</f>
        <v>kilogram-inverse meter relationship</v>
      </c>
    </row>
    <row r="178">
      <c r="A178" s="6" t="s">
        <v>1435</v>
      </c>
      <c r="B178" s="6" t="s">
        <v>3005</v>
      </c>
      <c r="C178" s="6" t="s">
        <v>2261</v>
      </c>
      <c r="D178" s="6" t="s">
        <v>543</v>
      </c>
      <c r="E178" s="42">
        <f>countif(Constants!F:F,F178)</f>
        <v>1</v>
      </c>
      <c r="F178" s="21" t="str">
        <f>ifna(VLOOKUP($A178,Constants!$D:$F,3,false),"")</f>
        <v>KilogramJouleRelationship</v>
      </c>
      <c r="G178" s="43" t="str">
        <f t="shared" si="1"/>
        <v>8.987551787e16</v>
      </c>
      <c r="H178" s="43">
        <f t="shared" si="2"/>
        <v>8.98755E+16</v>
      </c>
      <c r="I178" s="43" t="str">
        <f t="shared" si="3"/>
        <v>(exact)</v>
      </c>
      <c r="J178" s="43" t="str">
        <f t="shared" si="4"/>
        <v/>
      </c>
      <c r="K178" s="43" t="b">
        <f t="shared" si="5"/>
        <v>1</v>
      </c>
      <c r="L178" s="21" t="str">
        <f>IFERROR(__xludf.DUMMYFUNCTION("if(regexmatch(B178,""e(.*)$""),regexextract(B178,""e(.*)$""),"""")"),"16")</f>
        <v>16</v>
      </c>
      <c r="M178" s="45"/>
      <c r="N178" s="45">
        <f>countif(Constants!F:F,F178)</f>
        <v>1</v>
      </c>
      <c r="O178" s="21" t="str">
        <f>ifna(VLOOKUP(A178,Constants!D:D,1,false),"")</f>
        <v>kilogram-joule relationship</v>
      </c>
    </row>
    <row r="179">
      <c r="A179" s="6" t="s">
        <v>1440</v>
      </c>
      <c r="B179" s="6" t="s">
        <v>3478</v>
      </c>
      <c r="C179" s="6" t="s">
        <v>3479</v>
      </c>
      <c r="D179" s="6" t="s">
        <v>618</v>
      </c>
      <c r="E179" s="42">
        <f>countif(Constants!F:F,F179)</f>
        <v>1</v>
      </c>
      <c r="F179" s="21" t="str">
        <f>ifna(VLOOKUP($A179,Constants!$D:$F,3,false),"")</f>
        <v>KilogramKelvinRelationship</v>
      </c>
      <c r="G179" s="43" t="str">
        <f t="shared" si="1"/>
        <v>6.5096595e39</v>
      </c>
      <c r="H179" s="43">
        <f t="shared" si="2"/>
        <v>6.50966E+39</v>
      </c>
      <c r="I179" s="43" t="str">
        <f t="shared" si="3"/>
        <v>0.0000037e39</v>
      </c>
      <c r="J179" s="43">
        <f t="shared" si="4"/>
        <v>3.7E+33</v>
      </c>
      <c r="K179" s="43" t="b">
        <f t="shared" si="5"/>
        <v>0</v>
      </c>
      <c r="L179" s="21" t="str">
        <f>IFERROR(__xludf.DUMMYFUNCTION("if(regexmatch(B179,""e(.*)$""),regexextract(B179,""e(.*)$""),"""")"),"39")</f>
        <v>39</v>
      </c>
      <c r="M179" s="45"/>
      <c r="N179" s="45">
        <f>countif(Constants!F:F,F179)</f>
        <v>1</v>
      </c>
      <c r="O179" s="21" t="str">
        <f>ifna(VLOOKUP(A179,Constants!D:D,1,false),"")</f>
        <v>kilogram-kelvin relationship</v>
      </c>
    </row>
    <row r="180">
      <c r="A180" s="6" t="s">
        <v>1445</v>
      </c>
      <c r="B180" s="6" t="s">
        <v>3480</v>
      </c>
      <c r="C180" s="6" t="s">
        <v>3481</v>
      </c>
      <c r="D180" s="6" t="s">
        <v>571</v>
      </c>
      <c r="E180" s="42">
        <f>countif(Constants!F:F,F180)</f>
        <v>1</v>
      </c>
      <c r="F180" s="21" t="str">
        <f>ifna(VLOOKUP($A180,Constants!$D:$F,3,false),"")</f>
        <v>LatticeParameterOfSilicon</v>
      </c>
      <c r="G180" s="43" t="str">
        <f t="shared" si="1"/>
        <v>543.1020504e-12</v>
      </c>
      <c r="H180" s="43">
        <f t="shared" si="2"/>
        <v>0.0000000005431020504</v>
      </c>
      <c r="I180" s="43" t="str">
        <f t="shared" si="3"/>
        <v>0.0000089e-12</v>
      </c>
      <c r="J180" s="43">
        <f t="shared" si="4"/>
        <v>0</v>
      </c>
      <c r="K180" s="43" t="b">
        <f t="shared" si="5"/>
        <v>0</v>
      </c>
      <c r="L180" s="21" t="str">
        <f>IFERROR(__xludf.DUMMYFUNCTION("if(regexmatch(B180,""e(.*)$""),regexextract(B180,""e(.*)$""),"""")"),"-12")</f>
        <v>-12</v>
      </c>
      <c r="M180" s="45"/>
      <c r="N180" s="45">
        <f>countif(Constants!F:F,F180)</f>
        <v>1</v>
      </c>
      <c r="O180" s="21" t="str">
        <f>ifna(VLOOKUP(A180,Constants!D:D,1,false),"")</f>
        <v>lattice parameter of silicon</v>
      </c>
    </row>
    <row r="181">
      <c r="A181" s="6" t="s">
        <v>1453</v>
      </c>
      <c r="B181" s="6" t="s">
        <v>3482</v>
      </c>
      <c r="C181" s="6" t="s">
        <v>3483</v>
      </c>
      <c r="D181" s="6" t="s">
        <v>1454</v>
      </c>
      <c r="E181" s="42">
        <f>countif(Constants!F:F,F181)</f>
        <v>1</v>
      </c>
      <c r="F181" s="21" t="str">
        <f>ifna(VLOOKUP($A181,Constants!$D:$F,3,false),"")</f>
        <v>LoschmidtConstant</v>
      </c>
      <c r="G181" s="43" t="str">
        <f t="shared" si="1"/>
        <v>2.6516467e25</v>
      </c>
      <c r="H181" s="43">
        <f t="shared" si="2"/>
        <v>2.65165E+25</v>
      </c>
      <c r="I181" s="43" t="str">
        <f t="shared" si="3"/>
        <v>0.0000015e25</v>
      </c>
      <c r="J181" s="43">
        <f t="shared" si="4"/>
        <v>1.5E+19</v>
      </c>
      <c r="K181" s="43" t="b">
        <f t="shared" si="5"/>
        <v>0</v>
      </c>
      <c r="L181" s="21" t="str">
        <f>IFERROR(__xludf.DUMMYFUNCTION("if(regexmatch(B181,""e(.*)$""),regexextract(B181,""e(.*)$""),"""")"),"25")</f>
        <v>25</v>
      </c>
      <c r="M181" s="45"/>
      <c r="N181" s="45">
        <f>countif(Constants!F:F,F181)</f>
        <v>1</v>
      </c>
      <c r="O181" s="21" t="str">
        <f>ifna(VLOOKUP(A181,Constants!D:D,1,false),"")</f>
        <v>Loschmidt constant (273.15 K, 100 kPa)</v>
      </c>
    </row>
    <row r="182">
      <c r="A182" s="6" t="s">
        <v>1458</v>
      </c>
      <c r="B182" s="6" t="s">
        <v>3484</v>
      </c>
      <c r="C182" s="6" t="s">
        <v>3483</v>
      </c>
      <c r="D182" s="6" t="s">
        <v>1454</v>
      </c>
      <c r="E182" s="42">
        <f>countif(Constants!F:F,F182)</f>
        <v>1</v>
      </c>
      <c r="F182" s="21" t="str">
        <f>ifna(VLOOKUP($A182,Constants!$D:$F,3,false),"")</f>
        <v>LoschmidtConstant273K101Kpa</v>
      </c>
      <c r="G182" s="43" t="str">
        <f t="shared" si="1"/>
        <v>2.6867811e25</v>
      </c>
      <c r="H182" s="43">
        <f t="shared" si="2"/>
        <v>2.68678E+25</v>
      </c>
      <c r="I182" s="43" t="str">
        <f t="shared" si="3"/>
        <v>0.0000015e25</v>
      </c>
      <c r="J182" s="43">
        <f t="shared" si="4"/>
        <v>1.5E+19</v>
      </c>
      <c r="K182" s="43" t="b">
        <f t="shared" si="5"/>
        <v>0</v>
      </c>
      <c r="L182" s="21" t="str">
        <f>IFERROR(__xludf.DUMMYFUNCTION("if(regexmatch(B182,""e(.*)$""),regexextract(B182,""e(.*)$""),"""")"),"25")</f>
        <v>25</v>
      </c>
      <c r="M182" s="45"/>
      <c r="N182" s="45">
        <f>countif(Constants!F:F,F182)</f>
        <v>1</v>
      </c>
      <c r="O182" s="21" t="str">
        <f>ifna(VLOOKUP(A182,Constants!D:D,1,false),"")</f>
        <v>Loschmidt constant (273.15 K, 101.325 kPa)</v>
      </c>
    </row>
    <row r="183">
      <c r="A183" s="6" t="s">
        <v>3485</v>
      </c>
      <c r="B183" s="6" t="s">
        <v>3486</v>
      </c>
      <c r="C183" s="6" t="s">
        <v>2261</v>
      </c>
      <c r="D183" s="6" t="s">
        <v>2182</v>
      </c>
      <c r="E183" s="42">
        <f>countif(Constants!F:F,F183)</f>
        <v>1</v>
      </c>
      <c r="F183" s="6" t="s">
        <v>382</v>
      </c>
      <c r="G183" s="43" t="str">
        <f t="shared" si="1"/>
        <v>12.566370614e-7</v>
      </c>
      <c r="H183" s="43">
        <f t="shared" si="2"/>
        <v>0.000001256637061</v>
      </c>
      <c r="I183" s="43" t="str">
        <f t="shared" si="3"/>
        <v>(exact)</v>
      </c>
      <c r="J183" s="43" t="str">
        <f t="shared" si="4"/>
        <v/>
      </c>
      <c r="K183" s="43" t="b">
        <f t="shared" si="5"/>
        <v>1</v>
      </c>
      <c r="L183" s="21" t="str">
        <f>IFERROR(__xludf.DUMMYFUNCTION("if(regexmatch(B183,""e(.*)$""),regexextract(B183,""e(.*)$""),"""")"),"-7")</f>
        <v>-7</v>
      </c>
      <c r="M183" s="45"/>
      <c r="N183" s="45">
        <f>countif(Constants!F:F,F183)</f>
        <v>1</v>
      </c>
      <c r="O183" s="21" t="str">
        <f>ifna(VLOOKUP(A183,Constants!D:D,1,false),"")</f>
        <v/>
      </c>
    </row>
    <row r="184">
      <c r="A184" s="6" t="s">
        <v>1467</v>
      </c>
      <c r="B184" s="6" t="s">
        <v>3487</v>
      </c>
      <c r="C184" s="6" t="s">
        <v>3488</v>
      </c>
      <c r="D184" s="6" t="s">
        <v>1468</v>
      </c>
      <c r="E184" s="42">
        <f>countif(Constants!F:F,F184)</f>
        <v>1</v>
      </c>
      <c r="F184" s="21" t="str">
        <f>ifna(VLOOKUP($A184,Constants!$D:$F,3,false),"")</f>
        <v>MagneticFluxQuantum</v>
      </c>
      <c r="G184" s="43" t="str">
        <f t="shared" si="1"/>
        <v>2.067833831e-15</v>
      </c>
      <c r="H184" s="43">
        <f t="shared" si="2"/>
        <v>0</v>
      </c>
      <c r="I184" s="43" t="str">
        <f t="shared" si="3"/>
        <v>0.000000013e-15</v>
      </c>
      <c r="J184" s="43">
        <f t="shared" si="4"/>
        <v>0</v>
      </c>
      <c r="K184" s="43" t="b">
        <f t="shared" si="5"/>
        <v>0</v>
      </c>
      <c r="L184" s="21" t="str">
        <f>IFERROR(__xludf.DUMMYFUNCTION("if(regexmatch(B184,""e(.*)$""),regexextract(B184,""e(.*)$""),"""")"),"-15")</f>
        <v>-15</v>
      </c>
      <c r="M184" s="45"/>
      <c r="N184" s="45">
        <f>countif(Constants!F:F,F184)</f>
        <v>1</v>
      </c>
      <c r="O184" s="21" t="str">
        <f>ifna(VLOOKUP(A184,Constants!D:D,1,false),"")</f>
        <v>mag. flux quantum</v>
      </c>
    </row>
    <row r="185">
      <c r="A185" s="6" t="s">
        <v>1473</v>
      </c>
      <c r="B185" s="6" t="s">
        <v>3489</v>
      </c>
      <c r="C185" s="6" t="s">
        <v>3490</v>
      </c>
      <c r="D185" s="6" t="s">
        <v>1474</v>
      </c>
      <c r="E185" s="42">
        <f>countif(Constants!F:F,F185)</f>
        <v>1</v>
      </c>
      <c r="F185" s="21" t="str">
        <f>ifna(VLOOKUP($A185,Constants!$D:$F,3,false),"")</f>
        <v>MolarGasConstant</v>
      </c>
      <c r="G185" s="43" t="str">
        <f t="shared" si="1"/>
        <v>8.3144598</v>
      </c>
      <c r="H185" s="43">
        <f t="shared" si="2"/>
        <v>8.3144598</v>
      </c>
      <c r="I185" s="43" t="str">
        <f t="shared" si="3"/>
        <v>0.0000048</v>
      </c>
      <c r="J185" s="43">
        <f t="shared" si="4"/>
        <v>0.0000048</v>
      </c>
      <c r="K185" s="43" t="b">
        <f t="shared" si="5"/>
        <v>0</v>
      </c>
      <c r="L185" s="21" t="str">
        <f>IFERROR(__xludf.DUMMYFUNCTION("if(regexmatch(B185,""e(.*)$""),regexextract(B185,""e(.*)$""),"""")"),"")</f>
        <v/>
      </c>
      <c r="M185" s="45"/>
      <c r="N185" s="45">
        <f>countif(Constants!F:F,F185)</f>
        <v>1</v>
      </c>
      <c r="O185" s="21" t="str">
        <f>ifna(VLOOKUP(A185,Constants!D:D,1,false),"")</f>
        <v>molar gas constant</v>
      </c>
    </row>
    <row r="186">
      <c r="A186" s="6" t="s">
        <v>1478</v>
      </c>
      <c r="B186" s="46" t="s">
        <v>3491</v>
      </c>
      <c r="C186" s="6" t="s">
        <v>2261</v>
      </c>
      <c r="D186" s="6" t="s">
        <v>557</v>
      </c>
      <c r="E186" s="42">
        <f>countif(Constants!F:F,F186)</f>
        <v>1</v>
      </c>
      <c r="F186" s="21" t="str">
        <f>ifna(VLOOKUP($A186,Constants!$D:$F,3,false),"")</f>
        <v>MolarMassConstant</v>
      </c>
      <c r="G186" s="43" t="str">
        <f t="shared" si="1"/>
        <v>1e-3</v>
      </c>
      <c r="H186" s="43">
        <f t="shared" si="2"/>
        <v>0.001</v>
      </c>
      <c r="I186" s="43" t="str">
        <f t="shared" si="3"/>
        <v>(exact)</v>
      </c>
      <c r="J186" s="43" t="str">
        <f t="shared" si="4"/>
        <v/>
      </c>
      <c r="K186" s="43" t="b">
        <f t="shared" si="5"/>
        <v>0</v>
      </c>
      <c r="L186" s="21" t="str">
        <f>IFERROR(__xludf.DUMMYFUNCTION("if(regexmatch(B186,""e(.*)$""),regexextract(B186,""e(.*)$""),"""")"),"-3")</f>
        <v>-3</v>
      </c>
      <c r="M186" s="45"/>
      <c r="N186" s="45">
        <f>countif(Constants!F:F,F186)</f>
        <v>1</v>
      </c>
      <c r="O186" s="21" t="str">
        <f>ifna(VLOOKUP(A186,Constants!D:D,1,false),"")</f>
        <v>molar mass constant</v>
      </c>
    </row>
    <row r="187">
      <c r="A187" s="6" t="s">
        <v>1482</v>
      </c>
      <c r="B187" s="46" t="s">
        <v>3492</v>
      </c>
      <c r="C187" s="6" t="s">
        <v>2261</v>
      </c>
      <c r="D187" s="6" t="s">
        <v>557</v>
      </c>
      <c r="E187" s="42">
        <f>countif(Constants!F:F,F187)</f>
        <v>1</v>
      </c>
      <c r="F187" s="21" t="str">
        <f>ifna(VLOOKUP($A187,Constants!$D:$F,3,false),"")</f>
        <v>MolarMassOfCarbon12</v>
      </c>
      <c r="G187" s="43" t="str">
        <f t="shared" si="1"/>
        <v>12e-3</v>
      </c>
      <c r="H187" s="43">
        <f t="shared" si="2"/>
        <v>0.012</v>
      </c>
      <c r="I187" s="43" t="str">
        <f t="shared" si="3"/>
        <v>(exact)</v>
      </c>
      <c r="J187" s="43" t="str">
        <f t="shared" si="4"/>
        <v/>
      </c>
      <c r="K187" s="43" t="b">
        <f t="shared" si="5"/>
        <v>0</v>
      </c>
      <c r="L187" s="21" t="str">
        <f>IFERROR(__xludf.DUMMYFUNCTION("if(regexmatch(B187,""e(.*)$""),regexextract(B187,""e(.*)$""),"""")"),"-3")</f>
        <v>-3</v>
      </c>
      <c r="M187" s="45"/>
      <c r="N187" s="45">
        <f>countif(Constants!F:F,F187)</f>
        <v>1</v>
      </c>
      <c r="O187" s="21" t="str">
        <f>ifna(VLOOKUP(A187,Constants!D:D,1,false),"")</f>
        <v>molar mass of carbon-12</v>
      </c>
    </row>
    <row r="188">
      <c r="A188" s="6" t="s">
        <v>1486</v>
      </c>
      <c r="B188" s="6" t="s">
        <v>3493</v>
      </c>
      <c r="C188" s="6" t="s">
        <v>2763</v>
      </c>
      <c r="D188" s="6" t="s">
        <v>3494</v>
      </c>
      <c r="E188" s="42">
        <f>countif(Constants!F:F,F188)</f>
        <v>1</v>
      </c>
      <c r="F188" s="21" t="str">
        <f>ifna(VLOOKUP($A188,Constants!$D:$F,3,false),"")</f>
        <v>MolarPlanckConstant</v>
      </c>
      <c r="G188" s="43" t="str">
        <f t="shared" si="1"/>
        <v>3.9903127110e-10</v>
      </c>
      <c r="H188" s="43">
        <f t="shared" si="2"/>
        <v>0.0000000003990312711</v>
      </c>
      <c r="I188" s="43" t="str">
        <f t="shared" si="3"/>
        <v>0.0000000018e-10</v>
      </c>
      <c r="J188" s="43">
        <f t="shared" si="4"/>
        <v>0</v>
      </c>
      <c r="K188" s="43" t="b">
        <f t="shared" si="5"/>
        <v>0</v>
      </c>
      <c r="L188" s="21" t="str">
        <f>IFERROR(__xludf.DUMMYFUNCTION("if(regexmatch(B188,""e(.*)$""),regexextract(B188,""e(.*)$""),"""")"),"-10")</f>
        <v>-10</v>
      </c>
      <c r="M188" s="45"/>
      <c r="N188" s="45">
        <f>countif(Constants!F:F,F188)</f>
        <v>1</v>
      </c>
      <c r="O188" s="21" t="str">
        <f>ifna(VLOOKUP(A188,Constants!D:D,1,false),"")</f>
        <v>molar Planck constant</v>
      </c>
    </row>
    <row r="189">
      <c r="A189" s="6" t="s">
        <v>1491</v>
      </c>
      <c r="B189" s="6" t="s">
        <v>3495</v>
      </c>
      <c r="C189" s="6" t="s">
        <v>3496</v>
      </c>
      <c r="D189" s="6" t="s">
        <v>1493</v>
      </c>
      <c r="E189" s="42">
        <f>countif(Constants!F:F,F189)</f>
        <v>1</v>
      </c>
      <c r="F189" s="6" t="s">
        <v>388</v>
      </c>
      <c r="G189" s="43" t="str">
        <f t="shared" si="1"/>
        <v>0.119626565582</v>
      </c>
      <c r="H189" s="43">
        <f t="shared" si="2"/>
        <v>0.1196265656</v>
      </c>
      <c r="I189" s="43" t="str">
        <f t="shared" si="3"/>
        <v>0.000000000054</v>
      </c>
      <c r="J189" s="43">
        <f t="shared" si="4"/>
        <v>0</v>
      </c>
      <c r="K189" s="43" t="b">
        <f t="shared" si="5"/>
        <v>0</v>
      </c>
      <c r="L189" s="21" t="str">
        <f>IFERROR(__xludf.DUMMYFUNCTION("if(regexmatch(B189,""e(.*)$""),regexextract(B189,""e(.*)$""),"""")"),"")</f>
        <v/>
      </c>
      <c r="M189" s="45"/>
      <c r="N189" s="45">
        <f>countif(Constants!F:F,F189)</f>
        <v>1</v>
      </c>
      <c r="O189" s="21" t="str">
        <f>ifna(VLOOKUP(A189,Constants!D:D,1,false),"")</f>
        <v/>
      </c>
    </row>
    <row r="190">
      <c r="A190" s="6" t="s">
        <v>1498</v>
      </c>
      <c r="B190" s="6" t="s">
        <v>3497</v>
      </c>
      <c r="C190" s="6" t="s">
        <v>3498</v>
      </c>
      <c r="D190" s="6" t="s">
        <v>1499</v>
      </c>
      <c r="E190" s="42">
        <f>countif(Constants!F:F,F190)</f>
        <v>1</v>
      </c>
      <c r="F190" s="21" t="str">
        <f>ifna(VLOOKUP($A190,Constants!$D:$F,3,false),"")</f>
        <v>MolarVolumeOfIdealGas</v>
      </c>
      <c r="G190" s="43" t="str">
        <f t="shared" si="1"/>
        <v>22.710947e-3</v>
      </c>
      <c r="H190" s="43">
        <f t="shared" si="2"/>
        <v>0.022710947</v>
      </c>
      <c r="I190" s="43" t="str">
        <f t="shared" si="3"/>
        <v>0.000013e-3</v>
      </c>
      <c r="J190" s="43">
        <f t="shared" si="4"/>
        <v>0.000000013</v>
      </c>
      <c r="K190" s="43" t="b">
        <f t="shared" si="5"/>
        <v>0</v>
      </c>
      <c r="L190" s="21" t="str">
        <f>IFERROR(__xludf.DUMMYFUNCTION("if(regexmatch(B190,""e(.*)$""),regexextract(B190,""e(.*)$""),"""")"),"-3")</f>
        <v>-3</v>
      </c>
      <c r="M190" s="45"/>
      <c r="N190" s="45">
        <f>countif(Constants!F:F,F190)</f>
        <v>1</v>
      </c>
      <c r="O190" s="21" t="str">
        <f>ifna(VLOOKUP(A190,Constants!D:D,1,false),"")</f>
        <v>molar volume of ideal gas (273.15 K, 100 kPa)</v>
      </c>
    </row>
    <row r="191">
      <c r="A191" s="6" t="s">
        <v>1503</v>
      </c>
      <c r="B191" s="6" t="s">
        <v>3499</v>
      </c>
      <c r="C191" s="6" t="s">
        <v>3498</v>
      </c>
      <c r="D191" s="6" t="s">
        <v>1499</v>
      </c>
      <c r="E191" s="42">
        <f>countif(Constants!F:F,F191)</f>
        <v>1</v>
      </c>
      <c r="F191" s="21" t="str">
        <f>ifna(VLOOKUP($A191,Constants!$D:$F,3,false),"")</f>
        <v>MolarVolumeOfIdealGas273K101Kpa</v>
      </c>
      <c r="G191" s="43" t="str">
        <f t="shared" si="1"/>
        <v>22.413962e-3</v>
      </c>
      <c r="H191" s="43">
        <f t="shared" si="2"/>
        <v>0.022413962</v>
      </c>
      <c r="I191" s="43" t="str">
        <f t="shared" si="3"/>
        <v>0.000013e-3</v>
      </c>
      <c r="J191" s="43">
        <f t="shared" si="4"/>
        <v>0.000000013</v>
      </c>
      <c r="K191" s="43" t="b">
        <f t="shared" si="5"/>
        <v>0</v>
      </c>
      <c r="L191" s="21" t="str">
        <f>IFERROR(__xludf.DUMMYFUNCTION("if(regexmatch(B191,""e(.*)$""),regexextract(B191,""e(.*)$""),"""")"),"-3")</f>
        <v>-3</v>
      </c>
      <c r="M191" s="45"/>
      <c r="N191" s="45">
        <f>countif(Constants!F:F,F191)</f>
        <v>1</v>
      </c>
      <c r="O191" s="21" t="str">
        <f>ifna(VLOOKUP(A191,Constants!D:D,1,false),"")</f>
        <v>molar volume of ideal gas (273.15 K, 101.325 kPa)</v>
      </c>
    </row>
    <row r="192">
      <c r="A192" s="6" t="s">
        <v>1507</v>
      </c>
      <c r="B192" s="6" t="s">
        <v>3500</v>
      </c>
      <c r="C192" s="6" t="s">
        <v>3501</v>
      </c>
      <c r="D192" s="6" t="s">
        <v>1499</v>
      </c>
      <c r="E192" s="42">
        <f>countif(Constants!F:F,F192)</f>
        <v>1</v>
      </c>
      <c r="F192" s="21" t="str">
        <f>ifna(VLOOKUP($A192,Constants!$D:$F,3,false),"")</f>
        <v>MolarVolumeOfSilicon</v>
      </c>
      <c r="G192" s="43" t="str">
        <f t="shared" si="1"/>
        <v>12.05883214e-6</v>
      </c>
      <c r="H192" s="43">
        <f t="shared" si="2"/>
        <v>0.00001205883214</v>
      </c>
      <c r="I192" s="43" t="str">
        <f t="shared" si="3"/>
        <v>0.00000061e-6</v>
      </c>
      <c r="J192" s="43">
        <f t="shared" si="4"/>
        <v>0</v>
      </c>
      <c r="K192" s="43" t="b">
        <f t="shared" si="5"/>
        <v>0</v>
      </c>
      <c r="L192" s="21" t="str">
        <f>IFERROR(__xludf.DUMMYFUNCTION("if(regexmatch(B192,""e(.*)$""),regexextract(B192,""e(.*)$""),"""")"),"-6")</f>
        <v>-6</v>
      </c>
      <c r="M192" s="45"/>
      <c r="N192" s="45">
        <f>countif(Constants!F:F,F192)</f>
        <v>1</v>
      </c>
      <c r="O192" s="21" t="str">
        <f>ifna(VLOOKUP(A192,Constants!D:D,1,false),"")</f>
        <v>molar volume of silicon</v>
      </c>
    </row>
    <row r="193">
      <c r="A193" s="6" t="s">
        <v>3502</v>
      </c>
      <c r="B193" s="6" t="s">
        <v>3022</v>
      </c>
      <c r="C193" s="6" t="s">
        <v>2522</v>
      </c>
      <c r="D193" s="6" t="s">
        <v>571</v>
      </c>
      <c r="E193" s="42">
        <f>countif(Constants!F:F,F193)</f>
        <v>1</v>
      </c>
      <c r="F193" s="6" t="s">
        <v>391</v>
      </c>
      <c r="G193" s="43" t="str">
        <f t="shared" si="1"/>
        <v>1.00209952e-13</v>
      </c>
      <c r="H193" s="43">
        <f t="shared" si="2"/>
        <v>0</v>
      </c>
      <c r="I193" s="43" t="str">
        <f t="shared" si="3"/>
        <v>0.00000053e-13</v>
      </c>
      <c r="J193" s="43">
        <f t="shared" si="4"/>
        <v>0</v>
      </c>
      <c r="K193" s="43" t="b">
        <f t="shared" si="5"/>
        <v>0</v>
      </c>
      <c r="L193" s="21" t="str">
        <f>IFERROR(__xludf.DUMMYFUNCTION("if(regexmatch(B193,""e(.*)$""),regexextract(B193,""e(.*)$""),"""")"),"-13")</f>
        <v>-13</v>
      </c>
      <c r="M193" s="45"/>
      <c r="N193" s="45">
        <f>countif(Constants!F:F,F193)</f>
        <v>1</v>
      </c>
      <c r="O193" s="21" t="str">
        <f>ifna(VLOOKUP(A193,Constants!D:D,1,false),"")</f>
        <v/>
      </c>
    </row>
    <row r="194">
      <c r="A194" s="6" t="s">
        <v>1515</v>
      </c>
      <c r="B194" s="6" t="s">
        <v>3503</v>
      </c>
      <c r="C194" s="6" t="s">
        <v>3504</v>
      </c>
      <c r="D194" s="6" t="s">
        <v>571</v>
      </c>
      <c r="E194" s="42">
        <f>countif(Constants!F:F,F194)</f>
        <v>1</v>
      </c>
      <c r="F194" s="21" t="str">
        <f>ifna(VLOOKUP($A194,Constants!$D:$F,3,false),"")</f>
        <v>MuonComptonWavelength</v>
      </c>
      <c r="G194" s="43" t="str">
        <f t="shared" si="1"/>
        <v>11.73444111e-15</v>
      </c>
      <c r="H194" s="43">
        <f t="shared" si="2"/>
        <v>0</v>
      </c>
      <c r="I194" s="43" t="str">
        <f t="shared" si="3"/>
        <v>0.00000026e-15</v>
      </c>
      <c r="J194" s="43">
        <f t="shared" si="4"/>
        <v>0</v>
      </c>
      <c r="K194" s="43" t="b">
        <f t="shared" si="5"/>
        <v>0</v>
      </c>
      <c r="L194" s="21" t="str">
        <f>IFERROR(__xludf.DUMMYFUNCTION("if(regexmatch(B194,""e(.*)$""),regexextract(B194,""e(.*)$""),"""")"),"-15")</f>
        <v>-15</v>
      </c>
      <c r="M194" s="45"/>
      <c r="N194" s="45">
        <f>countif(Constants!F:F,F194)</f>
        <v>1</v>
      </c>
      <c r="O194" s="21" t="str">
        <f>ifna(VLOOKUP(A194,Constants!D:D,1,false),"")</f>
        <v>muon Compton wavelength</v>
      </c>
    </row>
    <row r="195">
      <c r="A195" s="6" t="s">
        <v>1519</v>
      </c>
      <c r="B195" s="6" t="s">
        <v>3505</v>
      </c>
      <c r="C195" s="6" t="s">
        <v>2662</v>
      </c>
      <c r="D195" s="6" t="s">
        <v>571</v>
      </c>
      <c r="E195" s="42">
        <f>countif(Constants!F:F,F195)</f>
        <v>1</v>
      </c>
      <c r="F195" s="6" t="s">
        <v>3506</v>
      </c>
      <c r="G195" s="43" t="str">
        <f t="shared" si="1"/>
        <v>1.867594308e-15</v>
      </c>
      <c r="H195" s="43">
        <f t="shared" si="2"/>
        <v>0</v>
      </c>
      <c r="I195" s="43" t="str">
        <f t="shared" si="3"/>
        <v>0.000000042e-15</v>
      </c>
      <c r="J195" s="43">
        <f t="shared" si="4"/>
        <v>0</v>
      </c>
      <c r="K195" s="43" t="b">
        <f t="shared" si="5"/>
        <v>0</v>
      </c>
      <c r="L195" s="21" t="str">
        <f>IFERROR(__xludf.DUMMYFUNCTION("if(regexmatch(B195,""e(.*)$""),regexextract(B195,""e(.*)$""),"""")"),"-15")</f>
        <v>-15</v>
      </c>
      <c r="M195" s="45"/>
      <c r="N195" s="45">
        <f>countif(Constants!F:F,F195)</f>
        <v>1</v>
      </c>
      <c r="O195" s="21" t="str">
        <f>ifna(VLOOKUP(A195,Constants!D:D,1,false),"")</f>
        <v>muon Compton wavelength over 2 pi</v>
      </c>
    </row>
    <row r="196">
      <c r="A196" s="6" t="s">
        <v>1525</v>
      </c>
      <c r="B196" s="6" t="s">
        <v>3507</v>
      </c>
      <c r="C196" s="6" t="s">
        <v>2388</v>
      </c>
      <c r="E196" s="42">
        <f>countif(Constants!F:F,F196)</f>
        <v>1</v>
      </c>
      <c r="F196" s="21" t="str">
        <f>ifna(VLOOKUP($A196,Constants!$D:$F,3,false),"")</f>
        <v>MuonElectronMassRatio</v>
      </c>
      <c r="G196" s="43" t="str">
        <f t="shared" si="1"/>
        <v>206.7682826</v>
      </c>
      <c r="H196" s="43">
        <f t="shared" si="2"/>
        <v>206.7682826</v>
      </c>
      <c r="I196" s="43" t="str">
        <f t="shared" si="3"/>
        <v>0.0000046</v>
      </c>
      <c r="J196" s="43">
        <f t="shared" si="4"/>
        <v>0.0000046</v>
      </c>
      <c r="K196" s="43" t="b">
        <f t="shared" si="5"/>
        <v>0</v>
      </c>
      <c r="L196" s="21" t="str">
        <f>IFERROR(__xludf.DUMMYFUNCTION("if(regexmatch(B196,""e(.*)$""),regexextract(B196,""e(.*)$""),"""")"),"")</f>
        <v/>
      </c>
      <c r="M196" s="45"/>
      <c r="N196" s="45">
        <f>countif(Constants!F:F,F196)</f>
        <v>1</v>
      </c>
      <c r="O196" s="21" t="str">
        <f>ifna(VLOOKUP(A196,Constants!D:D,1,false),"")</f>
        <v>muon-electron mass ratio</v>
      </c>
    </row>
    <row r="197">
      <c r="A197" s="6" t="s">
        <v>1530</v>
      </c>
      <c r="B197" s="6" t="s">
        <v>3025</v>
      </c>
      <c r="C197" s="6" t="s">
        <v>3026</v>
      </c>
      <c r="E197" s="42">
        <f>countif(Constants!F:F,F197)</f>
        <v>1</v>
      </c>
      <c r="F197" s="21" t="str">
        <f>ifna(VLOOKUP($A197,Constants!$D:$F,3,false),"")</f>
        <v>MuonGFactor</v>
      </c>
      <c r="G197" s="43" t="str">
        <f t="shared" si="1"/>
        <v>-2.0023318418</v>
      </c>
      <c r="H197" s="43">
        <f t="shared" si="2"/>
        <v>-2.002331842</v>
      </c>
      <c r="I197" s="43" t="str">
        <f t="shared" si="3"/>
        <v>0.0000000013</v>
      </c>
      <c r="J197" s="43">
        <f t="shared" si="4"/>
        <v>0.0000000013</v>
      </c>
      <c r="K197" s="43" t="b">
        <f t="shared" si="5"/>
        <v>0</v>
      </c>
      <c r="L197" s="21" t="str">
        <f>IFERROR(__xludf.DUMMYFUNCTION("if(regexmatch(B197,""e(.*)$""),regexextract(B197,""e(.*)$""),"""")"),"")</f>
        <v/>
      </c>
      <c r="M197" s="45"/>
      <c r="N197" s="45">
        <f>countif(Constants!F:F,F197)</f>
        <v>1</v>
      </c>
      <c r="O197" s="21" t="str">
        <f>ifna(VLOOKUP(A197,Constants!D:D,1,false),"")</f>
        <v>muon g factor</v>
      </c>
    </row>
    <row r="198">
      <c r="A198" s="6" t="s">
        <v>1534</v>
      </c>
      <c r="B198" s="6" t="s">
        <v>3508</v>
      </c>
      <c r="C198" s="6" t="s">
        <v>2529</v>
      </c>
      <c r="D198" s="6" t="s">
        <v>714</v>
      </c>
      <c r="E198" s="42">
        <f>countif(Constants!F:F,F198)</f>
        <v>1</v>
      </c>
      <c r="F198" s="21" t="str">
        <f>ifna(VLOOKUP($A198,Constants!$D:$F,3,false),"")</f>
        <v>MuonMagneticMoment</v>
      </c>
      <c r="G198" s="43" t="str">
        <f t="shared" si="1"/>
        <v>-4.49044826e-26</v>
      </c>
      <c r="H198" s="43">
        <f t="shared" si="2"/>
        <v>0</v>
      </c>
      <c r="I198" s="43" t="str">
        <f t="shared" si="3"/>
        <v>0.00000010e-26</v>
      </c>
      <c r="J198" s="43">
        <f t="shared" si="4"/>
        <v>0</v>
      </c>
      <c r="K198" s="43" t="b">
        <f t="shared" si="5"/>
        <v>0</v>
      </c>
      <c r="L198" s="21" t="str">
        <f>IFERROR(__xludf.DUMMYFUNCTION("if(regexmatch(B198,""e(.*)$""),regexextract(B198,""e(.*)$""),"""")"),"-26")</f>
        <v>-26</v>
      </c>
      <c r="M198" s="45"/>
      <c r="N198" s="45">
        <f>countif(Constants!F:F,F198)</f>
        <v>1</v>
      </c>
      <c r="O198" s="21" t="str">
        <f>ifna(VLOOKUP(A198,Constants!D:D,1,false),"")</f>
        <v>muon mag. mom.</v>
      </c>
    </row>
    <row r="199">
      <c r="A199" s="6" t="s">
        <v>1540</v>
      </c>
      <c r="B199" s="6" t="s">
        <v>3028</v>
      </c>
      <c r="C199" s="6" t="s">
        <v>3029</v>
      </c>
      <c r="E199" s="42">
        <f>countif(Constants!F:F,F199)</f>
        <v>1</v>
      </c>
      <c r="F199" s="21" t="str">
        <f>ifna(VLOOKUP($A199,Constants!$D:$F,3,false),"")</f>
        <v>MuonMagneticMomentAnomaly</v>
      </c>
      <c r="G199" s="43" t="str">
        <f t="shared" si="1"/>
        <v>1.16592089e-3</v>
      </c>
      <c r="H199" s="43">
        <f t="shared" si="2"/>
        <v>0.00116592089</v>
      </c>
      <c r="I199" s="43" t="str">
        <f t="shared" si="3"/>
        <v>0.00000063e-3</v>
      </c>
      <c r="J199" s="43">
        <f t="shared" si="4"/>
        <v>0.00000000063</v>
      </c>
      <c r="K199" s="43" t="b">
        <f t="shared" si="5"/>
        <v>0</v>
      </c>
      <c r="L199" s="21" t="str">
        <f>IFERROR(__xludf.DUMMYFUNCTION("if(regexmatch(B199,""e(.*)$""),regexextract(B199,""e(.*)$""),"""")"),"-3")</f>
        <v>-3</v>
      </c>
      <c r="M199" s="45"/>
      <c r="N199" s="45">
        <f>countif(Constants!F:F,F199)</f>
        <v>1</v>
      </c>
      <c r="O199" s="21" t="str">
        <f>ifna(VLOOKUP(A199,Constants!D:D,1,false),"")</f>
        <v>muon mag. mom. anomaly</v>
      </c>
    </row>
    <row r="200">
      <c r="A200" s="6" t="s">
        <v>1545</v>
      </c>
      <c r="B200" s="6" t="s">
        <v>3509</v>
      </c>
      <c r="C200" s="6" t="s">
        <v>2390</v>
      </c>
      <c r="E200" s="42">
        <f>countif(Constants!F:F,F200)</f>
        <v>1</v>
      </c>
      <c r="F200" s="21" t="str">
        <f>ifna(VLOOKUP($A200,Constants!$D:$F,3,false),"")</f>
        <v>MuonMagneticMomentToBohrMagnetonRatio</v>
      </c>
      <c r="G200" s="43" t="str">
        <f t="shared" si="1"/>
        <v>-4.84197048e-3</v>
      </c>
      <c r="H200" s="43">
        <f t="shared" si="2"/>
        <v>-0.00484197048</v>
      </c>
      <c r="I200" s="43" t="str">
        <f t="shared" si="3"/>
        <v>0.00000011e-3</v>
      </c>
      <c r="J200" s="43">
        <f t="shared" si="4"/>
        <v>0.00000000011</v>
      </c>
      <c r="K200" s="43" t="b">
        <f t="shared" si="5"/>
        <v>0</v>
      </c>
      <c r="L200" s="21" t="str">
        <f>IFERROR(__xludf.DUMMYFUNCTION("if(regexmatch(B200,""e(.*)$""),regexextract(B200,""e(.*)$""),"""")"),"-3")</f>
        <v>-3</v>
      </c>
      <c r="M200" s="45"/>
      <c r="N200" s="45">
        <f>countif(Constants!F:F,F200)</f>
        <v>1</v>
      </c>
      <c r="O200" s="21" t="str">
        <f>ifna(VLOOKUP(A200,Constants!D:D,1,false),"")</f>
        <v>muon mag. mom. to Bohr magneton ratio</v>
      </c>
    </row>
    <row r="201">
      <c r="A201" s="6" t="s">
        <v>1550</v>
      </c>
      <c r="B201" s="6" t="s">
        <v>3510</v>
      </c>
      <c r="C201" s="6" t="s">
        <v>2534</v>
      </c>
      <c r="E201" s="42">
        <f>countif(Constants!F:F,F201)</f>
        <v>1</v>
      </c>
      <c r="F201" s="21" t="str">
        <f>ifna(VLOOKUP($A201,Constants!$D:$F,3,false),"")</f>
        <v>MuonMagneticMomentToNuclearMagnetonRatio</v>
      </c>
      <c r="G201" s="43" t="str">
        <f t="shared" si="1"/>
        <v>-8.89059705</v>
      </c>
      <c r="H201" s="43">
        <f t="shared" si="2"/>
        <v>-8.89059705</v>
      </c>
      <c r="I201" s="43" t="str">
        <f t="shared" si="3"/>
        <v>0.00000020</v>
      </c>
      <c r="J201" s="43">
        <f t="shared" si="4"/>
        <v>0.0000002</v>
      </c>
      <c r="K201" s="43" t="b">
        <f t="shared" si="5"/>
        <v>0</v>
      </c>
      <c r="L201" s="21" t="str">
        <f>IFERROR(__xludf.DUMMYFUNCTION("if(regexmatch(B201,""e(.*)$""),regexextract(B201,""e(.*)$""),"""")"),"")</f>
        <v/>
      </c>
      <c r="M201" s="45"/>
      <c r="N201" s="45">
        <f>countif(Constants!F:F,F201)</f>
        <v>1</v>
      </c>
      <c r="O201" s="21" t="str">
        <f>ifna(VLOOKUP(A201,Constants!D:D,1,false),"")</f>
        <v>muon mag. mom. to nuclear magneton ratio</v>
      </c>
    </row>
    <row r="202">
      <c r="A202" s="6" t="s">
        <v>1555</v>
      </c>
      <c r="B202" s="6" t="s">
        <v>3511</v>
      </c>
      <c r="C202" s="6" t="s">
        <v>3512</v>
      </c>
      <c r="D202" s="6" t="s">
        <v>538</v>
      </c>
      <c r="E202" s="42">
        <f>countif(Constants!F:F,F202)</f>
        <v>1</v>
      </c>
      <c r="F202" s="21" t="str">
        <f>ifna(VLOOKUP($A202,Constants!$D:$F,3,false),"")</f>
        <v>MuonMass</v>
      </c>
      <c r="G202" s="43" t="str">
        <f t="shared" si="1"/>
        <v>1.883531594e-28</v>
      </c>
      <c r="H202" s="43">
        <f t="shared" si="2"/>
        <v>0</v>
      </c>
      <c r="I202" s="43" t="str">
        <f t="shared" si="3"/>
        <v>0.000000048e-28</v>
      </c>
      <c r="J202" s="43">
        <f t="shared" si="4"/>
        <v>0</v>
      </c>
      <c r="K202" s="43" t="b">
        <f t="shared" si="5"/>
        <v>0</v>
      </c>
      <c r="L202" s="21" t="str">
        <f>IFERROR(__xludf.DUMMYFUNCTION("if(regexmatch(B202,""e(.*)$""),regexextract(B202,""e(.*)$""),"""")"),"-28")</f>
        <v>-28</v>
      </c>
      <c r="M202" s="45"/>
      <c r="N202" s="45">
        <f>countif(Constants!F:F,F202)</f>
        <v>1</v>
      </c>
      <c r="O202" s="21" t="str">
        <f>ifna(VLOOKUP(A202,Constants!D:D,1,false),"")</f>
        <v>muon mass</v>
      </c>
    </row>
    <row r="203">
      <c r="A203" s="6" t="s">
        <v>1559</v>
      </c>
      <c r="B203" s="6" t="s">
        <v>3513</v>
      </c>
      <c r="C203" s="6" t="s">
        <v>3514</v>
      </c>
      <c r="D203" s="6" t="s">
        <v>543</v>
      </c>
      <c r="E203" s="42">
        <f>countif(Constants!F:F,F203)</f>
        <v>1</v>
      </c>
      <c r="F203" s="21" t="str">
        <f>ifna(VLOOKUP($A203,Constants!$D:$F,3,false),"")</f>
        <v>MuonMassEnergyEquivalent</v>
      </c>
      <c r="G203" s="43" t="str">
        <f t="shared" si="1"/>
        <v>1.692833774e-11</v>
      </c>
      <c r="H203" s="43">
        <f t="shared" si="2"/>
        <v>0</v>
      </c>
      <c r="I203" s="43" t="str">
        <f t="shared" si="3"/>
        <v>0.000000043e-11</v>
      </c>
      <c r="J203" s="43">
        <f t="shared" si="4"/>
        <v>0</v>
      </c>
      <c r="K203" s="43" t="b">
        <f t="shared" si="5"/>
        <v>0</v>
      </c>
      <c r="L203" s="21" t="str">
        <f>IFERROR(__xludf.DUMMYFUNCTION("if(regexmatch(B203,""e(.*)$""),regexextract(B203,""e(.*)$""),"""")"),"-11")</f>
        <v>-11</v>
      </c>
      <c r="M203" s="45"/>
      <c r="N203" s="45">
        <f>countif(Constants!F:F,F203)</f>
        <v>1</v>
      </c>
      <c r="O203" s="21" t="str">
        <f>ifna(VLOOKUP(A203,Constants!D:D,1,false),"")</f>
        <v>muon mass energy equivalent</v>
      </c>
    </row>
    <row r="204">
      <c r="A204" s="6" t="s">
        <v>1563</v>
      </c>
      <c r="B204" s="6" t="s">
        <v>3515</v>
      </c>
      <c r="C204" s="6" t="s">
        <v>3516</v>
      </c>
      <c r="D204" s="6" t="s">
        <v>548</v>
      </c>
      <c r="E204" s="42">
        <f>countif(Constants!F:F,F204)</f>
        <v>1</v>
      </c>
      <c r="F204" s="21" t="str">
        <f>ifna(VLOOKUP($A204,Constants!$D:$F,3,false),"")</f>
        <v>MuonMassEnergyEquivalentInMeV</v>
      </c>
      <c r="G204" s="43" t="str">
        <f t="shared" si="1"/>
        <v>105.6583745</v>
      </c>
      <c r="H204" s="43">
        <f t="shared" si="2"/>
        <v>105.6583745</v>
      </c>
      <c r="I204" s="43" t="str">
        <f t="shared" si="3"/>
        <v>0.0000024</v>
      </c>
      <c r="J204" s="43">
        <f t="shared" si="4"/>
        <v>0.0000024</v>
      </c>
      <c r="K204" s="43" t="b">
        <f t="shared" si="5"/>
        <v>0</v>
      </c>
      <c r="L204" s="21" t="str">
        <f>IFERROR(__xludf.DUMMYFUNCTION("if(regexmatch(B204,""e(.*)$""),regexextract(B204,""e(.*)$""),"""")"),"")</f>
        <v/>
      </c>
      <c r="M204" s="45"/>
      <c r="N204" s="45">
        <f>countif(Constants!F:F,F204)</f>
        <v>1</v>
      </c>
      <c r="O204" s="21" t="str">
        <f>ifna(VLOOKUP(A204,Constants!D:D,1,false),"")</f>
        <v>muon mass energy equivalent in MeV</v>
      </c>
    </row>
    <row r="205">
      <c r="A205" s="6" t="s">
        <v>1566</v>
      </c>
      <c r="B205" s="6" t="s">
        <v>3517</v>
      </c>
      <c r="C205" s="6" t="s">
        <v>2542</v>
      </c>
      <c r="D205" s="6" t="s">
        <v>553</v>
      </c>
      <c r="E205" s="42">
        <f>countif(Constants!F:F,F205)</f>
        <v>1</v>
      </c>
      <c r="F205" s="21" t="str">
        <f>ifna(VLOOKUP($A205,Constants!$D:$F,3,false),"")</f>
        <v>MuonMassInAtomicMassUnit</v>
      </c>
      <c r="G205" s="43" t="str">
        <f t="shared" si="1"/>
        <v>0.1134289257</v>
      </c>
      <c r="H205" s="43">
        <f t="shared" si="2"/>
        <v>0.1134289257</v>
      </c>
      <c r="I205" s="43" t="str">
        <f t="shared" si="3"/>
        <v>0.0000000025</v>
      </c>
      <c r="J205" s="43">
        <f t="shared" si="4"/>
        <v>0.0000000025</v>
      </c>
      <c r="K205" s="43" t="b">
        <f t="shared" si="5"/>
        <v>0</v>
      </c>
      <c r="L205" s="21" t="str">
        <f>IFERROR(__xludf.DUMMYFUNCTION("if(regexmatch(B205,""e(.*)$""),regexextract(B205,""e(.*)$""),"""")"),"")</f>
        <v/>
      </c>
      <c r="M205" s="45"/>
      <c r="N205" s="45">
        <f>countif(Constants!F:F,F205)</f>
        <v>1</v>
      </c>
      <c r="O205" s="21" t="str">
        <f>ifna(VLOOKUP(A205,Constants!D:D,1,false),"")</f>
        <v>muon mass in u</v>
      </c>
    </row>
    <row r="206">
      <c r="A206" s="6" t="s">
        <v>1569</v>
      </c>
      <c r="B206" s="6" t="s">
        <v>3518</v>
      </c>
      <c r="C206" s="6" t="s">
        <v>3519</v>
      </c>
      <c r="D206" s="6" t="s">
        <v>557</v>
      </c>
      <c r="E206" s="42">
        <f>countif(Constants!F:F,F206)</f>
        <v>1</v>
      </c>
      <c r="F206" s="21" t="str">
        <f>ifna(VLOOKUP($A206,Constants!$D:$F,3,false),"")</f>
        <v>MuonMolarMass</v>
      </c>
      <c r="G206" s="43" t="str">
        <f t="shared" si="1"/>
        <v>0.1134289257e-3</v>
      </c>
      <c r="H206" s="43">
        <f t="shared" si="2"/>
        <v>0.0001134289257</v>
      </c>
      <c r="I206" s="43" t="str">
        <f t="shared" si="3"/>
        <v>0.0000000025e-3</v>
      </c>
      <c r="J206" s="43">
        <f t="shared" si="4"/>
        <v>0</v>
      </c>
      <c r="K206" s="43" t="b">
        <f t="shared" si="5"/>
        <v>0</v>
      </c>
      <c r="L206" s="21" t="str">
        <f>IFERROR(__xludf.DUMMYFUNCTION("if(regexmatch(B206,""e(.*)$""),regexextract(B206,""e(.*)$""),"""")"),"-3")</f>
        <v>-3</v>
      </c>
      <c r="M206" s="45"/>
      <c r="N206" s="45">
        <f>countif(Constants!F:F,F206)</f>
        <v>1</v>
      </c>
      <c r="O206" s="21" t="str">
        <f>ifna(VLOOKUP(A206,Constants!D:D,1,false),"")</f>
        <v>muon molar mass</v>
      </c>
    </row>
    <row r="207">
      <c r="A207" s="6" t="s">
        <v>1573</v>
      </c>
      <c r="B207" s="6" t="s">
        <v>3520</v>
      </c>
      <c r="C207" s="6" t="s">
        <v>2542</v>
      </c>
      <c r="E207" s="42">
        <f>countif(Constants!F:F,F207)</f>
        <v>1</v>
      </c>
      <c r="F207" s="21" t="str">
        <f>ifna(VLOOKUP($A207,Constants!$D:$F,3,false),"")</f>
        <v>MuonNeutronMassRatio</v>
      </c>
      <c r="G207" s="43" t="str">
        <f t="shared" si="1"/>
        <v>0.1124545167</v>
      </c>
      <c r="H207" s="43">
        <f t="shared" si="2"/>
        <v>0.1124545167</v>
      </c>
      <c r="I207" s="43" t="str">
        <f t="shared" si="3"/>
        <v>0.0000000025</v>
      </c>
      <c r="J207" s="43">
        <f t="shared" si="4"/>
        <v>0.0000000025</v>
      </c>
      <c r="K207" s="43" t="b">
        <f t="shared" si="5"/>
        <v>0</v>
      </c>
      <c r="L207" s="21" t="str">
        <f>IFERROR(__xludf.DUMMYFUNCTION("if(regexmatch(B207,""e(.*)$""),regexextract(B207,""e(.*)$""),"""")"),"")</f>
        <v/>
      </c>
      <c r="M207" s="45"/>
      <c r="N207" s="45">
        <f>countif(Constants!F:F,F207)</f>
        <v>1</v>
      </c>
      <c r="O207" s="21" t="str">
        <f>ifna(VLOOKUP(A207,Constants!D:D,1,false),"")</f>
        <v>muon-neutron mass ratio</v>
      </c>
    </row>
    <row r="208">
      <c r="A208" s="6" t="s">
        <v>1578</v>
      </c>
      <c r="B208" s="6" t="s">
        <v>3038</v>
      </c>
      <c r="C208" s="6" t="s">
        <v>2547</v>
      </c>
      <c r="E208" s="42">
        <f>countif(Constants!F:F,F208)</f>
        <v>1</v>
      </c>
      <c r="F208" s="21" t="str">
        <f>ifna(VLOOKUP($A208,Constants!$D:$F,3,false),"")</f>
        <v>MuonProtonMagneticMomentRatio</v>
      </c>
      <c r="G208" s="43" t="str">
        <f t="shared" si="1"/>
        <v>-3.183345142</v>
      </c>
      <c r="H208" s="43">
        <f t="shared" si="2"/>
        <v>-3.183345142</v>
      </c>
      <c r="I208" s="43" t="str">
        <f t="shared" si="3"/>
        <v>0.000000071</v>
      </c>
      <c r="J208" s="43">
        <f t="shared" si="4"/>
        <v>0.000000071</v>
      </c>
      <c r="K208" s="43" t="b">
        <f t="shared" si="5"/>
        <v>0</v>
      </c>
      <c r="L208" s="21" t="str">
        <f>IFERROR(__xludf.DUMMYFUNCTION("if(regexmatch(B208,""e(.*)$""),regexextract(B208,""e(.*)$""),"""")"),"")</f>
        <v/>
      </c>
      <c r="M208" s="45"/>
      <c r="N208" s="45">
        <f>countif(Constants!F:F,F208)</f>
        <v>1</v>
      </c>
      <c r="O208" s="21" t="str">
        <f>ifna(VLOOKUP(A208,Constants!D:D,1,false),"")</f>
        <v>muon-proton mag. mom. ratio</v>
      </c>
    </row>
    <row r="209">
      <c r="A209" s="6" t="s">
        <v>1583</v>
      </c>
      <c r="B209" s="6" t="s">
        <v>3521</v>
      </c>
      <c r="C209" s="6" t="s">
        <v>2542</v>
      </c>
      <c r="E209" s="42">
        <f>countif(Constants!F:F,F209)</f>
        <v>1</v>
      </c>
      <c r="F209" s="21" t="str">
        <f>ifna(VLOOKUP($A209,Constants!$D:$F,3,false),"")</f>
        <v>MuonProtonMassRatio</v>
      </c>
      <c r="G209" s="43" t="str">
        <f t="shared" si="1"/>
        <v>0.1126095262</v>
      </c>
      <c r="H209" s="43">
        <f t="shared" si="2"/>
        <v>0.1126095262</v>
      </c>
      <c r="I209" s="43" t="str">
        <f t="shared" si="3"/>
        <v>0.0000000025</v>
      </c>
      <c r="J209" s="43">
        <f t="shared" si="4"/>
        <v>0.0000000025</v>
      </c>
      <c r="K209" s="43" t="b">
        <f t="shared" si="5"/>
        <v>0</v>
      </c>
      <c r="L209" s="21" t="str">
        <f>IFERROR(__xludf.DUMMYFUNCTION("if(regexmatch(B209,""e(.*)$""),regexextract(B209,""e(.*)$""),"""")"),"")</f>
        <v/>
      </c>
      <c r="M209" s="45"/>
      <c r="N209" s="45">
        <f>countif(Constants!F:F,F209)</f>
        <v>1</v>
      </c>
      <c r="O209" s="21" t="str">
        <f>ifna(VLOOKUP(A209,Constants!D:D,1,false),"")</f>
        <v>muon-proton mass ratio</v>
      </c>
    </row>
    <row r="210">
      <c r="A210" s="6" t="s">
        <v>1588</v>
      </c>
      <c r="B210" s="6" t="s">
        <v>3522</v>
      </c>
      <c r="C210" s="6" t="s">
        <v>3523</v>
      </c>
      <c r="E210" s="42">
        <f>countif(Constants!F:F,F210)</f>
        <v>1</v>
      </c>
      <c r="F210" s="21" t="str">
        <f>ifna(VLOOKUP($A210,Constants!$D:$F,3,false),"")</f>
        <v>MuonTauMassRatio</v>
      </c>
      <c r="G210" s="43" t="str">
        <f t="shared" si="1"/>
        <v>5.94649e-2</v>
      </c>
      <c r="H210" s="43">
        <f t="shared" si="2"/>
        <v>0.0594649</v>
      </c>
      <c r="I210" s="43" t="str">
        <f t="shared" si="3"/>
        <v>0.00054e-2</v>
      </c>
      <c r="J210" s="43">
        <f t="shared" si="4"/>
        <v>0.0000054</v>
      </c>
      <c r="K210" s="43" t="b">
        <f t="shared" si="5"/>
        <v>0</v>
      </c>
      <c r="L210" s="21" t="str">
        <f>IFERROR(__xludf.DUMMYFUNCTION("if(regexmatch(B210,""e(.*)$""),regexextract(B210,""e(.*)$""),"""")"),"-2")</f>
        <v>-2</v>
      </c>
      <c r="M210" s="45"/>
      <c r="N210" s="45">
        <f>countif(Constants!F:F,F210)</f>
        <v>1</v>
      </c>
      <c r="O210" s="21" t="str">
        <f>ifna(VLOOKUP(A210,Constants!D:D,1,false),"")</f>
        <v>muon-tau mass ratio</v>
      </c>
    </row>
    <row r="211">
      <c r="A211" s="6" t="s">
        <v>1593</v>
      </c>
      <c r="B211" s="6" t="s">
        <v>3239</v>
      </c>
      <c r="C211" s="6" t="s">
        <v>3240</v>
      </c>
      <c r="D211" s="6" t="s">
        <v>643</v>
      </c>
      <c r="E211" s="42">
        <f>countif(Constants!F:F,F211)</f>
        <v>1</v>
      </c>
      <c r="F211" s="21" t="str">
        <f>ifna(VLOOKUP($A211,Constants!$D:$F,3,false),"")</f>
        <v>NaturalUnitOfAction</v>
      </c>
      <c r="G211" s="43" t="str">
        <f t="shared" si="1"/>
        <v>1.054571800e-34</v>
      </c>
      <c r="H211" s="43">
        <f t="shared" si="2"/>
        <v>0</v>
      </c>
      <c r="I211" s="43" t="str">
        <f t="shared" si="3"/>
        <v>0.000000013e-34</v>
      </c>
      <c r="J211" s="43">
        <f t="shared" si="4"/>
        <v>0</v>
      </c>
      <c r="K211" s="43" t="b">
        <f t="shared" si="5"/>
        <v>0</v>
      </c>
      <c r="L211" s="21" t="str">
        <f>IFERROR(__xludf.DUMMYFUNCTION("if(regexmatch(B211,""e(.*)$""),regexextract(B211,""e(.*)$""),"""")"),"-34")</f>
        <v>-34</v>
      </c>
      <c r="M211" s="45"/>
      <c r="N211" s="45">
        <f>countif(Constants!F:F,F211)</f>
        <v>1</v>
      </c>
      <c r="O211" s="21" t="str">
        <f>ifna(VLOOKUP(A211,Constants!D:D,1,false),"")</f>
        <v>natural unit of action</v>
      </c>
    </row>
    <row r="212">
      <c r="A212" s="6" t="s">
        <v>1597</v>
      </c>
      <c r="B212" s="6" t="s">
        <v>3524</v>
      </c>
      <c r="C212" s="6" t="s">
        <v>3525</v>
      </c>
      <c r="D212" s="6" t="s">
        <v>1598</v>
      </c>
      <c r="E212" s="42">
        <f>countif(Constants!F:F,F212)</f>
        <v>1</v>
      </c>
      <c r="F212" s="21" t="str">
        <f>ifna(VLOOKUP($A212,Constants!$D:$F,3,false),"")</f>
        <v>NaturalUnitOfActionInEVS</v>
      </c>
      <c r="G212" s="43" t="str">
        <f t="shared" si="1"/>
        <v>6.582119514e-16</v>
      </c>
      <c r="H212" s="43">
        <f t="shared" si="2"/>
        <v>0</v>
      </c>
      <c r="I212" s="43" t="str">
        <f t="shared" si="3"/>
        <v>0.000000040e-16</v>
      </c>
      <c r="J212" s="43">
        <f t="shared" si="4"/>
        <v>0</v>
      </c>
      <c r="K212" s="43" t="b">
        <f t="shared" si="5"/>
        <v>0</v>
      </c>
      <c r="L212" s="21" t="str">
        <f>IFERROR(__xludf.DUMMYFUNCTION("if(regexmatch(B212,""e(.*)$""),regexextract(B212,""e(.*)$""),"""")"),"-16")</f>
        <v>-16</v>
      </c>
      <c r="M212" s="45"/>
      <c r="N212" s="45">
        <f>countif(Constants!F:F,F212)</f>
        <v>1</v>
      </c>
      <c r="O212" s="21" t="str">
        <f>ifna(VLOOKUP(A212,Constants!D:D,1,false),"")</f>
        <v>natural unit of action in eV s</v>
      </c>
    </row>
    <row r="213">
      <c r="A213" s="6" t="s">
        <v>1602</v>
      </c>
      <c r="B213" s="6" t="s">
        <v>3353</v>
      </c>
      <c r="C213" s="6" t="s">
        <v>3354</v>
      </c>
      <c r="D213" s="6" t="s">
        <v>543</v>
      </c>
      <c r="E213" s="42">
        <f>countif(Constants!F:F,F213)</f>
        <v>1</v>
      </c>
      <c r="F213" s="21" t="str">
        <f>ifna(VLOOKUP($A213,Constants!$D:$F,3,false),"")</f>
        <v>NaturalUnitOfEnergy</v>
      </c>
      <c r="G213" s="43" t="str">
        <f t="shared" si="1"/>
        <v>8.18710565e-14</v>
      </c>
      <c r="H213" s="43">
        <f t="shared" si="2"/>
        <v>0</v>
      </c>
      <c r="I213" s="43" t="str">
        <f t="shared" si="3"/>
        <v>0.00000010e-14</v>
      </c>
      <c r="J213" s="43">
        <f t="shared" si="4"/>
        <v>0</v>
      </c>
      <c r="K213" s="43" t="b">
        <f t="shared" si="5"/>
        <v>0</v>
      </c>
      <c r="L213" s="21" t="str">
        <f>IFERROR(__xludf.DUMMYFUNCTION("if(regexmatch(B213,""e(.*)$""),regexextract(B213,""e(.*)$""),"""")"),"-14")</f>
        <v>-14</v>
      </c>
      <c r="M213" s="45"/>
      <c r="N213" s="45">
        <f>countif(Constants!F:F,F213)</f>
        <v>1</v>
      </c>
      <c r="O213" s="21" t="str">
        <f>ifna(VLOOKUP(A213,Constants!D:D,1,false),"")</f>
        <v>natural unit of energy</v>
      </c>
    </row>
    <row r="214">
      <c r="A214" s="6" t="s">
        <v>1606</v>
      </c>
      <c r="B214" s="6" t="s">
        <v>3355</v>
      </c>
      <c r="C214" s="6" t="s">
        <v>2692</v>
      </c>
      <c r="D214" s="6" t="s">
        <v>548</v>
      </c>
      <c r="E214" s="42">
        <f>countif(Constants!F:F,F214)</f>
        <v>1</v>
      </c>
      <c r="F214" s="21" t="str">
        <f>ifna(VLOOKUP($A214,Constants!$D:$F,3,false),"")</f>
        <v>NaturalUnitOfEnergyInMeV</v>
      </c>
      <c r="G214" s="43" t="str">
        <f t="shared" si="1"/>
        <v>0.5109989461</v>
      </c>
      <c r="H214" s="43">
        <f t="shared" si="2"/>
        <v>0.5109989461</v>
      </c>
      <c r="I214" s="43" t="str">
        <f t="shared" si="3"/>
        <v>0.0000000031</v>
      </c>
      <c r="J214" s="43">
        <f t="shared" si="4"/>
        <v>0.0000000031</v>
      </c>
      <c r="K214" s="43" t="b">
        <f t="shared" si="5"/>
        <v>0</v>
      </c>
      <c r="L214" s="21" t="str">
        <f>IFERROR(__xludf.DUMMYFUNCTION("if(regexmatch(B214,""e(.*)$""),regexextract(B214,""e(.*)$""),"""")"),"")</f>
        <v/>
      </c>
      <c r="M214" s="45"/>
      <c r="N214" s="45">
        <f>countif(Constants!F:F,F214)</f>
        <v>1</v>
      </c>
      <c r="O214" s="21" t="str">
        <f>ifna(VLOOKUP(A214,Constants!D:D,1,false),"")</f>
        <v>natural unit of energy in MeV</v>
      </c>
    </row>
    <row r="215">
      <c r="A215" s="6" t="s">
        <v>1609</v>
      </c>
      <c r="B215" s="6" t="s">
        <v>3308</v>
      </c>
      <c r="C215" s="6" t="s">
        <v>3309</v>
      </c>
      <c r="D215" s="6" t="s">
        <v>571</v>
      </c>
      <c r="E215" s="42">
        <f>countif(Constants!F:F,F215)</f>
        <v>1</v>
      </c>
      <c r="F215" s="21" t="str">
        <f>ifna(VLOOKUP($A215,Constants!$D:$F,3,false),"")</f>
        <v>NaturalUnitOfLength</v>
      </c>
      <c r="G215" s="43" t="str">
        <f t="shared" si="1"/>
        <v>386.15926764e-15</v>
      </c>
      <c r="H215" s="43">
        <f t="shared" si="2"/>
        <v>0</v>
      </c>
      <c r="I215" s="43" t="str">
        <f t="shared" si="3"/>
        <v>0.00000018e-15</v>
      </c>
      <c r="J215" s="43">
        <f t="shared" si="4"/>
        <v>0</v>
      </c>
      <c r="K215" s="43" t="b">
        <f t="shared" si="5"/>
        <v>0</v>
      </c>
      <c r="L215" s="21" t="str">
        <f>IFERROR(__xludf.DUMMYFUNCTION("if(regexmatch(B215,""e(.*)$""),regexextract(B215,""e(.*)$""),"""")"),"-15")</f>
        <v>-15</v>
      </c>
      <c r="M215" s="45"/>
      <c r="N215" s="45">
        <f>countif(Constants!F:F,F215)</f>
        <v>1</v>
      </c>
      <c r="O215" s="21" t="str">
        <f>ifna(VLOOKUP(A215,Constants!D:D,1,false),"")</f>
        <v>natural unit of length</v>
      </c>
    </row>
    <row r="216">
      <c r="A216" s="6" t="s">
        <v>1613</v>
      </c>
      <c r="B216" s="6" t="s">
        <v>3270</v>
      </c>
      <c r="C216" s="6" t="s">
        <v>3271</v>
      </c>
      <c r="D216" s="6" t="s">
        <v>538</v>
      </c>
      <c r="E216" s="42">
        <f>countif(Constants!F:F,F216)</f>
        <v>1</v>
      </c>
      <c r="F216" s="21" t="str">
        <f>ifna(VLOOKUP($A216,Constants!$D:$F,3,false),"")</f>
        <v>NaturalUnitOfMass</v>
      </c>
      <c r="G216" s="43" t="str">
        <f t="shared" si="1"/>
        <v>9.10938356e-31</v>
      </c>
      <c r="H216" s="43">
        <f t="shared" si="2"/>
        <v>0</v>
      </c>
      <c r="I216" s="43" t="str">
        <f t="shared" si="3"/>
        <v>0.00000011e-31</v>
      </c>
      <c r="J216" s="43">
        <f t="shared" si="4"/>
        <v>0</v>
      </c>
      <c r="K216" s="43" t="b">
        <f t="shared" si="5"/>
        <v>0</v>
      </c>
      <c r="L216" s="21" t="str">
        <f>IFERROR(__xludf.DUMMYFUNCTION("if(regexmatch(B216,""e(.*)$""),regexextract(B216,""e(.*)$""),"""")"),"-31")</f>
        <v>-31</v>
      </c>
      <c r="M216" s="45"/>
      <c r="N216" s="45">
        <f>countif(Constants!F:F,F216)</f>
        <v>1</v>
      </c>
      <c r="O216" s="21" t="str">
        <f>ifna(VLOOKUP(A216,Constants!D:D,1,false),"")</f>
        <v>natural unit of mass</v>
      </c>
    </row>
    <row r="217">
      <c r="A217" s="6" t="s">
        <v>3526</v>
      </c>
      <c r="B217" s="6" t="s">
        <v>3527</v>
      </c>
      <c r="C217" s="6" t="s">
        <v>3528</v>
      </c>
      <c r="D217" s="6" t="s">
        <v>736</v>
      </c>
      <c r="E217" s="42">
        <f>countif(Constants!F:F,F217)</f>
        <v>1</v>
      </c>
      <c r="F217" s="7" t="s">
        <v>409</v>
      </c>
      <c r="G217" s="43" t="str">
        <f t="shared" si="1"/>
        <v>2.730924488e-22</v>
      </c>
      <c r="H217" s="43">
        <f t="shared" si="2"/>
        <v>0</v>
      </c>
      <c r="I217" s="43" t="str">
        <f t="shared" si="3"/>
        <v>0.000000034e-22</v>
      </c>
      <c r="J217" s="43">
        <f t="shared" si="4"/>
        <v>0</v>
      </c>
      <c r="K217" s="43" t="b">
        <f t="shared" si="5"/>
        <v>0</v>
      </c>
      <c r="L217" s="21" t="str">
        <f>IFERROR(__xludf.DUMMYFUNCTION("if(regexmatch(B217,""e(.*)$""),regexextract(B217,""e(.*)$""),"""")"),"-22")</f>
        <v>-22</v>
      </c>
      <c r="M217" s="45"/>
      <c r="N217" s="45">
        <f>countif(Constants!F:F,F217)</f>
        <v>1</v>
      </c>
      <c r="O217" s="21" t="str">
        <f>ifna(VLOOKUP(A217,Constants!D:D,1,false),"")</f>
        <v/>
      </c>
    </row>
    <row r="218">
      <c r="A218" s="6" t="s">
        <v>3529</v>
      </c>
      <c r="B218" s="6" t="s">
        <v>3355</v>
      </c>
      <c r="C218" s="6" t="s">
        <v>2692</v>
      </c>
      <c r="D218" s="6" t="s">
        <v>1623</v>
      </c>
      <c r="E218" s="42">
        <f>countif(Constants!F:F,F218)</f>
        <v>1</v>
      </c>
      <c r="F218" s="13" t="s">
        <v>3530</v>
      </c>
      <c r="G218" s="43" t="str">
        <f t="shared" si="1"/>
        <v>0.5109989461</v>
      </c>
      <c r="H218" s="43">
        <f t="shared" si="2"/>
        <v>0.5109989461</v>
      </c>
      <c r="I218" s="43" t="str">
        <f t="shared" si="3"/>
        <v>0.0000000031</v>
      </c>
      <c r="J218" s="43">
        <f t="shared" si="4"/>
        <v>0.0000000031</v>
      </c>
      <c r="K218" s="43" t="b">
        <f t="shared" si="5"/>
        <v>0</v>
      </c>
      <c r="L218" s="21" t="str">
        <f>IFERROR(__xludf.DUMMYFUNCTION("if(regexmatch(B218,""e(.*)$""),regexextract(B218,""e(.*)$""),"""")"),"")</f>
        <v/>
      </c>
      <c r="M218" s="45"/>
      <c r="N218" s="45">
        <f>countif(Constants!F:F,F218)</f>
        <v>1</v>
      </c>
      <c r="O218" s="21" t="str">
        <f>ifna(VLOOKUP(A218,Constants!D:D,1,false),"")</f>
        <v/>
      </c>
    </row>
    <row r="219">
      <c r="A219" s="6" t="s">
        <v>1628</v>
      </c>
      <c r="B219" s="6" t="s">
        <v>3531</v>
      </c>
      <c r="C219" s="6" t="s">
        <v>3532</v>
      </c>
      <c r="D219" s="6" t="s">
        <v>749</v>
      </c>
      <c r="E219" s="42">
        <f>countif(Constants!F:F,F219)</f>
        <v>1</v>
      </c>
      <c r="F219" s="21" t="str">
        <f>ifna(VLOOKUP($A219,Constants!$D:$F,3,false),"")</f>
        <v>NaturalUnitOfTime</v>
      </c>
      <c r="G219" s="43" t="str">
        <f t="shared" si="1"/>
        <v>1.28808866712e-21</v>
      </c>
      <c r="H219" s="43">
        <f t="shared" si="2"/>
        <v>0</v>
      </c>
      <c r="I219" s="43" t="str">
        <f t="shared" si="3"/>
        <v>0.00000000058e-21</v>
      </c>
      <c r="J219" s="43">
        <f t="shared" si="4"/>
        <v>0</v>
      </c>
      <c r="K219" s="43" t="b">
        <f t="shared" si="5"/>
        <v>0</v>
      </c>
      <c r="L219" s="21" t="str">
        <f>IFERROR(__xludf.DUMMYFUNCTION("if(regexmatch(B219,""e(.*)$""),regexextract(B219,""e(.*)$""),"""")"),"-21")</f>
        <v>-21</v>
      </c>
      <c r="M219" s="45"/>
      <c r="N219" s="45">
        <f>countif(Constants!F:F,F219)</f>
        <v>1</v>
      </c>
      <c r="O219" s="21" t="str">
        <f>ifna(VLOOKUP(A219,Constants!D:D,1,false),"")</f>
        <v>natural unit of time</v>
      </c>
    </row>
    <row r="220">
      <c r="A220" s="6" t="s">
        <v>1632</v>
      </c>
      <c r="B220" s="6" t="s">
        <v>2978</v>
      </c>
      <c r="C220" s="6" t="s">
        <v>2261</v>
      </c>
      <c r="D220" s="6" t="s">
        <v>754</v>
      </c>
      <c r="E220" s="42">
        <f>countif(Constants!F:F,F220)</f>
        <v>1</v>
      </c>
      <c r="F220" s="21" t="str">
        <f>ifna(VLOOKUP($A220,Constants!$D:$F,3,false),"")</f>
        <v>NaturalUnitOfVelocity</v>
      </c>
      <c r="G220" s="43" t="str">
        <f t="shared" si="1"/>
        <v>299792458</v>
      </c>
      <c r="H220" s="43">
        <f t="shared" si="2"/>
        <v>299792458</v>
      </c>
      <c r="I220" s="43" t="str">
        <f t="shared" si="3"/>
        <v>(exact)</v>
      </c>
      <c r="J220" s="43" t="str">
        <f t="shared" si="4"/>
        <v/>
      </c>
      <c r="K220" s="43" t="b">
        <f t="shared" si="5"/>
        <v>0</v>
      </c>
      <c r="L220" s="21" t="str">
        <f>IFERROR(__xludf.DUMMYFUNCTION("if(regexmatch(B220,""e(.*)$""),regexextract(B220,""e(.*)$""),"""")"),"")</f>
        <v/>
      </c>
      <c r="M220" s="45"/>
      <c r="N220" s="45">
        <f>countif(Constants!F:F,F220)</f>
        <v>1</v>
      </c>
      <c r="O220" s="21" t="str">
        <f>ifna(VLOOKUP(A220,Constants!D:D,1,false),"")</f>
        <v>natural unit of velocity</v>
      </c>
    </row>
    <row r="221">
      <c r="A221" s="6" t="s">
        <v>1636</v>
      </c>
      <c r="B221" s="6" t="s">
        <v>3533</v>
      </c>
      <c r="C221" s="6" t="s">
        <v>3534</v>
      </c>
      <c r="D221" s="6" t="s">
        <v>571</v>
      </c>
      <c r="E221" s="42">
        <f>countif(Constants!F:F,F221)</f>
        <v>1</v>
      </c>
      <c r="F221" s="21" t="str">
        <f>ifna(VLOOKUP($A221,Constants!$D:$F,3,false),"")</f>
        <v>NeutronComptonWavelength</v>
      </c>
      <c r="G221" s="43" t="str">
        <f t="shared" si="1"/>
        <v>1.31959090481e-15</v>
      </c>
      <c r="H221" s="43">
        <f t="shared" si="2"/>
        <v>0</v>
      </c>
      <c r="I221" s="43" t="str">
        <f t="shared" si="3"/>
        <v>0.00000000088e-15</v>
      </c>
      <c r="J221" s="43">
        <f t="shared" si="4"/>
        <v>0</v>
      </c>
      <c r="K221" s="43" t="b">
        <f t="shared" si="5"/>
        <v>0</v>
      </c>
      <c r="L221" s="21" t="str">
        <f>IFERROR(__xludf.DUMMYFUNCTION("if(regexmatch(B221,""e(.*)$""),regexextract(B221,""e(.*)$""),"""")"),"-15")</f>
        <v>-15</v>
      </c>
      <c r="M221" s="45"/>
      <c r="N221" s="45">
        <f>countif(Constants!F:F,F221)</f>
        <v>1</v>
      </c>
      <c r="O221" s="21" t="str">
        <f>ifna(VLOOKUP(A221,Constants!D:D,1,false),"")</f>
        <v>neutron Compton wavelength</v>
      </c>
    </row>
    <row r="222">
      <c r="A222" s="6" t="s">
        <v>1929</v>
      </c>
      <c r="B222" s="6" t="s">
        <v>3535</v>
      </c>
      <c r="C222" s="6" t="s">
        <v>3536</v>
      </c>
      <c r="D222" s="6" t="s">
        <v>571</v>
      </c>
      <c r="E222" s="42">
        <f>countif(Constants!F:F,F222)</f>
        <v>1</v>
      </c>
      <c r="F222" s="13" t="s">
        <v>3537</v>
      </c>
      <c r="G222" s="43" t="str">
        <f t="shared" si="1"/>
        <v>0.21001941536e-15</v>
      </c>
      <c r="H222" s="43">
        <f t="shared" si="2"/>
        <v>0</v>
      </c>
      <c r="I222" s="43" t="str">
        <f t="shared" si="3"/>
        <v>0.00000000014e-15</v>
      </c>
      <c r="J222" s="43">
        <f t="shared" si="4"/>
        <v>0</v>
      </c>
      <c r="K222" s="43" t="b">
        <f t="shared" si="5"/>
        <v>0</v>
      </c>
      <c r="L222" s="21" t="str">
        <f>IFERROR(__xludf.DUMMYFUNCTION("if(regexmatch(B222,""e(.*)$""),regexextract(B222,""e(.*)$""),"""")"),"-15")</f>
        <v>-15</v>
      </c>
      <c r="M222" s="45"/>
      <c r="N222" s="45">
        <f>countif(Constants!F:F,F222)</f>
        <v>1</v>
      </c>
      <c r="O222" s="21" t="str">
        <f>ifna(VLOOKUP(A222,Constants!D:D,1,false),"")</f>
        <v/>
      </c>
    </row>
    <row r="223">
      <c r="A223" s="6" t="s">
        <v>1640</v>
      </c>
      <c r="B223" s="6" t="s">
        <v>3049</v>
      </c>
      <c r="C223" s="6" t="s">
        <v>2575</v>
      </c>
      <c r="E223" s="42">
        <f>countif(Constants!F:F,F223)</f>
        <v>1</v>
      </c>
      <c r="F223" s="21" t="str">
        <f>ifna(VLOOKUP($A223,Constants!$D:$F,3,false),"")</f>
        <v>NeutronElectronMagneticMomentRatio</v>
      </c>
      <c r="G223" s="43" t="str">
        <f t="shared" si="1"/>
        <v>1.04066882e-3</v>
      </c>
      <c r="H223" s="43">
        <f t="shared" si="2"/>
        <v>0.00104066882</v>
      </c>
      <c r="I223" s="43" t="str">
        <f t="shared" si="3"/>
        <v>0.00000025e-3</v>
      </c>
      <c r="J223" s="43">
        <f t="shared" si="4"/>
        <v>0.00000000025</v>
      </c>
      <c r="K223" s="43" t="b">
        <f t="shared" si="5"/>
        <v>0</v>
      </c>
      <c r="L223" s="21" t="str">
        <f>IFERROR(__xludf.DUMMYFUNCTION("if(regexmatch(B223,""e(.*)$""),regexextract(B223,""e(.*)$""),"""")"),"-3")</f>
        <v>-3</v>
      </c>
      <c r="M223" s="45"/>
      <c r="N223" s="45">
        <f>countif(Constants!F:F,F223)</f>
        <v>1</v>
      </c>
      <c r="O223" s="21" t="str">
        <f>ifna(VLOOKUP(A223,Constants!D:D,1,false),"")</f>
        <v>neutron-electron mag. mom. ratio</v>
      </c>
    </row>
    <row r="224">
      <c r="A224" s="6" t="s">
        <v>1645</v>
      </c>
      <c r="B224" s="6" t="s">
        <v>3538</v>
      </c>
      <c r="C224" s="6" t="s">
        <v>2565</v>
      </c>
      <c r="E224" s="42">
        <f>countif(Constants!F:F,F224)</f>
        <v>1</v>
      </c>
      <c r="F224" s="21" t="str">
        <f>ifna(VLOOKUP($A224,Constants!$D:$F,3,false),"")</f>
        <v>NeutronElectronMassRatio</v>
      </c>
      <c r="G224" s="43" t="str">
        <f t="shared" si="1"/>
        <v>1838.68366158</v>
      </c>
      <c r="H224" s="43">
        <f t="shared" si="2"/>
        <v>1838.683662</v>
      </c>
      <c r="I224" s="43" t="str">
        <f t="shared" si="3"/>
        <v>0.00000090</v>
      </c>
      <c r="J224" s="43">
        <f t="shared" si="4"/>
        <v>0.0000009</v>
      </c>
      <c r="K224" s="43" t="b">
        <f t="shared" si="5"/>
        <v>0</v>
      </c>
      <c r="L224" s="21" t="str">
        <f>IFERROR(__xludf.DUMMYFUNCTION("if(regexmatch(B224,""e(.*)$""),regexextract(B224,""e(.*)$""),"""")"),"")</f>
        <v/>
      </c>
      <c r="M224" s="45"/>
      <c r="N224" s="45">
        <f>countif(Constants!F:F,F224)</f>
        <v>1</v>
      </c>
      <c r="O224" s="21" t="str">
        <f>ifna(VLOOKUP(A224,Constants!D:D,1,false),"")</f>
        <v>neutron-electron mass ratio</v>
      </c>
    </row>
    <row r="225">
      <c r="A225" s="6" t="s">
        <v>1650</v>
      </c>
      <c r="B225" s="6" t="s">
        <v>3052</v>
      </c>
      <c r="C225" s="6" t="s">
        <v>2565</v>
      </c>
      <c r="E225" s="42">
        <f>countif(Constants!F:F,F225)</f>
        <v>1</v>
      </c>
      <c r="F225" s="21" t="str">
        <f>ifna(VLOOKUP($A225,Constants!$D:$F,3,false),"")</f>
        <v>NeutronGFactor</v>
      </c>
      <c r="G225" s="43" t="str">
        <f t="shared" si="1"/>
        <v>-3.82608545</v>
      </c>
      <c r="H225" s="43">
        <f t="shared" si="2"/>
        <v>-3.82608545</v>
      </c>
      <c r="I225" s="43" t="str">
        <f t="shared" si="3"/>
        <v>0.00000090</v>
      </c>
      <c r="J225" s="43">
        <f t="shared" si="4"/>
        <v>0.0000009</v>
      </c>
      <c r="K225" s="43" t="b">
        <f t="shared" si="5"/>
        <v>0</v>
      </c>
      <c r="L225" s="21" t="str">
        <f>IFERROR(__xludf.DUMMYFUNCTION("if(regexmatch(B225,""e(.*)$""),regexextract(B225,""e(.*)$""),"""")"),"")</f>
        <v/>
      </c>
      <c r="M225" s="45"/>
      <c r="N225" s="45">
        <f>countif(Constants!F:F,F225)</f>
        <v>1</v>
      </c>
      <c r="O225" s="21" t="str">
        <f>ifna(VLOOKUP(A225,Constants!D:D,1,false),"")</f>
        <v>neutron g factor</v>
      </c>
    </row>
    <row r="226">
      <c r="A226" s="6" t="s">
        <v>1654</v>
      </c>
      <c r="B226" s="6" t="s">
        <v>3539</v>
      </c>
      <c r="C226" s="6" t="s">
        <v>2567</v>
      </c>
      <c r="D226" s="6" t="s">
        <v>961</v>
      </c>
      <c r="E226" s="42">
        <f>countif(Constants!F:F,F226)</f>
        <v>1</v>
      </c>
      <c r="F226" s="21" t="str">
        <f>ifna(VLOOKUP($A226,Constants!$D:$F,3,false),"")</f>
        <v>NeutronGyromagneticRatio</v>
      </c>
      <c r="G226" s="43" t="str">
        <f t="shared" si="1"/>
        <v>1.83247172e8</v>
      </c>
      <c r="H226" s="43">
        <f t="shared" si="2"/>
        <v>183247172</v>
      </c>
      <c r="I226" s="43" t="str">
        <f t="shared" si="3"/>
        <v>0.00000043e8</v>
      </c>
      <c r="J226" s="43">
        <f t="shared" si="4"/>
        <v>43</v>
      </c>
      <c r="K226" s="43" t="b">
        <f t="shared" si="5"/>
        <v>0</v>
      </c>
      <c r="L226" s="21" t="str">
        <f>IFERROR(__xludf.DUMMYFUNCTION("if(regexmatch(B226,""e(.*)$""),regexextract(B226,""e(.*)$""),"""")"),"8")</f>
        <v>8</v>
      </c>
      <c r="M226" s="45"/>
      <c r="N226" s="45">
        <f>countif(Constants!F:F,F226)</f>
        <v>1</v>
      </c>
      <c r="O226" s="21" t="str">
        <f>ifna(VLOOKUP(A226,Constants!D:D,1,false),"")</f>
        <v>neutron gyromag. ratio</v>
      </c>
    </row>
    <row r="227">
      <c r="A227" s="6" t="s">
        <v>3540</v>
      </c>
      <c r="B227" s="6" t="s">
        <v>3541</v>
      </c>
      <c r="C227" s="6" t="s">
        <v>2570</v>
      </c>
      <c r="D227" s="6" t="s">
        <v>969</v>
      </c>
      <c r="E227" s="42">
        <f>countif(Constants!F:F,F227)</f>
        <v>1</v>
      </c>
      <c r="F227" s="6" t="s">
        <v>2571</v>
      </c>
      <c r="G227" s="43" t="str">
        <f t="shared" si="1"/>
        <v>29.1646933</v>
      </c>
      <c r="H227" s="43">
        <f t="shared" si="2"/>
        <v>29.1646933</v>
      </c>
      <c r="I227" s="43" t="str">
        <f t="shared" si="3"/>
        <v>0.0000069</v>
      </c>
      <c r="J227" s="43">
        <f t="shared" si="4"/>
        <v>0.0000069</v>
      </c>
      <c r="K227" s="43" t="b">
        <f t="shared" si="5"/>
        <v>0</v>
      </c>
      <c r="L227" s="21" t="str">
        <f>IFERROR(__xludf.DUMMYFUNCTION("if(regexmatch(B227,""e(.*)$""),regexextract(B227,""e(.*)$""),"""")"),"")</f>
        <v/>
      </c>
      <c r="M227" s="45"/>
      <c r="N227" s="45">
        <f>countif(Constants!F:F,F227)</f>
        <v>1</v>
      </c>
      <c r="O227" s="21" t="str">
        <f>ifna(VLOOKUP(A227,Constants!D:D,1,false),"")</f>
        <v/>
      </c>
    </row>
    <row r="228">
      <c r="A228" s="6" t="s">
        <v>1663</v>
      </c>
      <c r="B228" s="6" t="s">
        <v>3542</v>
      </c>
      <c r="C228" s="6" t="s">
        <v>3543</v>
      </c>
      <c r="D228" s="6" t="s">
        <v>714</v>
      </c>
      <c r="E228" s="42">
        <f>countif(Constants!F:F,F228)</f>
        <v>1</v>
      </c>
      <c r="F228" s="21" t="str">
        <f>ifna(VLOOKUP($A228,Constants!$D:$F,3,false),"")</f>
        <v>NeutronMagneticMoment</v>
      </c>
      <c r="G228" s="43" t="str">
        <f t="shared" si="1"/>
        <v>-0.96623650e-26</v>
      </c>
      <c r="H228" s="43">
        <f t="shared" si="2"/>
        <v>0</v>
      </c>
      <c r="I228" s="43" t="str">
        <f t="shared" si="3"/>
        <v>0.00000023e-26</v>
      </c>
      <c r="J228" s="43">
        <f t="shared" si="4"/>
        <v>0</v>
      </c>
      <c r="K228" s="43" t="b">
        <f t="shared" si="5"/>
        <v>0</v>
      </c>
      <c r="L228" s="21" t="str">
        <f>IFERROR(__xludf.DUMMYFUNCTION("if(regexmatch(B228,""e(.*)$""),regexextract(B228,""e(.*)$""),"""")"),"-26")</f>
        <v>-26</v>
      </c>
      <c r="M228" s="45"/>
      <c r="N228" s="45">
        <f>countif(Constants!F:F,F228)</f>
        <v>1</v>
      </c>
      <c r="O228" s="21" t="str">
        <f>ifna(VLOOKUP(A228,Constants!D:D,1,false),"")</f>
        <v>neutron mag. mom.</v>
      </c>
    </row>
    <row r="229">
      <c r="A229" s="6" t="s">
        <v>1668</v>
      </c>
      <c r="B229" s="6" t="s">
        <v>3056</v>
      </c>
      <c r="C229" s="6" t="s">
        <v>2575</v>
      </c>
      <c r="E229" s="42">
        <f>countif(Constants!F:F,F229)</f>
        <v>1</v>
      </c>
      <c r="F229" s="21" t="str">
        <f>ifna(VLOOKUP($A229,Constants!$D:$F,3,false),"")</f>
        <v>NeutronMagneticMomentToBohrMagnetonRatio</v>
      </c>
      <c r="G229" s="43" t="str">
        <f t="shared" si="1"/>
        <v>-1.04187563e-3</v>
      </c>
      <c r="H229" s="43">
        <f t="shared" si="2"/>
        <v>-0.00104187563</v>
      </c>
      <c r="I229" s="43" t="str">
        <f t="shared" si="3"/>
        <v>0.00000025e-3</v>
      </c>
      <c r="J229" s="43">
        <f t="shared" si="4"/>
        <v>0.00000000025</v>
      </c>
      <c r="K229" s="43" t="b">
        <f t="shared" si="5"/>
        <v>0</v>
      </c>
      <c r="L229" s="21" t="str">
        <f>IFERROR(__xludf.DUMMYFUNCTION("if(regexmatch(B229,""e(.*)$""),regexextract(B229,""e(.*)$""),"""")"),"-3")</f>
        <v>-3</v>
      </c>
      <c r="M229" s="45"/>
      <c r="N229" s="45">
        <f>countif(Constants!F:F,F229)</f>
        <v>1</v>
      </c>
      <c r="O229" s="21" t="str">
        <f>ifna(VLOOKUP(A229,Constants!D:D,1,false),"")</f>
        <v>neutron mag. mom. to Bohr magneton ratio</v>
      </c>
    </row>
    <row r="230">
      <c r="A230" s="6" t="s">
        <v>1673</v>
      </c>
      <c r="B230" s="6" t="s">
        <v>3057</v>
      </c>
      <c r="C230" s="6" t="s">
        <v>2577</v>
      </c>
      <c r="E230" s="42">
        <f>countif(Constants!F:F,F230)</f>
        <v>1</v>
      </c>
      <c r="F230" s="21" t="str">
        <f>ifna(VLOOKUP($A230,Constants!$D:$F,3,false),"")</f>
        <v>NeutronMagneticMomentToNuclearMagnetonRatio</v>
      </c>
      <c r="G230" s="43" t="str">
        <f t="shared" si="1"/>
        <v>-1.91304273</v>
      </c>
      <c r="H230" s="43">
        <f t="shared" si="2"/>
        <v>-1.91304273</v>
      </c>
      <c r="I230" s="43" t="str">
        <f t="shared" si="3"/>
        <v>0.00000045</v>
      </c>
      <c r="J230" s="43">
        <f t="shared" si="4"/>
        <v>0.00000045</v>
      </c>
      <c r="K230" s="43" t="b">
        <f t="shared" si="5"/>
        <v>0</v>
      </c>
      <c r="L230" s="21" t="str">
        <f>IFERROR(__xludf.DUMMYFUNCTION("if(regexmatch(B230,""e(.*)$""),regexextract(B230,""e(.*)$""),"""")"),"")</f>
        <v/>
      </c>
      <c r="M230" s="45"/>
      <c r="N230" s="45">
        <f>countif(Constants!F:F,F230)</f>
        <v>1</v>
      </c>
      <c r="O230" s="21" t="str">
        <f>ifna(VLOOKUP(A230,Constants!D:D,1,false),"")</f>
        <v>neutron mag. mom. to nuclear magneton ratio</v>
      </c>
    </row>
    <row r="231">
      <c r="A231" s="6" t="s">
        <v>1678</v>
      </c>
      <c r="B231" s="6" t="s">
        <v>3544</v>
      </c>
      <c r="C231" s="6" t="s">
        <v>3545</v>
      </c>
      <c r="D231" s="6" t="s">
        <v>538</v>
      </c>
      <c r="E231" s="42">
        <f>countif(Constants!F:F,F231)</f>
        <v>1</v>
      </c>
      <c r="F231" s="21" t="str">
        <f>ifna(VLOOKUP($A231,Constants!$D:$F,3,false),"")</f>
        <v>NeutronMass</v>
      </c>
      <c r="G231" s="43" t="str">
        <f t="shared" si="1"/>
        <v>1.674927471e-27</v>
      </c>
      <c r="H231" s="43">
        <f t="shared" si="2"/>
        <v>0</v>
      </c>
      <c r="I231" s="43" t="str">
        <f t="shared" si="3"/>
        <v>0.000000021e-27</v>
      </c>
      <c r="J231" s="43">
        <f t="shared" si="4"/>
        <v>0</v>
      </c>
      <c r="K231" s="43" t="b">
        <f t="shared" si="5"/>
        <v>0</v>
      </c>
      <c r="L231" s="21" t="str">
        <f>IFERROR(__xludf.DUMMYFUNCTION("if(regexmatch(B231,""e(.*)$""),regexextract(B231,""e(.*)$""),"""")"),"-27")</f>
        <v>-27</v>
      </c>
      <c r="M231" s="45"/>
      <c r="N231" s="45">
        <f>countif(Constants!F:F,F231)</f>
        <v>1</v>
      </c>
      <c r="O231" s="21" t="str">
        <f>ifna(VLOOKUP(A231,Constants!D:D,1,false),"")</f>
        <v>neutron mass</v>
      </c>
    </row>
    <row r="232">
      <c r="A232" s="6" t="s">
        <v>1682</v>
      </c>
      <c r="B232" s="6" t="s">
        <v>3546</v>
      </c>
      <c r="C232" s="6" t="s">
        <v>3547</v>
      </c>
      <c r="D232" s="6" t="s">
        <v>543</v>
      </c>
      <c r="E232" s="42">
        <f>countif(Constants!F:F,F232)</f>
        <v>1</v>
      </c>
      <c r="F232" s="21" t="str">
        <f>ifna(VLOOKUP($A232,Constants!$D:$F,3,false),"")</f>
        <v>NeutronMassEnergyEquivalent</v>
      </c>
      <c r="G232" s="43" t="str">
        <f t="shared" si="1"/>
        <v>1.505349739e-10</v>
      </c>
      <c r="H232" s="43">
        <f t="shared" si="2"/>
        <v>0.0000000001505349739</v>
      </c>
      <c r="I232" s="43" t="str">
        <f t="shared" si="3"/>
        <v>0.000000019e-10</v>
      </c>
      <c r="J232" s="43">
        <f t="shared" si="4"/>
        <v>0</v>
      </c>
      <c r="K232" s="43" t="b">
        <f t="shared" si="5"/>
        <v>0</v>
      </c>
      <c r="L232" s="21" t="str">
        <f>IFERROR(__xludf.DUMMYFUNCTION("if(regexmatch(B232,""e(.*)$""),regexextract(B232,""e(.*)$""),"""")"),"-10")</f>
        <v>-10</v>
      </c>
      <c r="M232" s="45"/>
      <c r="N232" s="45">
        <f>countif(Constants!F:F,F232)</f>
        <v>1</v>
      </c>
      <c r="O232" s="21" t="str">
        <f>ifna(VLOOKUP(A232,Constants!D:D,1,false),"")</f>
        <v>neutron mass energy equivalent</v>
      </c>
    </row>
    <row r="233">
      <c r="A233" s="6" t="s">
        <v>1686</v>
      </c>
      <c r="B233" s="6" t="s">
        <v>3548</v>
      </c>
      <c r="C233" s="6" t="s">
        <v>3549</v>
      </c>
      <c r="D233" s="6" t="s">
        <v>548</v>
      </c>
      <c r="E233" s="42">
        <f>countif(Constants!F:F,F233)</f>
        <v>1</v>
      </c>
      <c r="F233" s="21" t="str">
        <f>ifna(VLOOKUP($A233,Constants!$D:$F,3,false),"")</f>
        <v>NeutronMassEnergyEquivalentInMeV</v>
      </c>
      <c r="G233" s="43" t="str">
        <f t="shared" si="1"/>
        <v>939.5654133</v>
      </c>
      <c r="H233" s="43">
        <f t="shared" si="2"/>
        <v>939.5654133</v>
      </c>
      <c r="I233" s="43" t="str">
        <f t="shared" si="3"/>
        <v>0.0000058</v>
      </c>
      <c r="J233" s="43">
        <f t="shared" si="4"/>
        <v>0.0000058</v>
      </c>
      <c r="K233" s="43" t="b">
        <f t="shared" si="5"/>
        <v>0</v>
      </c>
      <c r="L233" s="21" t="str">
        <f>IFERROR(__xludf.DUMMYFUNCTION("if(regexmatch(B233,""e(.*)$""),regexextract(B233,""e(.*)$""),"""")"),"")</f>
        <v/>
      </c>
      <c r="M233" s="45"/>
      <c r="N233" s="45">
        <f>countif(Constants!F:F,F233)</f>
        <v>1</v>
      </c>
      <c r="O233" s="21" t="str">
        <f>ifna(VLOOKUP(A233,Constants!D:D,1,false),"")</f>
        <v>neutron mass energy equivalent in MeV</v>
      </c>
    </row>
    <row r="234">
      <c r="A234" s="6" t="s">
        <v>1689</v>
      </c>
      <c r="B234" s="6" t="s">
        <v>3550</v>
      </c>
      <c r="C234" s="6" t="s">
        <v>3065</v>
      </c>
      <c r="D234" s="6" t="s">
        <v>553</v>
      </c>
      <c r="E234" s="42">
        <f>countif(Constants!F:F,F234)</f>
        <v>1</v>
      </c>
      <c r="F234" s="21" t="str">
        <f>ifna(VLOOKUP($A234,Constants!$D:$F,3,false),"")</f>
        <v>NeutronMassInAtomicMassUnit</v>
      </c>
      <c r="G234" s="43" t="str">
        <f t="shared" si="1"/>
        <v>1.00866491588</v>
      </c>
      <c r="H234" s="43">
        <f t="shared" si="2"/>
        <v>1.008664916</v>
      </c>
      <c r="I234" s="43" t="str">
        <f t="shared" si="3"/>
        <v>0.00000000049</v>
      </c>
      <c r="J234" s="43">
        <f t="shared" si="4"/>
        <v>0.00000000049</v>
      </c>
      <c r="K234" s="43" t="b">
        <f t="shared" si="5"/>
        <v>0</v>
      </c>
      <c r="L234" s="21" t="str">
        <f>IFERROR(__xludf.DUMMYFUNCTION("if(regexmatch(B234,""e(.*)$""),regexextract(B234,""e(.*)$""),"""")"),"")</f>
        <v/>
      </c>
      <c r="M234" s="45"/>
      <c r="N234" s="45">
        <f>countif(Constants!F:F,F234)</f>
        <v>1</v>
      </c>
      <c r="O234" s="21" t="str">
        <f>ifna(VLOOKUP(A234,Constants!D:D,1,false),"")</f>
        <v>neutron mass in u</v>
      </c>
    </row>
    <row r="235">
      <c r="A235" s="6" t="s">
        <v>1692</v>
      </c>
      <c r="B235" s="6" t="s">
        <v>3551</v>
      </c>
      <c r="C235" s="6" t="s">
        <v>3552</v>
      </c>
      <c r="D235" s="6" t="s">
        <v>557</v>
      </c>
      <c r="E235" s="42">
        <f>countif(Constants!F:F,F235)</f>
        <v>1</v>
      </c>
      <c r="F235" s="21" t="str">
        <f>ifna(VLOOKUP($A235,Constants!$D:$F,3,false),"")</f>
        <v>NeutronMolarMass</v>
      </c>
      <c r="G235" s="43" t="str">
        <f t="shared" si="1"/>
        <v>1.00866491588e-3</v>
      </c>
      <c r="H235" s="43">
        <f t="shared" si="2"/>
        <v>0.001008664916</v>
      </c>
      <c r="I235" s="43" t="str">
        <f t="shared" si="3"/>
        <v>0.00000000049e-3</v>
      </c>
      <c r="J235" s="43">
        <f t="shared" si="4"/>
        <v>0</v>
      </c>
      <c r="K235" s="43" t="b">
        <f t="shared" si="5"/>
        <v>0</v>
      </c>
      <c r="L235" s="21" t="str">
        <f>IFERROR(__xludf.DUMMYFUNCTION("if(regexmatch(B235,""e(.*)$""),regexextract(B235,""e(.*)$""),"""")"),"-3")</f>
        <v>-3</v>
      </c>
      <c r="M235" s="45"/>
      <c r="N235" s="45">
        <f>countif(Constants!F:F,F235)</f>
        <v>1</v>
      </c>
      <c r="O235" s="21" t="str">
        <f>ifna(VLOOKUP(A235,Constants!D:D,1,false),"")</f>
        <v>neutron molar mass</v>
      </c>
    </row>
    <row r="236">
      <c r="A236" s="6" t="s">
        <v>1696</v>
      </c>
      <c r="B236" s="6" t="s">
        <v>3553</v>
      </c>
      <c r="C236" s="6" t="s">
        <v>2534</v>
      </c>
      <c r="E236" s="42">
        <f>countif(Constants!F:F,F236)</f>
        <v>1</v>
      </c>
      <c r="F236" s="21" t="str">
        <f>ifna(VLOOKUP($A236,Constants!$D:$F,3,false),"")</f>
        <v>NeutronMuonMassRatio</v>
      </c>
      <c r="G236" s="43" t="str">
        <f t="shared" si="1"/>
        <v>8.89248408</v>
      </c>
      <c r="H236" s="43">
        <f t="shared" si="2"/>
        <v>8.89248408</v>
      </c>
      <c r="I236" s="43" t="str">
        <f t="shared" si="3"/>
        <v>0.00000020</v>
      </c>
      <c r="J236" s="43">
        <f t="shared" si="4"/>
        <v>0.0000002</v>
      </c>
      <c r="K236" s="43" t="b">
        <f t="shared" si="5"/>
        <v>0</v>
      </c>
      <c r="L236" s="21" t="str">
        <f>IFERROR(__xludf.DUMMYFUNCTION("if(regexmatch(B236,""e(.*)$""),regexextract(B236,""e(.*)$""),"""")"),"")</f>
        <v/>
      </c>
      <c r="M236" s="45"/>
      <c r="N236" s="45">
        <f>countif(Constants!F:F,F236)</f>
        <v>1</v>
      </c>
      <c r="O236" s="21" t="str">
        <f>ifna(VLOOKUP(A236,Constants!D:D,1,false),"")</f>
        <v>neutron-muon mass ratio</v>
      </c>
    </row>
    <row r="237">
      <c r="A237" s="6" t="s">
        <v>1701</v>
      </c>
      <c r="B237" s="6" t="s">
        <v>3069</v>
      </c>
      <c r="C237" s="6" t="s">
        <v>2436</v>
      </c>
      <c r="E237" s="42">
        <f>countif(Constants!F:F,F237)</f>
        <v>1</v>
      </c>
      <c r="F237" s="21" t="str">
        <f>ifna(VLOOKUP($A237,Constants!$D:$F,3,false),"")</f>
        <v>NeutronProtonMagneticMomentRatio</v>
      </c>
      <c r="G237" s="43" t="str">
        <f t="shared" si="1"/>
        <v>-0.68497934</v>
      </c>
      <c r="H237" s="43">
        <f t="shared" si="2"/>
        <v>-0.68497934</v>
      </c>
      <c r="I237" s="43" t="str">
        <f t="shared" si="3"/>
        <v>0.00000016</v>
      </c>
      <c r="J237" s="43">
        <f t="shared" si="4"/>
        <v>0.00000016</v>
      </c>
      <c r="K237" s="43" t="b">
        <f t="shared" si="5"/>
        <v>0</v>
      </c>
      <c r="L237" s="21" t="str">
        <f>IFERROR(__xludf.DUMMYFUNCTION("if(regexmatch(B237,""e(.*)$""),regexextract(B237,""e(.*)$""),"""")"),"")</f>
        <v/>
      </c>
      <c r="M237" s="45"/>
      <c r="N237" s="45">
        <f>countif(Constants!F:F,F237)</f>
        <v>1</v>
      </c>
      <c r="O237" s="21" t="str">
        <f>ifna(VLOOKUP(A237,Constants!D:D,1,false),"")</f>
        <v>neutron-proton mag. mom. ratio</v>
      </c>
    </row>
    <row r="238">
      <c r="A238" s="6" t="s">
        <v>1706</v>
      </c>
      <c r="B238" s="6" t="s">
        <v>3554</v>
      </c>
      <c r="C238" s="6" t="s">
        <v>3555</v>
      </c>
      <c r="E238" s="42">
        <f>countif(Constants!F:F,F238)</f>
        <v>1</v>
      </c>
      <c r="F238" s="21" t="str">
        <f>ifna(VLOOKUP($A238,Constants!$D:$F,3,false),"")</f>
        <v>Neutron-ProtonMassDifference</v>
      </c>
      <c r="G238" s="43" t="str">
        <f t="shared" si="1"/>
        <v>2.30557377e-30</v>
      </c>
      <c r="H238" s="43">
        <f t="shared" si="2"/>
        <v>0</v>
      </c>
      <c r="I238" s="43" t="str">
        <f t="shared" si="3"/>
        <v>0.00000085e-30</v>
      </c>
      <c r="J238" s="43">
        <f t="shared" si="4"/>
        <v>0</v>
      </c>
      <c r="K238" s="43" t="b">
        <f t="shared" si="5"/>
        <v>0</v>
      </c>
      <c r="L238" s="21" t="str">
        <f>IFERROR(__xludf.DUMMYFUNCTION("if(regexmatch(B238,""e(.*)$""),regexextract(B238,""e(.*)$""),"""")"),"-30")</f>
        <v>-30</v>
      </c>
      <c r="M238" s="45"/>
      <c r="N238" s="45">
        <f>countif(Constants!F:F,F238)</f>
        <v>1</v>
      </c>
      <c r="O238" s="21" t="str">
        <f>ifna(VLOOKUP(A238,Constants!D:D,1,false),"")</f>
        <v>neutron-proton mass difference</v>
      </c>
    </row>
    <row r="239">
      <c r="A239" s="6" t="s">
        <v>1710</v>
      </c>
      <c r="B239" s="6" t="s">
        <v>3556</v>
      </c>
      <c r="C239" s="6" t="s">
        <v>3557</v>
      </c>
      <c r="E239" s="42">
        <f>countif(Constants!F:F,F239)</f>
        <v>1</v>
      </c>
      <c r="F239" s="21" t="str">
        <f>ifna(VLOOKUP($A239,Constants!$D:$F,3,false),"")</f>
        <v>Neutron-ProtonMassDifferenceEnergyEquivalent</v>
      </c>
      <c r="G239" s="43" t="str">
        <f t="shared" si="1"/>
        <v>2.07214637e-13</v>
      </c>
      <c r="H239" s="43">
        <f t="shared" si="2"/>
        <v>0</v>
      </c>
      <c r="I239" s="43" t="str">
        <f t="shared" si="3"/>
        <v>0.00000076e-13</v>
      </c>
      <c r="J239" s="43">
        <f t="shared" si="4"/>
        <v>0</v>
      </c>
      <c r="K239" s="43" t="b">
        <f t="shared" si="5"/>
        <v>0</v>
      </c>
      <c r="L239" s="21" t="str">
        <f>IFERROR(__xludf.DUMMYFUNCTION("if(regexmatch(B239,""e(.*)$""),regexextract(B239,""e(.*)$""),"""")"),"-13")</f>
        <v>-13</v>
      </c>
      <c r="M239" s="45"/>
      <c r="N239" s="45">
        <f>countif(Constants!F:F,F239)</f>
        <v>1</v>
      </c>
      <c r="O239" s="21" t="str">
        <f>ifna(VLOOKUP(A239,Constants!D:D,1,false),"")</f>
        <v>neutron-proton mass difference energy equivalent</v>
      </c>
    </row>
    <row r="240">
      <c r="A240" s="6" t="s">
        <v>1714</v>
      </c>
      <c r="B240" s="6" t="s">
        <v>3558</v>
      </c>
      <c r="C240" s="6" t="s">
        <v>2583</v>
      </c>
      <c r="E240" s="42">
        <f>countif(Constants!F:F,F240)</f>
        <v>1</v>
      </c>
      <c r="F240" s="21" t="str">
        <f>ifna(VLOOKUP($A240,Constants!$D:$F,3,false),"")</f>
        <v>Neutron-ProtonMassDifferenceEnergyEquivalentInMev</v>
      </c>
      <c r="G240" s="43" t="str">
        <f t="shared" si="1"/>
        <v>1.29333205</v>
      </c>
      <c r="H240" s="43">
        <f t="shared" si="2"/>
        <v>1.29333205</v>
      </c>
      <c r="I240" s="43" t="str">
        <f t="shared" si="3"/>
        <v>0.00000048</v>
      </c>
      <c r="J240" s="43">
        <f t="shared" si="4"/>
        <v>0.00000048</v>
      </c>
      <c r="K240" s="43" t="b">
        <f t="shared" si="5"/>
        <v>0</v>
      </c>
      <c r="L240" s="21" t="str">
        <f>IFERROR(__xludf.DUMMYFUNCTION("if(regexmatch(B240,""e(.*)$""),regexextract(B240,""e(.*)$""),"""")"),"")</f>
        <v/>
      </c>
      <c r="M240" s="45"/>
      <c r="N240" s="45">
        <f>countif(Constants!F:F,F240)</f>
        <v>1</v>
      </c>
      <c r="O240" s="21" t="str">
        <f>ifna(VLOOKUP(A240,Constants!D:D,1,false),"")</f>
        <v>neutron-proton mass difference energy equivalent in MeV</v>
      </c>
    </row>
    <row r="241">
      <c r="A241" s="6" t="s">
        <v>1717</v>
      </c>
      <c r="B241" s="6" t="s">
        <v>3559</v>
      </c>
      <c r="C241" s="6" t="s">
        <v>3560</v>
      </c>
      <c r="E241" s="42">
        <f>countif(Constants!F:F,F241)</f>
        <v>1</v>
      </c>
      <c r="F241" s="21" t="str">
        <f>ifna(VLOOKUP($A241,Constants!$D:$F,3,false),"")</f>
        <v>Neutron-ProtonMassDifferenceInU</v>
      </c>
      <c r="G241" s="43" t="str">
        <f t="shared" si="1"/>
        <v>0.00138844900</v>
      </c>
      <c r="H241" s="43">
        <f t="shared" si="2"/>
        <v>0.001388449</v>
      </c>
      <c r="I241" s="43" t="str">
        <f t="shared" si="3"/>
        <v>0.00000000051</v>
      </c>
      <c r="J241" s="43">
        <f t="shared" si="4"/>
        <v>0.00000000051</v>
      </c>
      <c r="K241" s="43" t="b">
        <f t="shared" si="5"/>
        <v>0</v>
      </c>
      <c r="L241" s="21" t="str">
        <f>IFERROR(__xludf.DUMMYFUNCTION("if(regexmatch(B241,""e(.*)$""),regexextract(B241,""e(.*)$""),"""")"),"")</f>
        <v/>
      </c>
      <c r="M241" s="45"/>
      <c r="N241" s="45">
        <f>countif(Constants!F:F,F241)</f>
        <v>1</v>
      </c>
      <c r="O241" s="21" t="str">
        <f>ifna(VLOOKUP(A241,Constants!D:D,1,false),"")</f>
        <v>neutron-proton mass difference in u</v>
      </c>
    </row>
    <row r="242">
      <c r="A242" s="6" t="s">
        <v>1719</v>
      </c>
      <c r="B242" s="6" t="s">
        <v>3561</v>
      </c>
      <c r="C242" s="6" t="s">
        <v>3560</v>
      </c>
      <c r="E242" s="42">
        <f>countif(Constants!F:F,F242)</f>
        <v>1</v>
      </c>
      <c r="F242" s="21" t="str">
        <f>ifna(VLOOKUP($A242,Constants!$D:$F,3,false),"")</f>
        <v>NeutronProtonMassRatio</v>
      </c>
      <c r="G242" s="43" t="str">
        <f t="shared" si="1"/>
        <v>1.00137841898</v>
      </c>
      <c r="H242" s="43">
        <f t="shared" si="2"/>
        <v>1.001378419</v>
      </c>
      <c r="I242" s="43" t="str">
        <f t="shared" si="3"/>
        <v>0.00000000051</v>
      </c>
      <c r="J242" s="43">
        <f t="shared" si="4"/>
        <v>0.00000000051</v>
      </c>
      <c r="K242" s="43" t="b">
        <f t="shared" si="5"/>
        <v>0</v>
      </c>
      <c r="L242" s="21" t="str">
        <f>IFERROR(__xludf.DUMMYFUNCTION("if(regexmatch(B242,""e(.*)$""),regexextract(B242,""e(.*)$""),"""")"),"")</f>
        <v/>
      </c>
      <c r="M242" s="45"/>
      <c r="N242" s="45">
        <f>countif(Constants!F:F,F242)</f>
        <v>1</v>
      </c>
      <c r="O242" s="21" t="str">
        <f>ifna(VLOOKUP(A242,Constants!D:D,1,false),"")</f>
        <v>neutron-proton mass ratio</v>
      </c>
    </row>
    <row r="243">
      <c r="A243" s="6" t="s">
        <v>1727</v>
      </c>
      <c r="B243" s="6" t="s">
        <v>3562</v>
      </c>
      <c r="C243" s="6" t="s">
        <v>3563</v>
      </c>
      <c r="E243" s="42">
        <f>countif(Constants!F:F,F243)</f>
        <v>1</v>
      </c>
      <c r="F243" s="21" t="str">
        <f>ifna(VLOOKUP($A243,Constants!$D:$F,3,false),"")</f>
        <v>NeutronTauMassRatio</v>
      </c>
      <c r="G243" s="43" t="str">
        <f t="shared" si="1"/>
        <v>0.528790</v>
      </c>
      <c r="H243" s="43">
        <f t="shared" si="2"/>
        <v>0.52879</v>
      </c>
      <c r="I243" s="43" t="str">
        <f t="shared" si="3"/>
        <v>0.000048</v>
      </c>
      <c r="J243" s="43">
        <f t="shared" si="4"/>
        <v>0.000048</v>
      </c>
      <c r="K243" s="43" t="b">
        <f t="shared" si="5"/>
        <v>0</v>
      </c>
      <c r="L243" s="21" t="str">
        <f>IFERROR(__xludf.DUMMYFUNCTION("if(regexmatch(B243,""e(.*)$""),regexextract(B243,""e(.*)$""),"""")"),"")</f>
        <v/>
      </c>
      <c r="M243" s="45"/>
      <c r="N243" s="45">
        <f>countif(Constants!F:F,F243)</f>
        <v>1</v>
      </c>
      <c r="O243" s="21" t="str">
        <f>ifna(VLOOKUP(A243,Constants!D:D,1,false),"")</f>
        <v>neutron-tau mass ratio</v>
      </c>
    </row>
    <row r="244">
      <c r="A244" s="6" t="s">
        <v>1732</v>
      </c>
      <c r="B244" s="6" t="s">
        <v>3080</v>
      </c>
      <c r="C244" s="6" t="s">
        <v>2436</v>
      </c>
      <c r="E244" s="42">
        <f>countif(Constants!F:F,F244)</f>
        <v>1</v>
      </c>
      <c r="F244" s="21" t="str">
        <f>ifna(VLOOKUP($A244,Constants!$D:$F,3,false),"")</f>
        <v>NeutronToShieldedProtonMagneticMomentRatio</v>
      </c>
      <c r="G244" s="43" t="str">
        <f t="shared" si="1"/>
        <v>-0.68499694</v>
      </c>
      <c r="H244" s="43">
        <f t="shared" si="2"/>
        <v>-0.68499694</v>
      </c>
      <c r="I244" s="43" t="str">
        <f t="shared" si="3"/>
        <v>0.00000016</v>
      </c>
      <c r="J244" s="43">
        <f t="shared" si="4"/>
        <v>0.00000016</v>
      </c>
      <c r="K244" s="43" t="b">
        <f t="shared" si="5"/>
        <v>0</v>
      </c>
      <c r="L244" s="21" t="str">
        <f>IFERROR(__xludf.DUMMYFUNCTION("if(regexmatch(B244,""e(.*)$""),regexextract(B244,""e(.*)$""),"""")"),"")</f>
        <v/>
      </c>
      <c r="M244" s="45"/>
      <c r="N244" s="45">
        <f>countif(Constants!F:F,F244)</f>
        <v>1</v>
      </c>
      <c r="O244" s="21" t="str">
        <f>ifna(VLOOKUP(A244,Constants!D:D,1,false),"")</f>
        <v>neutron to shielded proton mag. mom. ratio</v>
      </c>
    </row>
    <row r="245">
      <c r="A245" s="6" t="s">
        <v>1737</v>
      </c>
      <c r="B245" s="6" t="s">
        <v>3564</v>
      </c>
      <c r="C245" s="6" t="s">
        <v>3565</v>
      </c>
      <c r="D245" s="6" t="s">
        <v>1738</v>
      </c>
      <c r="E245" s="42">
        <f>countif(Constants!F:F,F245)</f>
        <v>1</v>
      </c>
      <c r="F245" s="21" t="str">
        <f>ifna(VLOOKUP($A245,Constants!$D:$F,3,false),"")</f>
        <v>NewtonianConstantOfGravitation</v>
      </c>
      <c r="G245" s="43" t="str">
        <f t="shared" si="1"/>
        <v>6.67408e-11</v>
      </c>
      <c r="H245" s="43">
        <f t="shared" si="2"/>
        <v>0</v>
      </c>
      <c r="I245" s="43" t="str">
        <f t="shared" si="3"/>
        <v>0.00031e-11</v>
      </c>
      <c r="J245" s="43">
        <f t="shared" si="4"/>
        <v>0</v>
      </c>
      <c r="K245" s="43" t="b">
        <f t="shared" si="5"/>
        <v>0</v>
      </c>
      <c r="L245" s="21" t="str">
        <f>IFERROR(__xludf.DUMMYFUNCTION("if(regexmatch(B245,""e(.*)$""),regexextract(B245,""e(.*)$""),"""")"),"-11")</f>
        <v>-11</v>
      </c>
      <c r="M245" s="45"/>
      <c r="N245" s="45">
        <f>countif(Constants!F:F,F245)</f>
        <v>1</v>
      </c>
      <c r="O245" s="21" t="str">
        <f>ifna(VLOOKUP(A245,Constants!D:D,1,false),"")</f>
        <v>Newtonian constant of gravitation</v>
      </c>
    </row>
    <row r="246">
      <c r="A246" s="6" t="s">
        <v>1744</v>
      </c>
      <c r="B246" s="6" t="s">
        <v>3566</v>
      </c>
      <c r="C246" s="6" t="s">
        <v>3567</v>
      </c>
      <c r="D246" s="6" t="s">
        <v>1745</v>
      </c>
      <c r="E246" s="42">
        <f>countif(Constants!F:F,F246)</f>
        <v>1</v>
      </c>
      <c r="F246" s="21" t="str">
        <f>ifna(VLOOKUP($A246,Constants!$D:$F,3,false),"")</f>
        <v>NewtonianConstantOfGravitationOverHBarC</v>
      </c>
      <c r="G246" s="43" t="str">
        <f t="shared" si="1"/>
        <v>6.70861e-39</v>
      </c>
      <c r="H246" s="43">
        <f t="shared" si="2"/>
        <v>0</v>
      </c>
      <c r="I246" s="43" t="str">
        <f t="shared" si="3"/>
        <v>0.00031e-39</v>
      </c>
      <c r="J246" s="43">
        <f t="shared" si="4"/>
        <v>0</v>
      </c>
      <c r="K246" s="43" t="b">
        <f t="shared" si="5"/>
        <v>0</v>
      </c>
      <c r="L246" s="21" t="str">
        <f>IFERROR(__xludf.DUMMYFUNCTION("if(regexmatch(B246,""e(.*)$""),regexextract(B246,""e(.*)$""),"""")"),"-39")</f>
        <v>-39</v>
      </c>
      <c r="M246" s="45"/>
      <c r="N246" s="45">
        <f>countif(Constants!F:F,F246)</f>
        <v>1</v>
      </c>
      <c r="O246" s="21" t="str">
        <f>ifna(VLOOKUP(A246,Constants!D:D,1,false),"")</f>
        <v>Newtonian constant of gravitation over h-bar c</v>
      </c>
    </row>
    <row r="247">
      <c r="A247" s="6" t="s">
        <v>1750</v>
      </c>
      <c r="B247" s="6" t="s">
        <v>3568</v>
      </c>
      <c r="C247" s="6" t="s">
        <v>3569</v>
      </c>
      <c r="D247" s="6" t="s">
        <v>714</v>
      </c>
      <c r="E247" s="42">
        <f>countif(Constants!F:F,F247)</f>
        <v>1</v>
      </c>
      <c r="F247" s="21" t="str">
        <f>ifna(VLOOKUP($A247,Constants!$D:$F,3,false),"")</f>
        <v>NuclearMagneton</v>
      </c>
      <c r="G247" s="43" t="str">
        <f t="shared" si="1"/>
        <v>5.050783699e-27</v>
      </c>
      <c r="H247" s="43">
        <f t="shared" si="2"/>
        <v>0</v>
      </c>
      <c r="I247" s="43" t="str">
        <f t="shared" si="3"/>
        <v>0.000000031e-27</v>
      </c>
      <c r="J247" s="43">
        <f t="shared" si="4"/>
        <v>0</v>
      </c>
      <c r="K247" s="43" t="b">
        <f t="shared" si="5"/>
        <v>0</v>
      </c>
      <c r="L247" s="21" t="str">
        <f>IFERROR(__xludf.DUMMYFUNCTION("if(regexmatch(B247,""e(.*)$""),regexextract(B247,""e(.*)$""),"""")"),"-27")</f>
        <v>-27</v>
      </c>
      <c r="M247" s="45"/>
      <c r="N247" s="45">
        <f>countif(Constants!F:F,F247)</f>
        <v>1</v>
      </c>
      <c r="O247" s="21" t="str">
        <f>ifna(VLOOKUP(A247,Constants!D:D,1,false),"")</f>
        <v>nuclear magneton</v>
      </c>
    </row>
    <row r="248">
      <c r="A248" s="6" t="s">
        <v>1754</v>
      </c>
      <c r="B248" s="6" t="s">
        <v>3570</v>
      </c>
      <c r="C248" s="6" t="s">
        <v>3571</v>
      </c>
      <c r="D248" s="6" t="s">
        <v>769</v>
      </c>
      <c r="E248" s="42">
        <f>countif(Constants!F:F,F248)</f>
        <v>1</v>
      </c>
      <c r="F248" s="21" t="str">
        <f>ifna(VLOOKUP($A248,Constants!$D:$F,3,false),"")</f>
        <v>NuclearMagnetonInEVPerT</v>
      </c>
      <c r="G248" s="43" t="str">
        <f t="shared" si="1"/>
        <v>3.1524512550e-8</v>
      </c>
      <c r="H248" s="43">
        <f t="shared" si="2"/>
        <v>0.00000003152451255</v>
      </c>
      <c r="I248" s="43" t="str">
        <f t="shared" si="3"/>
        <v>0.0000000015e-8</v>
      </c>
      <c r="J248" s="43">
        <f t="shared" si="4"/>
        <v>0</v>
      </c>
      <c r="K248" s="43" t="b">
        <f t="shared" si="5"/>
        <v>0</v>
      </c>
      <c r="L248" s="21" t="str">
        <f>IFERROR(__xludf.DUMMYFUNCTION("if(regexmatch(B248,""e(.*)$""),regexextract(B248,""e(.*)$""),"""")"),"-8")</f>
        <v>-8</v>
      </c>
      <c r="M248" s="45"/>
      <c r="N248" s="45">
        <f>countif(Constants!F:F,F248)</f>
        <v>1</v>
      </c>
      <c r="O248" s="21" t="str">
        <f>ifna(VLOOKUP(A248,Constants!D:D,1,false),"")</f>
        <v>nuclear magneton in eV/T</v>
      </c>
    </row>
    <row r="249">
      <c r="A249" s="6" t="s">
        <v>3572</v>
      </c>
      <c r="B249" s="6" t="s">
        <v>3573</v>
      </c>
      <c r="C249" s="6" t="s">
        <v>3574</v>
      </c>
      <c r="D249" s="6" t="s">
        <v>779</v>
      </c>
      <c r="E249" s="42">
        <f>countif(Constants!F:F,F249)</f>
        <v>1</v>
      </c>
      <c r="F249" s="6" t="s">
        <v>3575</v>
      </c>
      <c r="G249" s="43" t="str">
        <f t="shared" si="1"/>
        <v>2.542623432e-2</v>
      </c>
      <c r="H249" s="43">
        <f t="shared" si="2"/>
        <v>0.02542623432</v>
      </c>
      <c r="I249" s="43" t="str">
        <f t="shared" si="3"/>
        <v>0.000000016e-2</v>
      </c>
      <c r="J249" s="43">
        <f t="shared" si="4"/>
        <v>0.00000000016</v>
      </c>
      <c r="K249" s="43" t="b">
        <f t="shared" si="5"/>
        <v>0</v>
      </c>
      <c r="L249" s="21" t="str">
        <f>IFERROR(__xludf.DUMMYFUNCTION("if(regexmatch(B249,""e(.*)$""),regexextract(B249,""e(.*)$""),"""")"),"-2")</f>
        <v>-2</v>
      </c>
      <c r="M249" s="45"/>
      <c r="N249" s="45">
        <f>countif(Constants!F:F,F249)</f>
        <v>1</v>
      </c>
      <c r="O249" s="21" t="str">
        <f>ifna(VLOOKUP(A249,Constants!D:D,1,false),"")</f>
        <v/>
      </c>
    </row>
    <row r="250">
      <c r="A250" s="6" t="s">
        <v>1760</v>
      </c>
      <c r="B250" s="6" t="s">
        <v>3576</v>
      </c>
      <c r="C250" s="6" t="s">
        <v>3577</v>
      </c>
      <c r="D250" s="6" t="s">
        <v>784</v>
      </c>
      <c r="E250" s="42">
        <f>countif(Constants!F:F,F250)</f>
        <v>1</v>
      </c>
      <c r="F250" s="21" t="str">
        <f>ifna(VLOOKUP($A250,Constants!$D:$F,3,false),"")</f>
        <v>NuclearMagnetonInKPerT</v>
      </c>
      <c r="G250" s="43" t="str">
        <f t="shared" si="1"/>
        <v>3.6582690e-4</v>
      </c>
      <c r="H250" s="43">
        <f t="shared" si="2"/>
        <v>0.0003658269</v>
      </c>
      <c r="I250" s="43" t="str">
        <f t="shared" si="3"/>
        <v>0.0000021e-4</v>
      </c>
      <c r="J250" s="43">
        <f t="shared" si="4"/>
        <v>0.00000000021</v>
      </c>
      <c r="K250" s="43" t="b">
        <f t="shared" si="5"/>
        <v>0</v>
      </c>
      <c r="L250" s="21" t="str">
        <f>IFERROR(__xludf.DUMMYFUNCTION("if(regexmatch(B250,""e(.*)$""),regexextract(B250,""e(.*)$""),"""")"),"-4")</f>
        <v>-4</v>
      </c>
      <c r="M250" s="45"/>
      <c r="N250" s="45">
        <f>countif(Constants!F:F,F250)</f>
        <v>1</v>
      </c>
      <c r="O250" s="21" t="str">
        <f>ifna(VLOOKUP(A250,Constants!D:D,1,false),"")</f>
        <v>nuclear magneton in K/T</v>
      </c>
    </row>
    <row r="251">
      <c r="A251" s="6" t="s">
        <v>1763</v>
      </c>
      <c r="B251" s="6" t="s">
        <v>3578</v>
      </c>
      <c r="C251" s="6" t="s">
        <v>3579</v>
      </c>
      <c r="D251" s="6" t="s">
        <v>969</v>
      </c>
      <c r="E251" s="42">
        <f>countif(Constants!F:F,F251)</f>
        <v>1</v>
      </c>
      <c r="F251" s="21" t="str">
        <f>ifna(VLOOKUP($A251,Constants!$D:$F,3,false),"")</f>
        <v>NuclearMagnetonInMHzPerT</v>
      </c>
      <c r="G251" s="43" t="str">
        <f t="shared" si="1"/>
        <v>7.622593285</v>
      </c>
      <c r="H251" s="43">
        <f t="shared" si="2"/>
        <v>7.622593285</v>
      </c>
      <c r="I251" s="43" t="str">
        <f t="shared" si="3"/>
        <v>0.000000047</v>
      </c>
      <c r="J251" s="43">
        <f t="shared" si="4"/>
        <v>0.000000047</v>
      </c>
      <c r="K251" s="43" t="b">
        <f t="shared" si="5"/>
        <v>0</v>
      </c>
      <c r="L251" s="21" t="str">
        <f>IFERROR(__xludf.DUMMYFUNCTION("if(regexmatch(B251,""e(.*)$""),regexextract(B251,""e(.*)$""),"""")"),"")</f>
        <v/>
      </c>
      <c r="M251" s="45"/>
      <c r="N251" s="45">
        <f>countif(Constants!F:F,F251)</f>
        <v>1</v>
      </c>
      <c r="O251" s="21" t="str">
        <f>ifna(VLOOKUP(A251,Constants!D:D,1,false),"")</f>
        <v>nuclear magneton in MHz/T</v>
      </c>
    </row>
    <row r="252">
      <c r="A252" s="6" t="s">
        <v>1766</v>
      </c>
      <c r="B252" s="6" t="s">
        <v>3426</v>
      </c>
      <c r="C252" s="6" t="s">
        <v>3427</v>
      </c>
      <c r="D252" s="6" t="s">
        <v>643</v>
      </c>
      <c r="E252" s="42">
        <f>countif(Constants!F:F,F252)</f>
        <v>1</v>
      </c>
      <c r="F252" s="21" t="str">
        <f>ifna(VLOOKUP($A252,Constants!$D:$F,3,false),"")</f>
        <v>PlanckConstant</v>
      </c>
      <c r="G252" s="43" t="str">
        <f t="shared" si="1"/>
        <v>6.626070040e-34</v>
      </c>
      <c r="H252" s="43">
        <f t="shared" si="2"/>
        <v>0</v>
      </c>
      <c r="I252" s="43" t="str">
        <f t="shared" si="3"/>
        <v>0.000000081e-34</v>
      </c>
      <c r="J252" s="43">
        <f t="shared" si="4"/>
        <v>0</v>
      </c>
      <c r="K252" s="43" t="b">
        <f t="shared" si="5"/>
        <v>0</v>
      </c>
      <c r="L252" s="21" t="str">
        <f>IFERROR(__xludf.DUMMYFUNCTION("if(regexmatch(B252,""e(.*)$""),regexextract(B252,""e(.*)$""),"""")"),"-34")</f>
        <v>-34</v>
      </c>
      <c r="M252" s="45"/>
      <c r="N252" s="45">
        <f>countif(Constants!F:F,F252)</f>
        <v>1</v>
      </c>
      <c r="O252" s="21" t="str">
        <f>ifna(VLOOKUP(A252,Constants!D:D,1,false),"")</f>
        <v>Planck constant</v>
      </c>
    </row>
    <row r="253">
      <c r="A253" s="6" t="s">
        <v>3580</v>
      </c>
      <c r="B253" s="6" t="s">
        <v>3422</v>
      </c>
      <c r="C253" s="6" t="s">
        <v>3423</v>
      </c>
      <c r="D253" s="6" t="s">
        <v>1598</v>
      </c>
      <c r="E253" s="42">
        <f>countif(Constants!F:F,F253)</f>
        <v>1</v>
      </c>
      <c r="F253" s="6" t="s">
        <v>3581</v>
      </c>
      <c r="G253" s="43" t="str">
        <f t="shared" si="1"/>
        <v>4.135667662e-15</v>
      </c>
      <c r="H253" s="43">
        <f t="shared" si="2"/>
        <v>0</v>
      </c>
      <c r="I253" s="43" t="str">
        <f t="shared" si="3"/>
        <v>0.000000025e-15</v>
      </c>
      <c r="J253" s="43">
        <f t="shared" si="4"/>
        <v>0</v>
      </c>
      <c r="K253" s="43" t="b">
        <f t="shared" si="5"/>
        <v>0</v>
      </c>
      <c r="L253" s="21" t="str">
        <f>IFERROR(__xludf.DUMMYFUNCTION("if(regexmatch(B253,""e(.*)$""),regexextract(B253,""e(.*)$""),"""")"),"-15")</f>
        <v>-15</v>
      </c>
      <c r="M253" s="45"/>
      <c r="N253" s="45">
        <f>countif(Constants!F:F,F253)</f>
        <v>1</v>
      </c>
      <c r="O253" s="21" t="str">
        <f>ifna(VLOOKUP(A253,Constants!D:D,1,false),"")</f>
        <v/>
      </c>
    </row>
    <row r="254">
      <c r="A254" s="6" t="s">
        <v>1908</v>
      </c>
      <c r="B254" s="6" t="s">
        <v>3239</v>
      </c>
      <c r="C254" s="6" t="s">
        <v>3240</v>
      </c>
      <c r="D254" s="6" t="s">
        <v>643</v>
      </c>
      <c r="E254" s="42">
        <f>countif(Constants!F:F,F254)</f>
        <v>1</v>
      </c>
      <c r="F254" s="13" t="s">
        <v>3582</v>
      </c>
      <c r="G254" s="43" t="str">
        <f t="shared" si="1"/>
        <v>1.054571800e-34</v>
      </c>
      <c r="H254" s="43">
        <f t="shared" si="2"/>
        <v>0</v>
      </c>
      <c r="I254" s="43" t="str">
        <f t="shared" si="3"/>
        <v>0.000000013e-34</v>
      </c>
      <c r="J254" s="43">
        <f t="shared" si="4"/>
        <v>0</v>
      </c>
      <c r="K254" s="43" t="b">
        <f t="shared" si="5"/>
        <v>0</v>
      </c>
      <c r="L254" s="21" t="str">
        <f>IFERROR(__xludf.DUMMYFUNCTION("if(regexmatch(B254,""e(.*)$""),regexextract(B254,""e(.*)$""),"""")"),"-34")</f>
        <v>-34</v>
      </c>
      <c r="M254" s="45"/>
      <c r="N254" s="45">
        <f>countif(Constants!F:F,F254)</f>
        <v>1</v>
      </c>
      <c r="O254" s="21" t="str">
        <f>ifna(VLOOKUP(A254,Constants!D:D,1,false),"")</f>
        <v/>
      </c>
    </row>
    <row r="255">
      <c r="A255" s="6" t="s">
        <v>1912</v>
      </c>
      <c r="B255" s="6" t="s">
        <v>3524</v>
      </c>
      <c r="C255" s="6" t="s">
        <v>3525</v>
      </c>
      <c r="D255" s="6" t="s">
        <v>1598</v>
      </c>
      <c r="E255" s="42">
        <f>countif(Constants!F:F,F255)</f>
        <v>1</v>
      </c>
      <c r="F255" s="13" t="s">
        <v>3583</v>
      </c>
      <c r="G255" s="43" t="str">
        <f t="shared" si="1"/>
        <v>6.582119514e-16</v>
      </c>
      <c r="H255" s="43">
        <f t="shared" si="2"/>
        <v>0</v>
      </c>
      <c r="I255" s="43" t="str">
        <f t="shared" si="3"/>
        <v>0.000000040e-16</v>
      </c>
      <c r="J255" s="43">
        <f t="shared" si="4"/>
        <v>0</v>
      </c>
      <c r="K255" s="43" t="b">
        <f t="shared" si="5"/>
        <v>0</v>
      </c>
      <c r="L255" s="21" t="str">
        <f>IFERROR(__xludf.DUMMYFUNCTION("if(regexmatch(B255,""e(.*)$""),regexextract(B255,""e(.*)$""),"""")"),"-16")</f>
        <v>-16</v>
      </c>
      <c r="M255" s="45"/>
      <c r="N255" s="45">
        <f>countif(Constants!F:F,F255)</f>
        <v>1</v>
      </c>
      <c r="O255" s="21" t="str">
        <f>ifna(VLOOKUP(A255,Constants!D:D,1,false),"")</f>
        <v/>
      </c>
    </row>
    <row r="256">
      <c r="A256" s="6" t="s">
        <v>1919</v>
      </c>
      <c r="B256" s="6" t="s">
        <v>3584</v>
      </c>
      <c r="C256" s="6" t="s">
        <v>2229</v>
      </c>
      <c r="D256" s="6" t="s">
        <v>1916</v>
      </c>
      <c r="E256" s="42">
        <f>countif(Constants!F:F,F256)</f>
        <v>1</v>
      </c>
      <c r="F256" s="13" t="s">
        <v>3585</v>
      </c>
      <c r="G256" s="43" t="str">
        <f t="shared" si="1"/>
        <v>197.3269788</v>
      </c>
      <c r="H256" s="43">
        <f t="shared" si="2"/>
        <v>197.3269788</v>
      </c>
      <c r="I256" s="43" t="str">
        <f t="shared" si="3"/>
        <v>0.0000012</v>
      </c>
      <c r="J256" s="43">
        <f t="shared" si="4"/>
        <v>0.0000012</v>
      </c>
      <c r="K256" s="43" t="b">
        <f t="shared" si="5"/>
        <v>0</v>
      </c>
      <c r="L256" s="21" t="str">
        <f>IFERROR(__xludf.DUMMYFUNCTION("if(regexmatch(B256,""e(.*)$""),regexextract(B256,""e(.*)$""),"""")"),"")</f>
        <v/>
      </c>
      <c r="M256" s="45"/>
      <c r="N256" s="45">
        <f>countif(Constants!F:F,F256)</f>
        <v>1</v>
      </c>
      <c r="O256" s="21" t="str">
        <f>ifna(VLOOKUP(A256,Constants!D:D,1,false),"")</f>
        <v/>
      </c>
    </row>
    <row r="257">
      <c r="A257" s="6" t="s">
        <v>1777</v>
      </c>
      <c r="B257" s="6" t="s">
        <v>3586</v>
      </c>
      <c r="C257" s="6" t="s">
        <v>3587</v>
      </c>
      <c r="D257" s="6" t="s">
        <v>571</v>
      </c>
      <c r="E257" s="42">
        <f>countif(Constants!F:F,F257)</f>
        <v>1</v>
      </c>
      <c r="F257" s="21" t="str">
        <f>ifna(VLOOKUP($A257,Constants!$D:$F,3,false),"")</f>
        <v>PlanckLength</v>
      </c>
      <c r="G257" s="43" t="str">
        <f t="shared" si="1"/>
        <v>1.616229e-35</v>
      </c>
      <c r="H257" s="43">
        <f t="shared" si="2"/>
        <v>0</v>
      </c>
      <c r="I257" s="43" t="str">
        <f t="shared" si="3"/>
        <v>0.000038e-35</v>
      </c>
      <c r="J257" s="43">
        <f t="shared" si="4"/>
        <v>0</v>
      </c>
      <c r="K257" s="43" t="b">
        <f t="shared" si="5"/>
        <v>0</v>
      </c>
      <c r="L257" s="21" t="str">
        <f>IFERROR(__xludf.DUMMYFUNCTION("if(regexmatch(B257,""e(.*)$""),regexextract(B257,""e(.*)$""),"""")"),"-35")</f>
        <v>-35</v>
      </c>
      <c r="M257" s="45"/>
      <c r="N257" s="45">
        <f>countif(Constants!F:F,F257)</f>
        <v>1</v>
      </c>
      <c r="O257" s="21" t="str">
        <f>ifna(VLOOKUP(A257,Constants!D:D,1,false),"")</f>
        <v>Planck length</v>
      </c>
    </row>
    <row r="258">
      <c r="A258" s="6" t="s">
        <v>1781</v>
      </c>
      <c r="B258" s="6" t="s">
        <v>3588</v>
      </c>
      <c r="C258" s="6" t="s">
        <v>3589</v>
      </c>
      <c r="D258" s="6" t="s">
        <v>538</v>
      </c>
      <c r="E258" s="42">
        <f>countif(Constants!F:F,F258)</f>
        <v>1</v>
      </c>
      <c r="F258" s="21" t="str">
        <f>ifna(VLOOKUP($A258,Constants!$D:$F,3,false),"")</f>
        <v>PlanckMass</v>
      </c>
      <c r="G258" s="43" t="str">
        <f t="shared" si="1"/>
        <v>2.176470e-8</v>
      </c>
      <c r="H258" s="43">
        <f t="shared" si="2"/>
        <v>0.0000000217647</v>
      </c>
      <c r="I258" s="43" t="str">
        <f t="shared" si="3"/>
        <v>0.000051e-8</v>
      </c>
      <c r="J258" s="43">
        <f t="shared" si="4"/>
        <v>0</v>
      </c>
      <c r="K258" s="43" t="b">
        <f t="shared" si="5"/>
        <v>0</v>
      </c>
      <c r="L258" s="21" t="str">
        <f>IFERROR(__xludf.DUMMYFUNCTION("if(regexmatch(B258,""e(.*)$""),regexextract(B258,""e(.*)$""),"""")"),"-8")</f>
        <v>-8</v>
      </c>
      <c r="M258" s="45"/>
      <c r="N258" s="45">
        <f>countif(Constants!F:F,F258)</f>
        <v>1</v>
      </c>
      <c r="O258" s="21" t="str">
        <f>ifna(VLOOKUP(A258,Constants!D:D,1,false),"")</f>
        <v>Planck mass</v>
      </c>
    </row>
    <row r="259">
      <c r="A259" s="6" t="s">
        <v>1785</v>
      </c>
      <c r="B259" s="6" t="s">
        <v>3590</v>
      </c>
      <c r="C259" s="6" t="s">
        <v>3591</v>
      </c>
      <c r="D259" s="6" t="s">
        <v>1786</v>
      </c>
      <c r="E259" s="42">
        <f>countif(Constants!F:F,F259)</f>
        <v>1</v>
      </c>
      <c r="F259" s="21" t="str">
        <f>ifna(VLOOKUP($A259,Constants!$D:$F,3,false),"")</f>
        <v>PlanckMassEnergyEquivalentInGeV</v>
      </c>
      <c r="G259" s="43" t="str">
        <f t="shared" si="1"/>
        <v>1.220910e19</v>
      </c>
      <c r="H259" s="43">
        <f t="shared" si="2"/>
        <v>1.22091E+19</v>
      </c>
      <c r="I259" s="43" t="str">
        <f t="shared" si="3"/>
        <v>0.000029e19</v>
      </c>
      <c r="J259" s="43">
        <f t="shared" si="4"/>
        <v>290000000000000</v>
      </c>
      <c r="K259" s="43" t="b">
        <f t="shared" si="5"/>
        <v>0</v>
      </c>
      <c r="L259" s="21" t="str">
        <f>IFERROR(__xludf.DUMMYFUNCTION("if(regexmatch(B259,""e(.*)$""),regexextract(B259,""e(.*)$""),"""")"),"19")</f>
        <v>19</v>
      </c>
      <c r="M259" s="45"/>
      <c r="N259" s="45">
        <f>countif(Constants!F:F,F259)</f>
        <v>1</v>
      </c>
      <c r="O259" s="21" t="str">
        <f>ifna(VLOOKUP(A259,Constants!D:D,1,false),"")</f>
        <v>Planck mass energy equivalent in GeV</v>
      </c>
    </row>
    <row r="260">
      <c r="A260" s="6" t="s">
        <v>1790</v>
      </c>
      <c r="B260" s="6" t="s">
        <v>3592</v>
      </c>
      <c r="C260" s="6" t="s">
        <v>3593</v>
      </c>
      <c r="D260" s="6" t="s">
        <v>618</v>
      </c>
      <c r="E260" s="42">
        <f>countif(Constants!F:F,F260)</f>
        <v>1</v>
      </c>
      <c r="F260" s="21" t="str">
        <f>ifna(VLOOKUP($A260,Constants!$D:$F,3,false),"")</f>
        <v>PlanckTemperature</v>
      </c>
      <c r="G260" s="43" t="str">
        <f t="shared" si="1"/>
        <v>1.416808e32</v>
      </c>
      <c r="H260" s="43">
        <f t="shared" si="2"/>
        <v>1.41681E+32</v>
      </c>
      <c r="I260" s="43" t="str">
        <f t="shared" si="3"/>
        <v>0.000033e32</v>
      </c>
      <c r="J260" s="43">
        <f t="shared" si="4"/>
        <v>3.3E+27</v>
      </c>
      <c r="K260" s="43" t="b">
        <f t="shared" si="5"/>
        <v>0</v>
      </c>
      <c r="L260" s="21" t="str">
        <f>IFERROR(__xludf.DUMMYFUNCTION("if(regexmatch(B260,""e(.*)$""),regexextract(B260,""e(.*)$""),"""")"),"32")</f>
        <v>32</v>
      </c>
      <c r="M260" s="45"/>
      <c r="N260" s="45">
        <f>countif(Constants!F:F,F260)</f>
        <v>1</v>
      </c>
      <c r="O260" s="21" t="str">
        <f>ifna(VLOOKUP(A260,Constants!D:D,1,false),"")</f>
        <v>Planck temperature</v>
      </c>
    </row>
    <row r="261">
      <c r="A261" s="6" t="s">
        <v>1795</v>
      </c>
      <c r="B261" s="6" t="s">
        <v>3594</v>
      </c>
      <c r="C261" s="6" t="s">
        <v>3595</v>
      </c>
      <c r="D261" s="6" t="s">
        <v>749</v>
      </c>
      <c r="E261" s="42">
        <f>countif(Constants!F:F,F261)</f>
        <v>1</v>
      </c>
      <c r="F261" s="21" t="str">
        <f>ifna(VLOOKUP($A261,Constants!$D:$F,3,false),"")</f>
        <v>PlanckTime</v>
      </c>
      <c r="G261" s="43" t="str">
        <f t="shared" si="1"/>
        <v>5.39116e-44</v>
      </c>
      <c r="H261" s="43">
        <f t="shared" si="2"/>
        <v>0</v>
      </c>
      <c r="I261" s="43" t="str">
        <f t="shared" si="3"/>
        <v>0.00013e-44</v>
      </c>
      <c r="J261" s="43">
        <f t="shared" si="4"/>
        <v>0</v>
      </c>
      <c r="K261" s="43" t="b">
        <f t="shared" si="5"/>
        <v>0</v>
      </c>
      <c r="L261" s="21" t="str">
        <f>IFERROR(__xludf.DUMMYFUNCTION("if(regexmatch(B261,""e(.*)$""),regexextract(B261,""e(.*)$""),"""")"),"-44")</f>
        <v>-44</v>
      </c>
      <c r="M261" s="45"/>
      <c r="N261" s="45">
        <f>countif(Constants!F:F,F261)</f>
        <v>1</v>
      </c>
      <c r="O261" s="21" t="str">
        <f>ifna(VLOOKUP(A261,Constants!D:D,1,false),"")</f>
        <v>Planck time</v>
      </c>
    </row>
    <row r="262">
      <c r="A262" s="6" t="s">
        <v>1799</v>
      </c>
      <c r="B262" s="6" t="s">
        <v>3596</v>
      </c>
      <c r="C262" s="6" t="s">
        <v>3597</v>
      </c>
      <c r="D262" s="6" t="s">
        <v>941</v>
      </c>
      <c r="E262" s="42">
        <f>countif(Constants!F:F,F262)</f>
        <v>1</v>
      </c>
      <c r="F262" s="21" t="str">
        <f>ifna(VLOOKUP($A262,Constants!$D:$F,3,false),"")</f>
        <v>ProtonChargeToMassQuotient</v>
      </c>
      <c r="G262" s="43" t="str">
        <f t="shared" si="1"/>
        <v>9.578833226e7</v>
      </c>
      <c r="H262" s="43">
        <f t="shared" si="2"/>
        <v>95788332.26</v>
      </c>
      <c r="I262" s="43" t="str">
        <f t="shared" si="3"/>
        <v>0.000000059e7</v>
      </c>
      <c r="J262" s="43">
        <f t="shared" si="4"/>
        <v>0.59</v>
      </c>
      <c r="K262" s="43" t="b">
        <f t="shared" si="5"/>
        <v>0</v>
      </c>
      <c r="L262" s="21" t="str">
        <f>IFERROR(__xludf.DUMMYFUNCTION("if(regexmatch(B262,""e(.*)$""),regexextract(B262,""e(.*)$""),"""")"),"7")</f>
        <v>7</v>
      </c>
      <c r="M262" s="45"/>
      <c r="N262" s="45">
        <f>countif(Constants!F:F,F262)</f>
        <v>1</v>
      </c>
      <c r="O262" s="21" t="str">
        <f>ifna(VLOOKUP(A262,Constants!D:D,1,false),"")</f>
        <v>proton charge to mass quotient</v>
      </c>
    </row>
    <row r="263">
      <c r="A263" s="6" t="s">
        <v>1803</v>
      </c>
      <c r="B263" s="6" t="s">
        <v>3598</v>
      </c>
      <c r="C263" s="6" t="s">
        <v>3435</v>
      </c>
      <c r="D263" s="6" t="s">
        <v>571</v>
      </c>
      <c r="E263" s="42">
        <f>countif(Constants!F:F,F263)</f>
        <v>1</v>
      </c>
      <c r="F263" s="21" t="str">
        <f>ifna(VLOOKUP($A263,Constants!$D:$F,3,false),"")</f>
        <v>ProtonComptonWavelength</v>
      </c>
      <c r="G263" s="43" t="str">
        <f t="shared" si="1"/>
        <v>1.32140985396e-15</v>
      </c>
      <c r="H263" s="43">
        <f t="shared" si="2"/>
        <v>0</v>
      </c>
      <c r="I263" s="43" t="str">
        <f t="shared" si="3"/>
        <v>0.00000000061e-15</v>
      </c>
      <c r="J263" s="43">
        <f t="shared" si="4"/>
        <v>0</v>
      </c>
      <c r="K263" s="43" t="b">
        <f t="shared" si="5"/>
        <v>0</v>
      </c>
      <c r="L263" s="21" t="str">
        <f>IFERROR(__xludf.DUMMYFUNCTION("if(regexmatch(B263,""e(.*)$""),regexextract(B263,""e(.*)$""),"""")"),"-15")</f>
        <v>-15</v>
      </c>
      <c r="M263" s="45"/>
      <c r="N263" s="45">
        <f>countif(Constants!F:F,F263)</f>
        <v>1</v>
      </c>
      <c r="O263" s="21" t="str">
        <f>ifna(VLOOKUP(A263,Constants!D:D,1,false),"")</f>
        <v>proton Compton wavelength</v>
      </c>
    </row>
    <row r="264">
      <c r="A264" s="6" t="s">
        <v>1924</v>
      </c>
      <c r="B264" s="6" t="s">
        <v>3599</v>
      </c>
      <c r="C264" s="6" t="s">
        <v>3600</v>
      </c>
      <c r="D264" s="6" t="s">
        <v>571</v>
      </c>
      <c r="E264" s="42">
        <f>countif(Constants!F:F,F264)</f>
        <v>1</v>
      </c>
      <c r="F264" s="13" t="s">
        <v>3601</v>
      </c>
      <c r="G264" s="43" t="str">
        <f t="shared" si="1"/>
        <v>0.210308910109e-15</v>
      </c>
      <c r="H264" s="43">
        <f t="shared" si="2"/>
        <v>0</v>
      </c>
      <c r="I264" s="43" t="str">
        <f t="shared" si="3"/>
        <v>0.000000000097e-15</v>
      </c>
      <c r="J264" s="43">
        <f t="shared" si="4"/>
        <v>0</v>
      </c>
      <c r="K264" s="43" t="b">
        <f t="shared" si="5"/>
        <v>0</v>
      </c>
      <c r="L264" s="21" t="str">
        <f>IFERROR(__xludf.DUMMYFUNCTION("if(regexmatch(B264,""e(.*)$""),regexextract(B264,""e(.*)$""),"""")"),"-15")</f>
        <v>-15</v>
      </c>
      <c r="M264" s="45"/>
      <c r="N264" s="45">
        <f>countif(Constants!F:F,F264)</f>
        <v>1</v>
      </c>
      <c r="O264" s="21" t="str">
        <f>ifna(VLOOKUP(A264,Constants!D:D,1,false),"")</f>
        <v/>
      </c>
    </row>
    <row r="265">
      <c r="A265" s="6" t="s">
        <v>1807</v>
      </c>
      <c r="B265" s="6" t="s">
        <v>3602</v>
      </c>
      <c r="C265" s="6" t="s">
        <v>2223</v>
      </c>
      <c r="E265" s="42">
        <f>countif(Constants!F:F,F265)</f>
        <v>1</v>
      </c>
      <c r="F265" s="21" t="str">
        <f>ifna(VLOOKUP($A265,Constants!$D:$F,3,false),"")</f>
        <v>ProtonElectronMassRatio</v>
      </c>
      <c r="G265" s="43" t="str">
        <f t="shared" si="1"/>
        <v>1836.15267389</v>
      </c>
      <c r="H265" s="43">
        <f t="shared" si="2"/>
        <v>1836.152674</v>
      </c>
      <c r="I265" s="43" t="str">
        <f t="shared" si="3"/>
        <v>0.00000017</v>
      </c>
      <c r="J265" s="43">
        <f t="shared" si="4"/>
        <v>0.00000017</v>
      </c>
      <c r="K265" s="43" t="b">
        <f t="shared" si="5"/>
        <v>0</v>
      </c>
      <c r="L265" s="21" t="str">
        <f>IFERROR(__xludf.DUMMYFUNCTION("if(regexmatch(B265,""e(.*)$""),regexextract(B265,""e(.*)$""),"""")"),"")</f>
        <v/>
      </c>
      <c r="M265" s="45"/>
      <c r="N265" s="45">
        <f>countif(Constants!F:F,F265)</f>
        <v>1</v>
      </c>
      <c r="O265" s="21" t="str">
        <f>ifna(VLOOKUP(A265,Constants!D:D,1,false),"")</f>
        <v>proton-electron mass ratio</v>
      </c>
    </row>
    <row r="266">
      <c r="A266" s="6" t="s">
        <v>1811</v>
      </c>
      <c r="B266" s="6" t="s">
        <v>3603</v>
      </c>
      <c r="C266" s="6" t="s">
        <v>3604</v>
      </c>
      <c r="E266" s="42">
        <f>countif(Constants!F:F,F266)</f>
        <v>1</v>
      </c>
      <c r="F266" s="21" t="str">
        <f>ifna(VLOOKUP($A266,Constants!$D:$F,3,false),"")</f>
        <v>ProtonGFactor</v>
      </c>
      <c r="G266" s="43" t="str">
        <f t="shared" si="1"/>
        <v>5.585694702</v>
      </c>
      <c r="H266" s="43">
        <f t="shared" si="2"/>
        <v>5.585694702</v>
      </c>
      <c r="I266" s="43" t="str">
        <f t="shared" si="3"/>
        <v>0.000000017</v>
      </c>
      <c r="J266" s="43">
        <f t="shared" si="4"/>
        <v>0.000000017</v>
      </c>
      <c r="K266" s="43" t="b">
        <f t="shared" si="5"/>
        <v>0</v>
      </c>
      <c r="L266" s="21" t="str">
        <f>IFERROR(__xludf.DUMMYFUNCTION("if(regexmatch(B266,""e(.*)$""),regexextract(B266,""e(.*)$""),"""")"),"")</f>
        <v/>
      </c>
      <c r="M266" s="45"/>
      <c r="N266" s="45">
        <f>countif(Constants!F:F,F266)</f>
        <v>1</v>
      </c>
      <c r="O266" s="21" t="str">
        <f>ifna(VLOOKUP(A266,Constants!D:D,1,false),"")</f>
        <v>proton g factor</v>
      </c>
    </row>
    <row r="267">
      <c r="A267" s="6" t="s">
        <v>1815</v>
      </c>
      <c r="B267" s="6" t="s">
        <v>3605</v>
      </c>
      <c r="C267" s="6" t="s">
        <v>3606</v>
      </c>
      <c r="D267" s="6" t="s">
        <v>961</v>
      </c>
      <c r="E267" s="42">
        <f>countif(Constants!F:F,F267)</f>
        <v>1</v>
      </c>
      <c r="F267" s="21" t="str">
        <f>ifna(VLOOKUP($A267,Constants!$D:$F,3,false),"")</f>
        <v>ProtonGyromagneticRatio</v>
      </c>
      <c r="G267" s="43" t="str">
        <f t="shared" si="1"/>
        <v>2.675221900e8</v>
      </c>
      <c r="H267" s="43">
        <f t="shared" si="2"/>
        <v>267522190</v>
      </c>
      <c r="I267" s="43" t="str">
        <f t="shared" si="3"/>
        <v>0.000000018e8</v>
      </c>
      <c r="J267" s="43">
        <f t="shared" si="4"/>
        <v>1.8</v>
      </c>
      <c r="K267" s="43" t="b">
        <f t="shared" si="5"/>
        <v>0</v>
      </c>
      <c r="L267" s="21" t="str">
        <f>IFERROR(__xludf.DUMMYFUNCTION("if(regexmatch(B267,""e(.*)$""),regexextract(B267,""e(.*)$""),"""")"),"8")</f>
        <v>8</v>
      </c>
      <c r="M267" s="45"/>
      <c r="N267" s="45">
        <f>countif(Constants!F:F,F267)</f>
        <v>1</v>
      </c>
      <c r="O267" s="21" t="str">
        <f>ifna(VLOOKUP(A267,Constants!D:D,1,false),"")</f>
        <v>proton gyromag. ratio</v>
      </c>
    </row>
    <row r="268">
      <c r="A268" s="6" t="s">
        <v>3607</v>
      </c>
      <c r="B268" s="6" t="s">
        <v>3608</v>
      </c>
      <c r="C268" s="6" t="s">
        <v>2245</v>
      </c>
      <c r="D268" s="6" t="s">
        <v>969</v>
      </c>
      <c r="E268" s="42">
        <f>countif(Constants!F:F,F268)</f>
        <v>1</v>
      </c>
      <c r="F268" s="13" t="s">
        <v>2636</v>
      </c>
      <c r="G268" s="43" t="str">
        <f t="shared" si="1"/>
        <v>42.57747892</v>
      </c>
      <c r="H268" s="43">
        <f t="shared" si="2"/>
        <v>42.57747892</v>
      </c>
      <c r="I268" s="43" t="str">
        <f t="shared" si="3"/>
        <v>0.00000029</v>
      </c>
      <c r="J268" s="43">
        <f t="shared" si="4"/>
        <v>0.00000029</v>
      </c>
      <c r="K268" s="43" t="b">
        <f t="shared" si="5"/>
        <v>0</v>
      </c>
      <c r="L268" s="21" t="str">
        <f>IFERROR(__xludf.DUMMYFUNCTION("if(regexmatch(B268,""e(.*)$""),regexextract(B268,""e(.*)$""),"""")"),"")</f>
        <v/>
      </c>
      <c r="M268" s="45"/>
      <c r="N268" s="45">
        <f>countif(Constants!F:F,F268)</f>
        <v>1</v>
      </c>
      <c r="O268" s="21" t="str">
        <f>ifna(VLOOKUP(A268,Constants!D:D,1,false),"")</f>
        <v/>
      </c>
    </row>
    <row r="269">
      <c r="A269" s="6" t="s">
        <v>1824</v>
      </c>
      <c r="B269" s="6" t="s">
        <v>3609</v>
      </c>
      <c r="C269" s="6" t="s">
        <v>3610</v>
      </c>
      <c r="D269" s="6" t="s">
        <v>714</v>
      </c>
      <c r="E269" s="42">
        <f>countif(Constants!F:F,F269)</f>
        <v>1</v>
      </c>
      <c r="F269" s="21" t="str">
        <f>ifna(VLOOKUP($A269,Constants!$D:$F,3,false),"")</f>
        <v>ProtonMagneticMoment</v>
      </c>
      <c r="G269" s="43" t="str">
        <f t="shared" si="1"/>
        <v>1.4106067873e-26</v>
      </c>
      <c r="H269" s="43">
        <f t="shared" si="2"/>
        <v>0</v>
      </c>
      <c r="I269" s="43" t="str">
        <f t="shared" si="3"/>
        <v>0.0000000097e-26</v>
      </c>
      <c r="J269" s="43">
        <f t="shared" si="4"/>
        <v>0</v>
      </c>
      <c r="K269" s="43" t="b">
        <f t="shared" si="5"/>
        <v>0</v>
      </c>
      <c r="L269" s="21" t="str">
        <f>IFERROR(__xludf.DUMMYFUNCTION("if(regexmatch(B269,""e(.*)$""),regexextract(B269,""e(.*)$""),"""")"),"-26")</f>
        <v>-26</v>
      </c>
      <c r="M269" s="45"/>
      <c r="N269" s="45">
        <f>countif(Constants!F:F,F269)</f>
        <v>1</v>
      </c>
      <c r="O269" s="21" t="str">
        <f>ifna(VLOOKUP(A269,Constants!D:D,1,false),"")</f>
        <v>proton mag. mom.</v>
      </c>
    </row>
    <row r="270">
      <c r="A270" s="6" t="s">
        <v>1829</v>
      </c>
      <c r="B270" s="6" t="s">
        <v>3611</v>
      </c>
      <c r="C270" s="6" t="s">
        <v>3612</v>
      </c>
      <c r="E270" s="42">
        <f>countif(Constants!F:F,F270)</f>
        <v>1</v>
      </c>
      <c r="F270" s="21" t="str">
        <f>ifna(VLOOKUP($A270,Constants!$D:$F,3,false),"")</f>
        <v>ProtonMagneticMomentToBohrMagnetonRatio</v>
      </c>
      <c r="G270" s="43" t="str">
        <f t="shared" si="1"/>
        <v>1.5210322053e-3</v>
      </c>
      <c r="H270" s="43">
        <f t="shared" si="2"/>
        <v>0.001521032205</v>
      </c>
      <c r="I270" s="43" t="str">
        <f t="shared" si="3"/>
        <v>0.0000000046e-3</v>
      </c>
      <c r="J270" s="43">
        <f t="shared" si="4"/>
        <v>0</v>
      </c>
      <c r="K270" s="43" t="b">
        <f t="shared" si="5"/>
        <v>0</v>
      </c>
      <c r="L270" s="21" t="str">
        <f>IFERROR(__xludf.DUMMYFUNCTION("if(regexmatch(B270,""e(.*)$""),regexextract(B270,""e(.*)$""),"""")"),"-3")</f>
        <v>-3</v>
      </c>
      <c r="M270" s="45"/>
      <c r="N270" s="45">
        <f>countif(Constants!F:F,F270)</f>
        <v>1</v>
      </c>
      <c r="O270" s="21" t="str">
        <f>ifna(VLOOKUP(A270,Constants!D:D,1,false),"")</f>
        <v>proton mag. mom. to Bohr magneton ratio</v>
      </c>
    </row>
    <row r="271">
      <c r="A271" s="6" t="s">
        <v>1834</v>
      </c>
      <c r="B271" s="6" t="s">
        <v>3613</v>
      </c>
      <c r="C271" s="6" t="s">
        <v>3614</v>
      </c>
      <c r="E271" s="42">
        <f>countif(Constants!F:F,F271)</f>
        <v>1</v>
      </c>
      <c r="F271" s="21" t="str">
        <f>ifna(VLOOKUP($A271,Constants!$D:$F,3,false),"")</f>
        <v>ProtonMagneticMomentToNuclearMagnetonRatio</v>
      </c>
      <c r="G271" s="43" t="str">
        <f t="shared" si="1"/>
        <v>2.7928473508</v>
      </c>
      <c r="H271" s="43">
        <f t="shared" si="2"/>
        <v>2.792847351</v>
      </c>
      <c r="I271" s="43" t="str">
        <f t="shared" si="3"/>
        <v>0.0000000085</v>
      </c>
      <c r="J271" s="43">
        <f t="shared" si="4"/>
        <v>0.0000000085</v>
      </c>
      <c r="K271" s="43" t="b">
        <f t="shared" si="5"/>
        <v>0</v>
      </c>
      <c r="L271" s="21" t="str">
        <f>IFERROR(__xludf.DUMMYFUNCTION("if(regexmatch(B271,""e(.*)$""),regexextract(B271,""e(.*)$""),"""")"),"")</f>
        <v/>
      </c>
      <c r="M271" s="45"/>
      <c r="N271" s="45">
        <f>countif(Constants!F:F,F271)</f>
        <v>1</v>
      </c>
      <c r="O271" s="21" t="str">
        <f>ifna(VLOOKUP(A271,Constants!D:D,1,false),"")</f>
        <v>proton mag. mom. to nuclear magneton ratio</v>
      </c>
    </row>
    <row r="272">
      <c r="A272" s="6" t="s">
        <v>1839</v>
      </c>
      <c r="B272" s="46" t="s">
        <v>3615</v>
      </c>
      <c r="C272" s="46" t="s">
        <v>3616</v>
      </c>
      <c r="E272" s="42">
        <f>countif(Constants!F:F,F272)</f>
        <v>1</v>
      </c>
      <c r="F272" s="21" t="str">
        <f>ifna(VLOOKUP($A272,Constants!$D:$F,3,false),"")</f>
        <v>ProtonMagneticShieldingCorrection</v>
      </c>
      <c r="G272" s="43" t="str">
        <f t="shared" si="1"/>
        <v>25.691e-6</v>
      </c>
      <c r="H272" s="43">
        <f t="shared" si="2"/>
        <v>0.000025691</v>
      </c>
      <c r="I272" s="43" t="str">
        <f t="shared" si="3"/>
        <v>0.011e-6</v>
      </c>
      <c r="J272" s="43">
        <f t="shared" si="4"/>
        <v>0.000000011</v>
      </c>
      <c r="K272" s="43" t="b">
        <f t="shared" si="5"/>
        <v>0</v>
      </c>
      <c r="L272" s="21" t="str">
        <f>IFERROR(__xludf.DUMMYFUNCTION("if(regexmatch(B272,""e(.*)$""),regexextract(B272,""e(.*)$""),"""")"),"-6")</f>
        <v>-6</v>
      </c>
      <c r="M272" s="45"/>
      <c r="N272" s="45">
        <f>countif(Constants!F:F,F272)</f>
        <v>1</v>
      </c>
      <c r="O272" s="21" t="str">
        <f>ifna(VLOOKUP(A272,Constants!D:D,1,false),"")</f>
        <v>proton mag. shielding correction</v>
      </c>
    </row>
    <row r="273">
      <c r="A273" s="6" t="s">
        <v>1843</v>
      </c>
      <c r="B273" s="6" t="s">
        <v>3617</v>
      </c>
      <c r="C273" s="6" t="s">
        <v>3545</v>
      </c>
      <c r="D273" s="6" t="s">
        <v>538</v>
      </c>
      <c r="E273" s="42">
        <f>countif(Constants!F:F,F273)</f>
        <v>1</v>
      </c>
      <c r="F273" s="21" t="str">
        <f>ifna(VLOOKUP($A273,Constants!$D:$F,3,false),"")</f>
        <v>ProtonMass</v>
      </c>
      <c r="G273" s="43" t="str">
        <f t="shared" si="1"/>
        <v>1.672621898e-27</v>
      </c>
      <c r="H273" s="43">
        <f t="shared" si="2"/>
        <v>0</v>
      </c>
      <c r="I273" s="43" t="str">
        <f t="shared" si="3"/>
        <v>0.000000021e-27</v>
      </c>
      <c r="J273" s="43">
        <f t="shared" si="4"/>
        <v>0</v>
      </c>
      <c r="K273" s="43" t="b">
        <f t="shared" si="5"/>
        <v>0</v>
      </c>
      <c r="L273" s="21" t="str">
        <f>IFERROR(__xludf.DUMMYFUNCTION("if(regexmatch(B273,""e(.*)$""),regexextract(B273,""e(.*)$""),"""")"),"-27")</f>
        <v>-27</v>
      </c>
      <c r="M273" s="45"/>
      <c r="N273" s="45">
        <f>countif(Constants!F:F,F273)</f>
        <v>1</v>
      </c>
      <c r="O273" s="21" t="str">
        <f>ifna(VLOOKUP(A273,Constants!D:D,1,false),"")</f>
        <v>proton mass</v>
      </c>
    </row>
    <row r="274">
      <c r="A274" s="6" t="s">
        <v>1848</v>
      </c>
      <c r="B274" s="6" t="s">
        <v>3618</v>
      </c>
      <c r="C274" s="6" t="s">
        <v>3222</v>
      </c>
      <c r="D274" s="6" t="s">
        <v>543</v>
      </c>
      <c r="E274" s="42">
        <f>countif(Constants!F:F,F274)</f>
        <v>1</v>
      </c>
      <c r="F274" s="21" t="str">
        <f>ifna(VLOOKUP($A274,Constants!$D:$F,3,false),"")</f>
        <v>ProtonMassEnergyEquivalent</v>
      </c>
      <c r="G274" s="43" t="str">
        <f t="shared" si="1"/>
        <v>1.503277593e-10</v>
      </c>
      <c r="H274" s="43">
        <f t="shared" si="2"/>
        <v>0.0000000001503277593</v>
      </c>
      <c r="I274" s="43" t="str">
        <f t="shared" si="3"/>
        <v>0.000000018e-10</v>
      </c>
      <c r="J274" s="43">
        <f t="shared" si="4"/>
        <v>0</v>
      </c>
      <c r="K274" s="43" t="b">
        <f t="shared" si="5"/>
        <v>0</v>
      </c>
      <c r="L274" s="21" t="str">
        <f>IFERROR(__xludf.DUMMYFUNCTION("if(regexmatch(B274,""e(.*)$""),regexextract(B274,""e(.*)$""),"""")"),"-10")</f>
        <v>-10</v>
      </c>
      <c r="M274" s="45"/>
      <c r="N274" s="45">
        <f>countif(Constants!F:F,F274)</f>
        <v>1</v>
      </c>
      <c r="O274" s="21" t="str">
        <f>ifna(VLOOKUP(A274,Constants!D:D,1,false),"")</f>
        <v>proton mass energy equivalent</v>
      </c>
    </row>
    <row r="275">
      <c r="A275" s="6" t="s">
        <v>1852</v>
      </c>
      <c r="B275" s="6" t="s">
        <v>3619</v>
      </c>
      <c r="C275" s="6" t="s">
        <v>3549</v>
      </c>
      <c r="D275" s="6" t="s">
        <v>548</v>
      </c>
      <c r="E275" s="42">
        <f>countif(Constants!F:F,F275)</f>
        <v>1</v>
      </c>
      <c r="F275" s="21" t="str">
        <f>ifna(VLOOKUP($A275,Constants!$D:$F,3,false),"")</f>
        <v>ProtonMassEnergyEquivalentInMeV</v>
      </c>
      <c r="G275" s="43" t="str">
        <f t="shared" si="1"/>
        <v>938.2720813</v>
      </c>
      <c r="H275" s="43">
        <f t="shared" si="2"/>
        <v>938.2720813</v>
      </c>
      <c r="I275" s="43" t="str">
        <f t="shared" si="3"/>
        <v>0.0000058</v>
      </c>
      <c r="J275" s="43">
        <f t="shared" si="4"/>
        <v>0.0000058</v>
      </c>
      <c r="K275" s="43" t="b">
        <f t="shared" si="5"/>
        <v>0</v>
      </c>
      <c r="L275" s="21" t="str">
        <f>IFERROR(__xludf.DUMMYFUNCTION("if(regexmatch(B275,""e(.*)$""),regexextract(B275,""e(.*)$""),"""")"),"")</f>
        <v/>
      </c>
      <c r="M275" s="45"/>
      <c r="N275" s="45">
        <f>countif(Constants!F:F,F275)</f>
        <v>1</v>
      </c>
      <c r="O275" s="21" t="str">
        <f>ifna(VLOOKUP(A275,Constants!D:D,1,false),"")</f>
        <v>proton mass energy equivalent in MeV</v>
      </c>
    </row>
    <row r="276">
      <c r="A276" s="6" t="s">
        <v>1855</v>
      </c>
      <c r="B276" s="6" t="s">
        <v>3620</v>
      </c>
      <c r="C276" s="6" t="s">
        <v>3621</v>
      </c>
      <c r="D276" s="6" t="s">
        <v>553</v>
      </c>
      <c r="E276" s="42">
        <f>countif(Constants!F:F,F276)</f>
        <v>1</v>
      </c>
      <c r="F276" s="21" t="str">
        <f>ifna(VLOOKUP($A276,Constants!$D:$F,3,false),"")</f>
        <v>ProtonMassInAtomicMassUnit</v>
      </c>
      <c r="G276" s="43" t="str">
        <f t="shared" si="1"/>
        <v>1.007276466879</v>
      </c>
      <c r="H276" s="43">
        <f t="shared" si="2"/>
        <v>1.007276467</v>
      </c>
      <c r="I276" s="43" t="str">
        <f t="shared" si="3"/>
        <v>0.000000000091</v>
      </c>
      <c r="J276" s="43">
        <f t="shared" si="4"/>
        <v>0</v>
      </c>
      <c r="K276" s="43" t="b">
        <f t="shared" si="5"/>
        <v>0</v>
      </c>
      <c r="L276" s="21" t="str">
        <f>IFERROR(__xludf.DUMMYFUNCTION("if(regexmatch(B276,""e(.*)$""),regexextract(B276,""e(.*)$""),"""")"),"")</f>
        <v/>
      </c>
      <c r="M276" s="45"/>
      <c r="N276" s="45">
        <f>countif(Constants!F:F,F276)</f>
        <v>1</v>
      </c>
      <c r="O276" s="21" t="str">
        <f>ifna(VLOOKUP(A276,Constants!D:D,1,false),"")</f>
        <v>proton mass in u</v>
      </c>
    </row>
    <row r="277">
      <c r="A277" s="6" t="s">
        <v>1858</v>
      </c>
      <c r="B277" s="6" t="s">
        <v>3622</v>
      </c>
      <c r="C277" s="6" t="s">
        <v>3623</v>
      </c>
      <c r="D277" s="6" t="s">
        <v>557</v>
      </c>
      <c r="E277" s="42">
        <f>countif(Constants!F:F,F277)</f>
        <v>1</v>
      </c>
      <c r="F277" s="21" t="str">
        <f>ifna(VLOOKUP($A277,Constants!$D:$F,3,false),"")</f>
        <v>ProtonMolarMass</v>
      </c>
      <c r="G277" s="43" t="str">
        <f t="shared" si="1"/>
        <v>1.007276466879e-3</v>
      </c>
      <c r="H277" s="43">
        <f t="shared" si="2"/>
        <v>0.001007276467</v>
      </c>
      <c r="I277" s="43" t="str">
        <f t="shared" si="3"/>
        <v>0.000000000091e-3</v>
      </c>
      <c r="J277" s="43">
        <f t="shared" si="4"/>
        <v>0</v>
      </c>
      <c r="K277" s="43" t="b">
        <f t="shared" si="5"/>
        <v>0</v>
      </c>
      <c r="L277" s="21" t="str">
        <f>IFERROR(__xludf.DUMMYFUNCTION("if(regexmatch(B277,""e(.*)$""),regexextract(B277,""e(.*)$""),"""")"),"-3")</f>
        <v>-3</v>
      </c>
      <c r="M277" s="45"/>
      <c r="N277" s="45">
        <f>countif(Constants!F:F,F277)</f>
        <v>1</v>
      </c>
      <c r="O277" s="21" t="str">
        <f>ifna(VLOOKUP(A277,Constants!D:D,1,false),"")</f>
        <v>proton molar mass</v>
      </c>
    </row>
    <row r="278">
      <c r="A278" s="6" t="s">
        <v>1862</v>
      </c>
      <c r="B278" s="6" t="s">
        <v>3624</v>
      </c>
      <c r="C278" s="6" t="s">
        <v>2534</v>
      </c>
      <c r="E278" s="42">
        <f>countif(Constants!F:F,F278)</f>
        <v>1</v>
      </c>
      <c r="F278" s="21" t="str">
        <f>ifna(VLOOKUP($A278,Constants!$D:$F,3,false),"")</f>
        <v>ProtonMuonMassRatio</v>
      </c>
      <c r="G278" s="43" t="str">
        <f t="shared" si="1"/>
        <v>8.88024338</v>
      </c>
      <c r="H278" s="43">
        <f t="shared" si="2"/>
        <v>8.88024338</v>
      </c>
      <c r="I278" s="43" t="str">
        <f t="shared" si="3"/>
        <v>0.00000020</v>
      </c>
      <c r="J278" s="43">
        <f t="shared" si="4"/>
        <v>0.0000002</v>
      </c>
      <c r="K278" s="43" t="b">
        <f t="shared" si="5"/>
        <v>0</v>
      </c>
      <c r="L278" s="21" t="str">
        <f>IFERROR(__xludf.DUMMYFUNCTION("if(regexmatch(B278,""e(.*)$""),regexextract(B278,""e(.*)$""),"""")"),"")</f>
        <v/>
      </c>
      <c r="M278" s="45"/>
      <c r="N278" s="45">
        <f>countif(Constants!F:F,F278)</f>
        <v>1</v>
      </c>
      <c r="O278" s="21" t="str">
        <f>ifna(VLOOKUP(A278,Constants!D:D,1,false),"")</f>
        <v>proton-muon mass ratio</v>
      </c>
    </row>
    <row r="279">
      <c r="A279" s="6" t="s">
        <v>1867</v>
      </c>
      <c r="B279" s="6" t="s">
        <v>3116</v>
      </c>
      <c r="C279" s="6" t="s">
        <v>2653</v>
      </c>
      <c r="E279" s="42">
        <f>countif(Constants!F:F,F279)</f>
        <v>1</v>
      </c>
      <c r="F279" s="21" t="str">
        <f>ifna(VLOOKUP($A279,Constants!$D:$F,3,false),"")</f>
        <v>ProtonNeutronMagneticMomentRatio</v>
      </c>
      <c r="G279" s="43" t="str">
        <f t="shared" si="1"/>
        <v>-1.45989805</v>
      </c>
      <c r="H279" s="43">
        <f t="shared" si="2"/>
        <v>-1.45989805</v>
      </c>
      <c r="I279" s="43" t="str">
        <f t="shared" si="3"/>
        <v>0.00000034</v>
      </c>
      <c r="J279" s="43">
        <f t="shared" si="4"/>
        <v>0.00000034</v>
      </c>
      <c r="K279" s="43" t="b">
        <f t="shared" si="5"/>
        <v>0</v>
      </c>
      <c r="L279" s="21" t="str">
        <f>IFERROR(__xludf.DUMMYFUNCTION("if(regexmatch(B279,""e(.*)$""),regexextract(B279,""e(.*)$""),"""")"),"")</f>
        <v/>
      </c>
      <c r="M279" s="45"/>
      <c r="N279" s="45">
        <f>countif(Constants!F:F,F279)</f>
        <v>1</v>
      </c>
      <c r="O279" s="21" t="str">
        <f>ifna(VLOOKUP(A279,Constants!D:D,1,false),"")</f>
        <v>proton-neutron mag. mom. ratio</v>
      </c>
    </row>
    <row r="280">
      <c r="A280" s="6" t="s">
        <v>1872</v>
      </c>
      <c r="B280" s="6" t="s">
        <v>3625</v>
      </c>
      <c r="C280" s="6" t="s">
        <v>3560</v>
      </c>
      <c r="E280" s="42">
        <f>countif(Constants!F:F,F280)</f>
        <v>1</v>
      </c>
      <c r="F280" s="21" t="str">
        <f>ifna(VLOOKUP($A280,Constants!$D:$F,3,false),"")</f>
        <v>ProtonNeutronMassRatio</v>
      </c>
      <c r="G280" s="43" t="str">
        <f t="shared" si="1"/>
        <v>0.99862347844</v>
      </c>
      <c r="H280" s="43">
        <f t="shared" si="2"/>
        <v>0.9986234784</v>
      </c>
      <c r="I280" s="43" t="str">
        <f t="shared" si="3"/>
        <v>0.00000000051</v>
      </c>
      <c r="J280" s="43">
        <f t="shared" si="4"/>
        <v>0.00000000051</v>
      </c>
      <c r="K280" s="43" t="b">
        <f t="shared" si="5"/>
        <v>0</v>
      </c>
      <c r="L280" s="21" t="str">
        <f>IFERROR(__xludf.DUMMYFUNCTION("if(regexmatch(B280,""e(.*)$""),regexextract(B280,""e(.*)$""),"""")"),"")</f>
        <v/>
      </c>
      <c r="M280" s="45"/>
      <c r="N280" s="45">
        <f>countif(Constants!F:F,F280)</f>
        <v>1</v>
      </c>
      <c r="O280" s="21" t="str">
        <f>ifna(VLOOKUP(A280,Constants!D:D,1,false),"")</f>
        <v>proton-neutron mass ratio</v>
      </c>
    </row>
    <row r="281">
      <c r="A281" s="6" t="s">
        <v>1880</v>
      </c>
      <c r="B281" s="46" t="s">
        <v>3626</v>
      </c>
      <c r="C281" s="46" t="s">
        <v>3627</v>
      </c>
      <c r="D281" s="6" t="s">
        <v>571</v>
      </c>
      <c r="E281" s="42">
        <f>countif(Constants!F:F,F281)</f>
        <v>1</v>
      </c>
      <c r="F281" s="21" t="str">
        <f>ifna(VLOOKUP($A281,Constants!$D:$F,3,false),"")</f>
        <v>ProtonRmsChargeRadius</v>
      </c>
      <c r="G281" s="43" t="str">
        <f t="shared" si="1"/>
        <v>0.8751e-15</v>
      </c>
      <c r="H281" s="43">
        <f t="shared" si="2"/>
        <v>0</v>
      </c>
      <c r="I281" s="43" t="str">
        <f t="shared" si="3"/>
        <v>0.0061e-15</v>
      </c>
      <c r="J281" s="43">
        <f t="shared" si="4"/>
        <v>0</v>
      </c>
      <c r="K281" s="43" t="b">
        <f t="shared" si="5"/>
        <v>0</v>
      </c>
      <c r="L281" s="21" t="str">
        <f>IFERROR(__xludf.DUMMYFUNCTION("if(regexmatch(B281,""e(.*)$""),regexextract(B281,""e(.*)$""),"""")"),"-15")</f>
        <v>-15</v>
      </c>
      <c r="M281" s="45"/>
      <c r="N281" s="45">
        <f>countif(Constants!F:F,F281)</f>
        <v>1</v>
      </c>
      <c r="O281" s="21" t="str">
        <f>ifna(VLOOKUP(A281,Constants!D:D,1,false),"")</f>
        <v>proton rms charge radius</v>
      </c>
    </row>
    <row r="282">
      <c r="A282" s="6" t="s">
        <v>1884</v>
      </c>
      <c r="B282" s="6" t="s">
        <v>3628</v>
      </c>
      <c r="C282" s="6" t="s">
        <v>3563</v>
      </c>
      <c r="E282" s="42">
        <f>countif(Constants!F:F,F282)</f>
        <v>1</v>
      </c>
      <c r="F282" s="21" t="str">
        <f>ifna(VLOOKUP($A282,Constants!$D:$F,3,false),"")</f>
        <v>ProtonTauMassRatio</v>
      </c>
      <c r="G282" s="43" t="str">
        <f t="shared" si="1"/>
        <v>0.528063</v>
      </c>
      <c r="H282" s="43">
        <f t="shared" si="2"/>
        <v>0.528063</v>
      </c>
      <c r="I282" s="43" t="str">
        <f t="shared" si="3"/>
        <v>0.000048</v>
      </c>
      <c r="J282" s="43">
        <f t="shared" si="4"/>
        <v>0.000048</v>
      </c>
      <c r="K282" s="43" t="b">
        <f t="shared" si="5"/>
        <v>0</v>
      </c>
      <c r="L282" s="21" t="str">
        <f>IFERROR(__xludf.DUMMYFUNCTION("if(regexmatch(B282,""e(.*)$""),regexextract(B282,""e(.*)$""),"""")"),"")</f>
        <v/>
      </c>
      <c r="M282" s="45"/>
      <c r="N282" s="45">
        <f>countif(Constants!F:F,F282)</f>
        <v>1</v>
      </c>
      <c r="O282" s="21" t="str">
        <f>ifna(VLOOKUP(A282,Constants!D:D,1,false),"")</f>
        <v>proton-tau mass ratio</v>
      </c>
    </row>
    <row r="283">
      <c r="A283" s="6" t="s">
        <v>1889</v>
      </c>
      <c r="B283" s="6" t="s">
        <v>3629</v>
      </c>
      <c r="C283" s="6" t="s">
        <v>3630</v>
      </c>
      <c r="D283" s="6" t="s">
        <v>1890</v>
      </c>
      <c r="E283" s="42">
        <f>countif(Constants!F:F,F283)</f>
        <v>1</v>
      </c>
      <c r="F283" s="21" t="str">
        <f>ifna(VLOOKUP($A283,Constants!$D:$F,3,false),"")</f>
        <v>QuantumOfCirculation</v>
      </c>
      <c r="G283" s="43" t="str">
        <f t="shared" si="1"/>
        <v>3.6369475486e-4</v>
      </c>
      <c r="H283" s="43">
        <f t="shared" si="2"/>
        <v>0.0003636947549</v>
      </c>
      <c r="I283" s="43" t="str">
        <f t="shared" si="3"/>
        <v>0.0000000017e-4</v>
      </c>
      <c r="J283" s="43">
        <f t="shared" si="4"/>
        <v>0</v>
      </c>
      <c r="K283" s="43" t="b">
        <f t="shared" si="5"/>
        <v>0</v>
      </c>
      <c r="L283" s="21" t="str">
        <f>IFERROR(__xludf.DUMMYFUNCTION("if(regexmatch(B283,""e(.*)$""),regexextract(B283,""e(.*)$""),"""")"),"-4")</f>
        <v>-4</v>
      </c>
      <c r="M283" s="45"/>
      <c r="N283" s="45">
        <f>countif(Constants!F:F,F283)</f>
        <v>1</v>
      </c>
      <c r="O283" s="21" t="str">
        <f>ifna(VLOOKUP(A283,Constants!D:D,1,false),"")</f>
        <v>quantum of circulation</v>
      </c>
    </row>
    <row r="284">
      <c r="A284" s="6" t="s">
        <v>1895</v>
      </c>
      <c r="B284" s="6" t="s">
        <v>3631</v>
      </c>
      <c r="C284" s="6" t="s">
        <v>3632</v>
      </c>
      <c r="D284" s="6" t="s">
        <v>1890</v>
      </c>
      <c r="E284" s="42">
        <f>countif(Constants!F:F,F284)</f>
        <v>1</v>
      </c>
      <c r="F284" s="21" t="str">
        <f>ifna(VLOOKUP($A284,Constants!$D:$F,3,false),"")</f>
        <v>QuantumOfCirculationTimes2</v>
      </c>
      <c r="G284" s="43" t="str">
        <f t="shared" si="1"/>
        <v>7.2738950972e-4</v>
      </c>
      <c r="H284" s="43">
        <f t="shared" si="2"/>
        <v>0.0007273895097</v>
      </c>
      <c r="I284" s="43" t="str">
        <f t="shared" si="3"/>
        <v>0.0000000033e-4</v>
      </c>
      <c r="J284" s="43">
        <f t="shared" si="4"/>
        <v>0</v>
      </c>
      <c r="K284" s="43" t="b">
        <f t="shared" si="5"/>
        <v>0</v>
      </c>
      <c r="L284" s="21" t="str">
        <f>IFERROR(__xludf.DUMMYFUNCTION("if(regexmatch(B284,""e(.*)$""),regexextract(B284,""e(.*)$""),"""")"),"-4")</f>
        <v>-4</v>
      </c>
      <c r="M284" s="45"/>
      <c r="N284" s="45">
        <f>countif(Constants!F:F,F284)</f>
        <v>1</v>
      </c>
      <c r="O284" s="21" t="str">
        <f>ifna(VLOOKUP(A284,Constants!D:D,1,false),"")</f>
        <v>quantum of circulation times 2</v>
      </c>
    </row>
    <row r="285">
      <c r="A285" s="6" t="s">
        <v>1933</v>
      </c>
      <c r="B285" s="6" t="s">
        <v>3633</v>
      </c>
      <c r="C285" s="6" t="s">
        <v>3634</v>
      </c>
      <c r="D285" s="6" t="s">
        <v>606</v>
      </c>
      <c r="E285" s="42">
        <f>countif(Constants!F:F,F285)</f>
        <v>1</v>
      </c>
      <c r="F285" s="21" t="str">
        <f>ifna(VLOOKUP($A285,Constants!$D:$F,3,false),"")</f>
        <v>RydbergConstant</v>
      </c>
      <c r="G285" s="43" t="str">
        <f t="shared" si="1"/>
        <v>10973731.568508</v>
      </c>
      <c r="H285" s="43">
        <f t="shared" si="2"/>
        <v>10973731.57</v>
      </c>
      <c r="I285" s="43" t="str">
        <f t="shared" si="3"/>
        <v>0.000065</v>
      </c>
      <c r="J285" s="43">
        <f t="shared" si="4"/>
        <v>0.000065</v>
      </c>
      <c r="K285" s="43" t="b">
        <f t="shared" si="5"/>
        <v>0</v>
      </c>
      <c r="L285" s="21" t="str">
        <f>IFERROR(__xludf.DUMMYFUNCTION("if(regexmatch(B285,""e(.*)$""),regexextract(B285,""e(.*)$""),"""")"),"")</f>
        <v/>
      </c>
      <c r="M285" s="45"/>
      <c r="N285" s="45">
        <f>countif(Constants!F:F,F285)</f>
        <v>1</v>
      </c>
      <c r="O285" s="21" t="str">
        <f>ifna(VLOOKUP(A285,Constants!D:D,1,false),"")</f>
        <v>Rydberg constant</v>
      </c>
    </row>
    <row r="286">
      <c r="A286" s="6" t="s">
        <v>1937</v>
      </c>
      <c r="B286" s="6" t="s">
        <v>3635</v>
      </c>
      <c r="C286" s="6" t="s">
        <v>3636</v>
      </c>
      <c r="D286" s="6" t="s">
        <v>600</v>
      </c>
      <c r="E286" s="42">
        <f>countif(Constants!F:F,F286)</f>
        <v>1</v>
      </c>
      <c r="F286" s="21" t="str">
        <f>ifna(VLOOKUP($A286,Constants!$D:$F,3,false),"")</f>
        <v>RydbergConstantTimesCInHz</v>
      </c>
      <c r="G286" s="43" t="str">
        <f t="shared" si="1"/>
        <v>3.289841960355e15</v>
      </c>
      <c r="H286" s="43">
        <f t="shared" si="2"/>
        <v>3.28984E+15</v>
      </c>
      <c r="I286" s="43" t="str">
        <f t="shared" si="3"/>
        <v>0.000000000019e15</v>
      </c>
      <c r="J286" s="43">
        <f t="shared" si="4"/>
        <v>19000</v>
      </c>
      <c r="K286" s="43" t="b">
        <f t="shared" si="5"/>
        <v>0</v>
      </c>
      <c r="L286" s="21" t="str">
        <f>IFERROR(__xludf.DUMMYFUNCTION("if(regexmatch(B286,""e(.*)$""),regexextract(B286,""e(.*)$""),"""")"),"15")</f>
        <v>15</v>
      </c>
      <c r="M286" s="45"/>
      <c r="N286" s="45">
        <f>countif(Constants!F:F,F286)</f>
        <v>1</v>
      </c>
      <c r="O286" s="21" t="str">
        <f>ifna(VLOOKUP(A286,Constants!D:D,1,false),"")</f>
        <v>Rydberg constant times c in Hz</v>
      </c>
    </row>
    <row r="287">
      <c r="A287" s="6" t="s">
        <v>1941</v>
      </c>
      <c r="B287" s="6" t="s">
        <v>3637</v>
      </c>
      <c r="C287" s="6" t="s">
        <v>3638</v>
      </c>
      <c r="D287" s="6" t="s">
        <v>175</v>
      </c>
      <c r="E287" s="42">
        <f>countif(Constants!F:F,F287)</f>
        <v>1</v>
      </c>
      <c r="F287" s="21" t="str">
        <f>ifna(VLOOKUP($A287,Constants!$D:$F,3,false),"")</f>
        <v>RydbergConstantTimesHcInEV</v>
      </c>
      <c r="G287" s="43" t="str">
        <f t="shared" si="1"/>
        <v>13.605693009</v>
      </c>
      <c r="H287" s="43">
        <f t="shared" si="2"/>
        <v>13.60569301</v>
      </c>
      <c r="I287" s="43" t="str">
        <f t="shared" si="3"/>
        <v>0.000000084</v>
      </c>
      <c r="J287" s="43">
        <f t="shared" si="4"/>
        <v>0.000000084</v>
      </c>
      <c r="K287" s="43" t="b">
        <f t="shared" si="5"/>
        <v>0</v>
      </c>
      <c r="L287" s="21" t="str">
        <f>IFERROR(__xludf.DUMMYFUNCTION("if(regexmatch(B287,""e(.*)$""),regexextract(B287,""e(.*)$""),"""")"),"")</f>
        <v/>
      </c>
      <c r="M287" s="45"/>
      <c r="N287" s="45">
        <f>countif(Constants!F:F,F287)</f>
        <v>1</v>
      </c>
      <c r="O287" s="21" t="str">
        <f>ifna(VLOOKUP(A287,Constants!D:D,1,false),"")</f>
        <v>Rydberg constant times hc in eV</v>
      </c>
    </row>
    <row r="288">
      <c r="A288" s="6" t="s">
        <v>1945</v>
      </c>
      <c r="B288" s="6" t="s">
        <v>3639</v>
      </c>
      <c r="C288" s="6" t="s">
        <v>3640</v>
      </c>
      <c r="D288" s="6" t="s">
        <v>543</v>
      </c>
      <c r="E288" s="42">
        <f>countif(Constants!F:F,F288)</f>
        <v>1</v>
      </c>
      <c r="F288" s="21" t="str">
        <f>ifna(VLOOKUP($A288,Constants!$D:$F,3,false),"")</f>
        <v>RydbergConstantTimesHcInJ</v>
      </c>
      <c r="G288" s="43" t="str">
        <f t="shared" si="1"/>
        <v>2.179872325e-18</v>
      </c>
      <c r="H288" s="43">
        <f t="shared" si="2"/>
        <v>0</v>
      </c>
      <c r="I288" s="43" t="str">
        <f t="shared" si="3"/>
        <v>0.000000027e-18</v>
      </c>
      <c r="J288" s="43">
        <f t="shared" si="4"/>
        <v>0</v>
      </c>
      <c r="K288" s="43" t="b">
        <f t="shared" si="5"/>
        <v>0</v>
      </c>
      <c r="L288" s="21" t="str">
        <f>IFERROR(__xludf.DUMMYFUNCTION("if(regexmatch(B288,""e(.*)$""),regexextract(B288,""e(.*)$""),"""")"),"-18")</f>
        <v>-18</v>
      </c>
      <c r="M288" s="45"/>
      <c r="N288" s="45">
        <f>countif(Constants!F:F,F288)</f>
        <v>1</v>
      </c>
      <c r="O288" s="21" t="str">
        <f>ifna(VLOOKUP(A288,Constants!D:D,1,false),"")</f>
        <v>Rydberg constant times hc in J</v>
      </c>
    </row>
    <row r="289">
      <c r="A289" s="6" t="s">
        <v>1948</v>
      </c>
      <c r="B289" s="6" t="s">
        <v>3641</v>
      </c>
      <c r="C289" s="6" t="s">
        <v>3642</v>
      </c>
      <c r="E289" s="42">
        <f>countif(Constants!F:F,F289)</f>
        <v>1</v>
      </c>
      <c r="F289" s="21" t="str">
        <f>ifna(VLOOKUP($A289,Constants!$D:$F,3,false),"")</f>
        <v>SackurTetrodeConstant</v>
      </c>
      <c r="G289" s="43" t="str">
        <f t="shared" si="1"/>
        <v>-1.1517084</v>
      </c>
      <c r="H289" s="43">
        <f t="shared" si="2"/>
        <v>-1.1517084</v>
      </c>
      <c r="I289" s="43" t="str">
        <f t="shared" si="3"/>
        <v>0.0000014</v>
      </c>
      <c r="J289" s="43">
        <f t="shared" si="4"/>
        <v>0.0000014</v>
      </c>
      <c r="K289" s="43" t="b">
        <f t="shared" si="5"/>
        <v>0</v>
      </c>
      <c r="L289" s="21" t="str">
        <f>IFERROR(__xludf.DUMMYFUNCTION("if(regexmatch(B289,""e(.*)$""),regexextract(B289,""e(.*)$""),"""")"),"")</f>
        <v/>
      </c>
      <c r="M289" s="45"/>
      <c r="N289" s="45">
        <f>countif(Constants!F:F,F289)</f>
        <v>1</v>
      </c>
      <c r="O289" s="21" t="str">
        <f>ifna(VLOOKUP(A289,Constants!D:D,1,false),"")</f>
        <v>Sackur-Tetrode constant (1 K, 100 kPa)</v>
      </c>
    </row>
    <row r="290">
      <c r="A290" s="6" t="s">
        <v>1951</v>
      </c>
      <c r="B290" s="6" t="s">
        <v>3643</v>
      </c>
      <c r="C290" s="6" t="s">
        <v>3642</v>
      </c>
      <c r="E290" s="42">
        <f>countif(Constants!F:F,F290)</f>
        <v>1</v>
      </c>
      <c r="F290" s="21" t="str">
        <f>ifna(VLOOKUP($A290,Constants!$D:$F,3,false),"")</f>
        <v>SackurTetrodeConstant1K101KPa</v>
      </c>
      <c r="G290" s="43" t="str">
        <f t="shared" si="1"/>
        <v>-1.1648714</v>
      </c>
      <c r="H290" s="43">
        <f t="shared" si="2"/>
        <v>-1.1648714</v>
      </c>
      <c r="I290" s="43" t="str">
        <f t="shared" si="3"/>
        <v>0.0000014</v>
      </c>
      <c r="J290" s="43">
        <f t="shared" si="4"/>
        <v>0.0000014</v>
      </c>
      <c r="K290" s="43" t="b">
        <f t="shared" si="5"/>
        <v>0</v>
      </c>
      <c r="L290" s="21" t="str">
        <f>IFERROR(__xludf.DUMMYFUNCTION("if(regexmatch(B290,""e(.*)$""),regexextract(B290,""e(.*)$""),"""")"),"")</f>
        <v/>
      </c>
      <c r="M290" s="45"/>
      <c r="N290" s="45">
        <f>countif(Constants!F:F,F290)</f>
        <v>1</v>
      </c>
      <c r="O290" s="21" t="str">
        <f>ifna(VLOOKUP(A290,Constants!D:D,1,false),"")</f>
        <v>Sackur-Tetrode constant (1 K, 101.325 kPa)</v>
      </c>
    </row>
    <row r="291">
      <c r="A291" s="6" t="s">
        <v>1954</v>
      </c>
      <c r="B291" s="6" t="s">
        <v>3442</v>
      </c>
      <c r="C291" s="6" t="s">
        <v>3443</v>
      </c>
      <c r="D291" s="6" t="s">
        <v>1955</v>
      </c>
      <c r="E291" s="42">
        <f>countif(Constants!F:F,F291)</f>
        <v>1</v>
      </c>
      <c r="F291" s="21" t="str">
        <f>ifna(VLOOKUP($A291,Constants!$D:$F,3,false),"")</f>
        <v>SecondRadiationConstant</v>
      </c>
      <c r="G291" s="43" t="str">
        <f t="shared" si="1"/>
        <v>1.43877736e-2</v>
      </c>
      <c r="H291" s="43">
        <f t="shared" si="2"/>
        <v>0.0143877736</v>
      </c>
      <c r="I291" s="43" t="str">
        <f t="shared" si="3"/>
        <v>0.00000083e-2</v>
      </c>
      <c r="J291" s="43">
        <f t="shared" si="4"/>
        <v>0.0000000083</v>
      </c>
      <c r="K291" s="43" t="b">
        <f t="shared" si="5"/>
        <v>0</v>
      </c>
      <c r="L291" s="21" t="str">
        <f>IFERROR(__xludf.DUMMYFUNCTION("if(regexmatch(B291,""e(.*)$""),regexextract(B291,""e(.*)$""),"""")"),"-2")</f>
        <v>-2</v>
      </c>
      <c r="M291" s="45"/>
      <c r="N291" s="45">
        <f>countif(Constants!F:F,F291)</f>
        <v>1</v>
      </c>
      <c r="O291" s="21" t="str">
        <f>ifna(VLOOKUP(A291,Constants!D:D,1,false),"")</f>
        <v>second radiation constant</v>
      </c>
    </row>
    <row r="292">
      <c r="A292" s="6" t="s">
        <v>1960</v>
      </c>
      <c r="B292" s="6" t="s">
        <v>3644</v>
      </c>
      <c r="C292" s="6" t="s">
        <v>3645</v>
      </c>
      <c r="D292" s="6" t="s">
        <v>961</v>
      </c>
      <c r="E292" s="42">
        <f>countif(Constants!F:F,F292)</f>
        <v>1</v>
      </c>
      <c r="F292" s="21" t="str">
        <f>ifna(VLOOKUP($A292,Constants!$D:$F,3,false),"")</f>
        <v>ShieldedHelionGyromagneticRatio</v>
      </c>
      <c r="G292" s="43" t="str">
        <f t="shared" si="1"/>
        <v>2.037894585e8</v>
      </c>
      <c r="H292" s="43">
        <f t="shared" si="2"/>
        <v>203789458.5</v>
      </c>
      <c r="I292" s="43" t="str">
        <f t="shared" si="3"/>
        <v>0.000000027e8</v>
      </c>
      <c r="J292" s="43">
        <f t="shared" si="4"/>
        <v>2.7</v>
      </c>
      <c r="K292" s="43" t="b">
        <f t="shared" si="5"/>
        <v>0</v>
      </c>
      <c r="L292" s="21" t="str">
        <f>IFERROR(__xludf.DUMMYFUNCTION("if(regexmatch(B292,""e(.*)$""),regexextract(B292,""e(.*)$""),"""")"),"8")</f>
        <v>8</v>
      </c>
      <c r="M292" s="45"/>
      <c r="N292" s="45">
        <f>countif(Constants!F:F,F292)</f>
        <v>1</v>
      </c>
      <c r="O292" s="21" t="str">
        <f>ifna(VLOOKUP(A292,Constants!D:D,1,false),"")</f>
        <v>shielded helion gyromag. ratio</v>
      </c>
    </row>
    <row r="293">
      <c r="A293" s="6" t="s">
        <v>3646</v>
      </c>
      <c r="B293" s="6" t="s">
        <v>3647</v>
      </c>
      <c r="C293" s="6" t="s">
        <v>3648</v>
      </c>
      <c r="D293" s="6" t="s">
        <v>969</v>
      </c>
      <c r="E293" s="42">
        <f>countif(Constants!F:F,F293)</f>
        <v>1</v>
      </c>
      <c r="F293" s="13" t="s">
        <v>2685</v>
      </c>
      <c r="G293" s="43" t="str">
        <f t="shared" si="1"/>
        <v>32.43409966</v>
      </c>
      <c r="H293" s="43">
        <f t="shared" si="2"/>
        <v>32.43409966</v>
      </c>
      <c r="I293" s="43" t="str">
        <f t="shared" si="3"/>
        <v>0.00000043</v>
      </c>
      <c r="J293" s="43">
        <f t="shared" si="4"/>
        <v>0.00000043</v>
      </c>
      <c r="K293" s="43" t="b">
        <f t="shared" si="5"/>
        <v>0</v>
      </c>
      <c r="L293" s="21" t="str">
        <f>IFERROR(__xludf.DUMMYFUNCTION("if(regexmatch(B293,""e(.*)$""),regexextract(B293,""e(.*)$""),"""")"),"")</f>
        <v/>
      </c>
      <c r="M293" s="45"/>
      <c r="N293" s="45">
        <f>countif(Constants!F:F,F293)</f>
        <v>1</v>
      </c>
      <c r="O293" s="21" t="str">
        <f>ifna(VLOOKUP(A293,Constants!D:D,1,false),"")</f>
        <v/>
      </c>
    </row>
    <row r="294">
      <c r="A294" s="6" t="s">
        <v>1969</v>
      </c>
      <c r="B294" s="6" t="s">
        <v>3649</v>
      </c>
      <c r="C294" s="6" t="s">
        <v>3407</v>
      </c>
      <c r="D294" s="6" t="s">
        <v>714</v>
      </c>
      <c r="E294" s="42">
        <f>countif(Constants!F:F,F294)</f>
        <v>1</v>
      </c>
      <c r="F294" s="21" t="str">
        <f>ifna(VLOOKUP($A294,Constants!$D:$F,3,false),"")</f>
        <v>ShieldedHelionMagneticMoment</v>
      </c>
      <c r="G294" s="43" t="str">
        <f t="shared" si="1"/>
        <v>-1.074553080e-26</v>
      </c>
      <c r="H294" s="43">
        <f t="shared" si="2"/>
        <v>0</v>
      </c>
      <c r="I294" s="43" t="str">
        <f t="shared" si="3"/>
        <v>0.000000014e-26</v>
      </c>
      <c r="J294" s="43">
        <f t="shared" si="4"/>
        <v>0</v>
      </c>
      <c r="K294" s="43" t="b">
        <f t="shared" si="5"/>
        <v>0</v>
      </c>
      <c r="L294" s="21" t="str">
        <f>IFERROR(__xludf.DUMMYFUNCTION("if(regexmatch(B294,""e(.*)$""),regexextract(B294,""e(.*)$""),"""")"),"-26")</f>
        <v>-26</v>
      </c>
      <c r="M294" s="45"/>
      <c r="N294" s="45">
        <f>countif(Constants!F:F,F294)</f>
        <v>1</v>
      </c>
      <c r="O294" s="21" t="str">
        <f>ifna(VLOOKUP(A294,Constants!D:D,1,false),"")</f>
        <v>shielded helion mag. mom.</v>
      </c>
    </row>
    <row r="295">
      <c r="A295" s="6" t="s">
        <v>1974</v>
      </c>
      <c r="B295" s="6" t="s">
        <v>3145</v>
      </c>
      <c r="C295" s="6" t="s">
        <v>2946</v>
      </c>
      <c r="E295" s="42">
        <f>countif(Constants!F:F,F295)</f>
        <v>1</v>
      </c>
      <c r="F295" s="21" t="str">
        <f>ifna(VLOOKUP($A295,Constants!$D:$F,3,false),"")</f>
        <v>ShieldedHelionMagneticMomentToBohrMagnetonRatio</v>
      </c>
      <c r="G295" s="43" t="str">
        <f t="shared" si="1"/>
        <v>-1.158671471e-3</v>
      </c>
      <c r="H295" s="43">
        <f t="shared" si="2"/>
        <v>-0.001158671471</v>
      </c>
      <c r="I295" s="43" t="str">
        <f t="shared" si="3"/>
        <v>0.000000014e-3</v>
      </c>
      <c r="J295" s="43">
        <f t="shared" si="4"/>
        <v>0</v>
      </c>
      <c r="K295" s="43" t="b">
        <f t="shared" si="5"/>
        <v>0</v>
      </c>
      <c r="L295" s="21" t="str">
        <f>IFERROR(__xludf.DUMMYFUNCTION("if(regexmatch(B295,""e(.*)$""),regexextract(B295,""e(.*)$""),"""")"),"-3")</f>
        <v>-3</v>
      </c>
      <c r="M295" s="45"/>
      <c r="N295" s="45">
        <f>countif(Constants!F:F,F295)</f>
        <v>1</v>
      </c>
      <c r="O295" s="21" t="str">
        <f>ifna(VLOOKUP(A295,Constants!D:D,1,false),"")</f>
        <v>shielded helion mag. mom. to Bohr magneton ratio</v>
      </c>
    </row>
    <row r="296">
      <c r="A296" s="6" t="s">
        <v>1979</v>
      </c>
      <c r="B296" s="6" t="s">
        <v>3650</v>
      </c>
      <c r="C296" s="6" t="s">
        <v>2948</v>
      </c>
      <c r="E296" s="42">
        <f>countif(Constants!F:F,F296)</f>
        <v>1</v>
      </c>
      <c r="F296" s="21" t="str">
        <f>ifna(VLOOKUP($A296,Constants!$D:$F,3,false),"")</f>
        <v>ShieldedHelionMagneticMomentToNuclearMagnetonRatio</v>
      </c>
      <c r="G296" s="43" t="str">
        <f t="shared" si="1"/>
        <v>-2.127497720</v>
      </c>
      <c r="H296" s="43">
        <f t="shared" si="2"/>
        <v>-2.12749772</v>
      </c>
      <c r="I296" s="43" t="str">
        <f t="shared" si="3"/>
        <v>0.000000025</v>
      </c>
      <c r="J296" s="43">
        <f t="shared" si="4"/>
        <v>0.000000025</v>
      </c>
      <c r="K296" s="43" t="b">
        <f t="shared" si="5"/>
        <v>0</v>
      </c>
      <c r="L296" s="21" t="str">
        <f>IFERROR(__xludf.DUMMYFUNCTION("if(regexmatch(B296,""e(.*)$""),regexextract(B296,""e(.*)$""),"""")"),"")</f>
        <v/>
      </c>
      <c r="M296" s="45"/>
      <c r="N296" s="45">
        <f>countif(Constants!F:F,F296)</f>
        <v>1</v>
      </c>
      <c r="O296" s="21" t="str">
        <f>ifna(VLOOKUP(A296,Constants!D:D,1,false),"")</f>
        <v>shielded helion mag. mom. to nuclear magneton ratio</v>
      </c>
    </row>
    <row r="297">
      <c r="A297" s="6" t="s">
        <v>1984</v>
      </c>
      <c r="B297" s="6" t="s">
        <v>3651</v>
      </c>
      <c r="C297" s="6" t="s">
        <v>3652</v>
      </c>
      <c r="E297" s="42">
        <f>countif(Constants!F:F,F297)</f>
        <v>1</v>
      </c>
      <c r="F297" s="21" t="str">
        <f>ifna(VLOOKUP($A297,Constants!$D:$F,3,false),"")</f>
        <v>ShieldedHelionToProtonMagneticMomentRatio</v>
      </c>
      <c r="G297" s="43" t="str">
        <f t="shared" si="1"/>
        <v>-0.7617665603</v>
      </c>
      <c r="H297" s="43">
        <f t="shared" si="2"/>
        <v>-0.7617665603</v>
      </c>
      <c r="I297" s="43" t="str">
        <f t="shared" si="3"/>
        <v>0.0000000092</v>
      </c>
      <c r="J297" s="43">
        <f t="shared" si="4"/>
        <v>0.0000000092</v>
      </c>
      <c r="K297" s="43" t="b">
        <f t="shared" si="5"/>
        <v>0</v>
      </c>
      <c r="L297" s="21" t="str">
        <f>IFERROR(__xludf.DUMMYFUNCTION("if(regexmatch(B297,""e(.*)$""),regexextract(B297,""e(.*)$""),"""")"),"")</f>
        <v/>
      </c>
      <c r="M297" s="45"/>
      <c r="N297" s="45">
        <f>countif(Constants!F:F,F297)</f>
        <v>1</v>
      </c>
      <c r="O297" s="21" t="str">
        <f>ifna(VLOOKUP(A297,Constants!D:D,1,false),"")</f>
        <v>shielded helion to proton mag. mom. ratio</v>
      </c>
    </row>
    <row r="298">
      <c r="A298" s="6" t="s">
        <v>1989</v>
      </c>
      <c r="B298" s="6" t="s">
        <v>3149</v>
      </c>
      <c r="C298" s="6" t="s">
        <v>3150</v>
      </c>
      <c r="E298" s="42">
        <f>countif(Constants!F:F,F298)</f>
        <v>1</v>
      </c>
      <c r="F298" s="21" t="str">
        <f>ifna(VLOOKUP($A298,Constants!$D:$F,3,false),"")</f>
        <v>ShieldedHelionToShieldedProtonMagneticMomentRatio</v>
      </c>
      <c r="G298" s="43" t="str">
        <f t="shared" si="1"/>
        <v>-0.7617861313</v>
      </c>
      <c r="H298" s="43">
        <f t="shared" si="2"/>
        <v>-0.7617861313</v>
      </c>
      <c r="I298" s="43" t="str">
        <f t="shared" si="3"/>
        <v>0.0000000033</v>
      </c>
      <c r="J298" s="43">
        <f t="shared" si="4"/>
        <v>0.0000000033</v>
      </c>
      <c r="K298" s="43" t="b">
        <f t="shared" si="5"/>
        <v>0</v>
      </c>
      <c r="L298" s="21" t="str">
        <f>IFERROR(__xludf.DUMMYFUNCTION("if(regexmatch(B298,""e(.*)$""),regexextract(B298,""e(.*)$""),"""")"),"")</f>
        <v/>
      </c>
      <c r="M298" s="45"/>
      <c r="N298" s="45">
        <f>countif(Constants!F:F,F298)</f>
        <v>1</v>
      </c>
      <c r="O298" s="21" t="str">
        <f>ifna(VLOOKUP(A298,Constants!D:D,1,false),"")</f>
        <v>shielded helion to shielded proton mag. mom. ratio</v>
      </c>
    </row>
    <row r="299">
      <c r="A299" s="6" t="s">
        <v>1994</v>
      </c>
      <c r="B299" s="6" t="s">
        <v>3653</v>
      </c>
      <c r="C299" s="6" t="s">
        <v>3654</v>
      </c>
      <c r="D299" s="6" t="s">
        <v>961</v>
      </c>
      <c r="E299" s="42">
        <f>countif(Constants!F:F,F299)</f>
        <v>1</v>
      </c>
      <c r="F299" s="21" t="str">
        <f>ifna(VLOOKUP($A299,Constants!$D:$F,3,false),"")</f>
        <v>ShieldedProtonGyromagneticRatio</v>
      </c>
      <c r="G299" s="43" t="str">
        <f t="shared" si="1"/>
        <v>2.675153171e8</v>
      </c>
      <c r="H299" s="43">
        <f t="shared" si="2"/>
        <v>267515317.1</v>
      </c>
      <c r="I299" s="43" t="str">
        <f t="shared" si="3"/>
        <v>0.000000033e8</v>
      </c>
      <c r="J299" s="43">
        <f t="shared" si="4"/>
        <v>3.3</v>
      </c>
      <c r="K299" s="43" t="b">
        <f t="shared" si="5"/>
        <v>0</v>
      </c>
      <c r="L299" s="21" t="str">
        <f>IFERROR(__xludf.DUMMYFUNCTION("if(regexmatch(B299,""e(.*)$""),regexextract(B299,""e(.*)$""),"""")"),"8")</f>
        <v>8</v>
      </c>
      <c r="M299" s="45"/>
      <c r="N299" s="45">
        <f>countif(Constants!F:F,F299)</f>
        <v>1</v>
      </c>
      <c r="O299" s="21" t="str">
        <f>ifna(VLOOKUP(A299,Constants!D:D,1,false),"")</f>
        <v>shielded proton gyromag. ratio</v>
      </c>
    </row>
    <row r="300">
      <c r="A300" s="6" t="s">
        <v>3655</v>
      </c>
      <c r="B300" s="6" t="s">
        <v>3656</v>
      </c>
      <c r="C300" s="6" t="s">
        <v>3657</v>
      </c>
      <c r="D300" s="6" t="s">
        <v>969</v>
      </c>
      <c r="E300" s="42">
        <f>countif(Constants!F:F,F300)</f>
        <v>1</v>
      </c>
      <c r="F300" s="13" t="s">
        <v>3658</v>
      </c>
      <c r="G300" s="43" t="str">
        <f t="shared" si="1"/>
        <v>42.57638507</v>
      </c>
      <c r="H300" s="43">
        <f t="shared" si="2"/>
        <v>42.57638507</v>
      </c>
      <c r="I300" s="43" t="str">
        <f t="shared" si="3"/>
        <v>0.00000053</v>
      </c>
      <c r="J300" s="43">
        <f t="shared" si="4"/>
        <v>0.00000053</v>
      </c>
      <c r="K300" s="43" t="b">
        <f t="shared" si="5"/>
        <v>0</v>
      </c>
      <c r="L300" s="21" t="str">
        <f>IFERROR(__xludf.DUMMYFUNCTION("if(regexmatch(B300,""e(.*)$""),regexextract(B300,""e(.*)$""),"""")"),"")</f>
        <v/>
      </c>
      <c r="M300" s="45"/>
      <c r="N300" s="45">
        <f>countif(Constants!F:F,F300)</f>
        <v>1</v>
      </c>
      <c r="O300" s="21" t="str">
        <f>ifna(VLOOKUP(A300,Constants!D:D,1,false),"")</f>
        <v/>
      </c>
    </row>
    <row r="301">
      <c r="A301" s="6" t="s">
        <v>2003</v>
      </c>
      <c r="B301" s="6" t="s">
        <v>3659</v>
      </c>
      <c r="C301" s="6" t="s">
        <v>3660</v>
      </c>
      <c r="D301" s="6" t="s">
        <v>714</v>
      </c>
      <c r="E301" s="42">
        <f>countif(Constants!F:F,F301)</f>
        <v>1</v>
      </c>
      <c r="F301" s="21" t="str">
        <f>ifna(VLOOKUP($A301,Constants!$D:$F,3,false),"")</f>
        <v>ShieldedProtonMagneticMoment</v>
      </c>
      <c r="G301" s="43" t="str">
        <f t="shared" si="1"/>
        <v>1.410570547e-26</v>
      </c>
      <c r="H301" s="43">
        <f t="shared" si="2"/>
        <v>0</v>
      </c>
      <c r="I301" s="43" t="str">
        <f t="shared" si="3"/>
        <v>0.000000018e-26</v>
      </c>
      <c r="J301" s="43">
        <f t="shared" si="4"/>
        <v>0</v>
      </c>
      <c r="K301" s="43" t="b">
        <f t="shared" si="5"/>
        <v>0</v>
      </c>
      <c r="L301" s="21" t="str">
        <f>IFERROR(__xludf.DUMMYFUNCTION("if(regexmatch(B301,""e(.*)$""),regexextract(B301,""e(.*)$""),"""")"),"-26")</f>
        <v>-26</v>
      </c>
      <c r="M301" s="45"/>
      <c r="N301" s="45">
        <f>countif(Constants!F:F,F301)</f>
        <v>1</v>
      </c>
      <c r="O301" s="21" t="str">
        <f>ifna(VLOOKUP(A301,Constants!D:D,1,false),"")</f>
        <v>shielded proton mag. mom.</v>
      </c>
    </row>
    <row r="302">
      <c r="A302" s="6" t="s">
        <v>2008</v>
      </c>
      <c r="B302" s="6" t="s">
        <v>3156</v>
      </c>
      <c r="C302" s="6" t="s">
        <v>3157</v>
      </c>
      <c r="E302" s="42">
        <f>countif(Constants!F:F,F302)</f>
        <v>1</v>
      </c>
      <c r="F302" s="21" t="str">
        <f>ifna(VLOOKUP($A302,Constants!$D:$F,3,false),"")</f>
        <v>ShieldedProtonMagneticMomentToBohrMagnetonRatio</v>
      </c>
      <c r="G302" s="43" t="str">
        <f t="shared" si="1"/>
        <v>1.520993128e-3</v>
      </c>
      <c r="H302" s="43">
        <f t="shared" si="2"/>
        <v>0.001520993128</v>
      </c>
      <c r="I302" s="43" t="str">
        <f t="shared" si="3"/>
        <v>0.000000017e-3</v>
      </c>
      <c r="J302" s="43">
        <f t="shared" si="4"/>
        <v>0</v>
      </c>
      <c r="K302" s="43" t="b">
        <f t="shared" si="5"/>
        <v>0</v>
      </c>
      <c r="L302" s="21" t="str">
        <f>IFERROR(__xludf.DUMMYFUNCTION("if(regexmatch(B302,""e(.*)$""),regexextract(B302,""e(.*)$""),"""")"),"-3")</f>
        <v>-3</v>
      </c>
      <c r="M302" s="45"/>
      <c r="N302" s="45">
        <f>countif(Constants!F:F,F302)</f>
        <v>1</v>
      </c>
      <c r="O302" s="21" t="str">
        <f>ifna(VLOOKUP(A302,Constants!D:D,1,false),"")</f>
        <v>shielded proton mag. mom. to Bohr magneton ratio</v>
      </c>
    </row>
    <row r="303">
      <c r="A303" s="6" t="s">
        <v>2013</v>
      </c>
      <c r="B303" s="6" t="s">
        <v>3661</v>
      </c>
      <c r="C303" s="6" t="s">
        <v>3159</v>
      </c>
      <c r="E303" s="42">
        <f>countif(Constants!F:F,F303)</f>
        <v>1</v>
      </c>
      <c r="F303" s="21" t="str">
        <f>ifna(VLOOKUP($A303,Constants!$D:$F,3,false),"")</f>
        <v>ShieldedProtonMagneticMomentToNuclearMagnetonRatio</v>
      </c>
      <c r="G303" s="43" t="str">
        <f t="shared" si="1"/>
        <v>2.792775600</v>
      </c>
      <c r="H303" s="43">
        <f t="shared" si="2"/>
        <v>2.7927756</v>
      </c>
      <c r="I303" s="43" t="str">
        <f t="shared" si="3"/>
        <v>0.000000030</v>
      </c>
      <c r="J303" s="43">
        <f t="shared" si="4"/>
        <v>0.00000003</v>
      </c>
      <c r="K303" s="43" t="b">
        <f t="shared" si="5"/>
        <v>0</v>
      </c>
      <c r="L303" s="21" t="str">
        <f>IFERROR(__xludf.DUMMYFUNCTION("if(regexmatch(B303,""e(.*)$""),regexextract(B303,""e(.*)$""),"""")"),"")</f>
        <v/>
      </c>
      <c r="M303" s="45"/>
      <c r="N303" s="45">
        <f>countif(Constants!F:F,F303)</f>
        <v>1</v>
      </c>
      <c r="O303" s="21" t="str">
        <f>ifna(VLOOKUP(A303,Constants!D:D,1,false),"")</f>
        <v>shielded proton mag. mom. to nuclear magneton ratio</v>
      </c>
    </row>
    <row r="304">
      <c r="A304" s="6" t="s">
        <v>2021</v>
      </c>
      <c r="B304" s="6" t="s">
        <v>2978</v>
      </c>
      <c r="C304" s="6" t="s">
        <v>2261</v>
      </c>
      <c r="D304" s="6" t="s">
        <v>754</v>
      </c>
      <c r="E304" s="42">
        <f>countif(Constants!F:F,F304)</f>
        <v>1</v>
      </c>
      <c r="F304" s="21" t="str">
        <f>ifna(VLOOKUP($A304,Constants!$D:$F,3,false),"")</f>
        <v>SpeedOfLight_Vacuum</v>
      </c>
      <c r="G304" s="43" t="str">
        <f t="shared" si="1"/>
        <v>299792458</v>
      </c>
      <c r="H304" s="43">
        <f t="shared" si="2"/>
        <v>299792458</v>
      </c>
      <c r="I304" s="43" t="str">
        <f t="shared" si="3"/>
        <v>(exact)</v>
      </c>
      <c r="J304" s="43" t="str">
        <f t="shared" si="4"/>
        <v/>
      </c>
      <c r="K304" s="43" t="b">
        <f t="shared" si="5"/>
        <v>0</v>
      </c>
      <c r="L304" s="21" t="str">
        <f>IFERROR(__xludf.DUMMYFUNCTION("if(regexmatch(B304,""e(.*)$""),regexextract(B304,""e(.*)$""),"""")"),"")</f>
        <v/>
      </c>
      <c r="M304" s="45"/>
      <c r="N304" s="45">
        <f>countif(Constants!F:F,F304)</f>
        <v>1</v>
      </c>
      <c r="O304" s="21" t="str">
        <f>ifna(VLOOKUP(A304,Constants!D:D,1,false),"")</f>
        <v>speed of light in vacuum</v>
      </c>
    </row>
    <row r="305">
      <c r="A305" s="6" t="s">
        <v>2026</v>
      </c>
      <c r="B305" s="6" t="s">
        <v>3163</v>
      </c>
      <c r="C305" s="6" t="s">
        <v>2261</v>
      </c>
      <c r="D305" s="6" t="s">
        <v>2027</v>
      </c>
      <c r="E305" s="42">
        <f>countif(Constants!F:F,F305)</f>
        <v>1</v>
      </c>
      <c r="F305" s="21" t="str">
        <f>ifna(VLOOKUP($A305,Constants!$D:$F,3,false),"")</f>
        <v>StandardAccelerationOfGravity</v>
      </c>
      <c r="G305" s="43" t="str">
        <f t="shared" si="1"/>
        <v>9.80665</v>
      </c>
      <c r="H305" s="43">
        <f t="shared" si="2"/>
        <v>9.80665</v>
      </c>
      <c r="I305" s="43" t="str">
        <f t="shared" si="3"/>
        <v>(exact)</v>
      </c>
      <c r="J305" s="43" t="str">
        <f t="shared" si="4"/>
        <v/>
      </c>
      <c r="K305" s="43" t="b">
        <f t="shared" si="5"/>
        <v>0</v>
      </c>
      <c r="L305" s="21" t="str">
        <f>IFERROR(__xludf.DUMMYFUNCTION("if(regexmatch(B305,""e(.*)$""),regexextract(B305,""e(.*)$""),"""")"),"")</f>
        <v/>
      </c>
      <c r="M305" s="45"/>
      <c r="N305" s="45">
        <f>countif(Constants!F:F,F305)</f>
        <v>1</v>
      </c>
      <c r="O305" s="21" t="str">
        <f>ifna(VLOOKUP(A305,Constants!D:D,1,false),"")</f>
        <v>standard acceleration of gravity</v>
      </c>
    </row>
    <row r="306">
      <c r="A306" s="6" t="s">
        <v>2033</v>
      </c>
      <c r="B306" s="6" t="s">
        <v>3164</v>
      </c>
      <c r="C306" s="6" t="s">
        <v>2261</v>
      </c>
      <c r="D306" s="6" t="s">
        <v>2034</v>
      </c>
      <c r="E306" s="42">
        <f>countif(Constants!F:F,F306)</f>
        <v>1</v>
      </c>
      <c r="F306" s="21" t="str">
        <f>ifna(VLOOKUP($A306,Constants!$D:$F,3,false),"")</f>
        <v>StandardAtmosphere</v>
      </c>
      <c r="G306" s="43" t="str">
        <f t="shared" si="1"/>
        <v>101325</v>
      </c>
      <c r="H306" s="43">
        <f t="shared" si="2"/>
        <v>101325</v>
      </c>
      <c r="I306" s="43" t="str">
        <f t="shared" si="3"/>
        <v>(exact)</v>
      </c>
      <c r="J306" s="43" t="str">
        <f t="shared" si="4"/>
        <v/>
      </c>
      <c r="K306" s="43" t="b">
        <f t="shared" si="5"/>
        <v>0</v>
      </c>
      <c r="L306" s="21" t="str">
        <f>IFERROR(__xludf.DUMMYFUNCTION("if(regexmatch(B306,""e(.*)$""),regexextract(B306,""e(.*)$""),"""")"),"")</f>
        <v/>
      </c>
      <c r="M306" s="45"/>
      <c r="N306" s="45">
        <f>countif(Constants!F:F,F306)</f>
        <v>1</v>
      </c>
      <c r="O306" s="21" t="str">
        <f>ifna(VLOOKUP(A306,Constants!D:D,1,false),"")</f>
        <v>standard atmosphere</v>
      </c>
    </row>
    <row r="307">
      <c r="A307" s="6" t="s">
        <v>2039</v>
      </c>
      <c r="B307" s="6" t="s">
        <v>3165</v>
      </c>
      <c r="C307" s="6" t="s">
        <v>2261</v>
      </c>
      <c r="D307" s="6" t="s">
        <v>2034</v>
      </c>
      <c r="E307" s="42">
        <f>countif(Constants!F:F,F307)</f>
        <v>1</v>
      </c>
      <c r="F307" s="21" t="str">
        <f>ifna(VLOOKUP($A307,Constants!$D:$F,3,false),"")</f>
        <v>Standard-StatePressure</v>
      </c>
      <c r="G307" s="43" t="str">
        <f t="shared" si="1"/>
        <v>100000</v>
      </c>
      <c r="H307" s="43">
        <f t="shared" si="2"/>
        <v>100000</v>
      </c>
      <c r="I307" s="43" t="str">
        <f t="shared" si="3"/>
        <v>(exact)</v>
      </c>
      <c r="J307" s="43" t="str">
        <f t="shared" si="4"/>
        <v/>
      </c>
      <c r="K307" s="43" t="b">
        <f t="shared" si="5"/>
        <v>0</v>
      </c>
      <c r="L307" s="21" t="str">
        <f>IFERROR(__xludf.DUMMYFUNCTION("if(regexmatch(B307,""e(.*)$""),regexextract(B307,""e(.*)$""),"""")"),"")</f>
        <v/>
      </c>
      <c r="M307" s="45"/>
      <c r="N307" s="45">
        <f>countif(Constants!F:F,F307)</f>
        <v>1</v>
      </c>
      <c r="O307" s="21" t="str">
        <f>ifna(VLOOKUP(A307,Constants!D:D,1,false),"")</f>
        <v>standard-state pressure</v>
      </c>
    </row>
    <row r="308">
      <c r="A308" s="6" t="s">
        <v>2041</v>
      </c>
      <c r="B308" s="6" t="s">
        <v>3662</v>
      </c>
      <c r="C308" s="6" t="s">
        <v>3663</v>
      </c>
      <c r="D308" s="6" t="s">
        <v>2042</v>
      </c>
      <c r="E308" s="42">
        <f>countif(Constants!F:F,F308)</f>
        <v>1</v>
      </c>
      <c r="F308" s="21" t="str">
        <f>ifna(VLOOKUP($A308,Constants!$D:$F,3,false),"")</f>
        <v>StefanBoltzmannConstant</v>
      </c>
      <c r="G308" s="43" t="str">
        <f t="shared" si="1"/>
        <v>5.670367e-8</v>
      </c>
      <c r="H308" s="43">
        <f t="shared" si="2"/>
        <v>0.00000005670367</v>
      </c>
      <c r="I308" s="43" t="str">
        <f t="shared" si="3"/>
        <v>0.000013e-8</v>
      </c>
      <c r="J308" s="43">
        <f t="shared" si="4"/>
        <v>0</v>
      </c>
      <c r="K308" s="43" t="b">
        <f t="shared" si="5"/>
        <v>0</v>
      </c>
      <c r="L308" s="21" t="str">
        <f>IFERROR(__xludf.DUMMYFUNCTION("if(regexmatch(B308,""e(.*)$""),regexextract(B308,""e(.*)$""),"""")"),"-8")</f>
        <v>-8</v>
      </c>
      <c r="M308" s="45"/>
      <c r="N308" s="45">
        <f>countif(Constants!F:F,F308)</f>
        <v>1</v>
      </c>
      <c r="O308" s="21" t="str">
        <f>ifna(VLOOKUP(A308,Constants!D:D,1,false),"")</f>
        <v>Stefan-Boltzmann constant</v>
      </c>
    </row>
    <row r="309">
      <c r="A309" s="6" t="s">
        <v>2047</v>
      </c>
      <c r="B309" s="6" t="s">
        <v>3664</v>
      </c>
      <c r="C309" s="6" t="s">
        <v>3665</v>
      </c>
      <c r="D309" s="6" t="s">
        <v>571</v>
      </c>
      <c r="E309" s="42">
        <f>countif(Constants!F:F,F309)</f>
        <v>1</v>
      </c>
      <c r="F309" s="21" t="str">
        <f>ifna(VLOOKUP($A309,Constants!$D:$F,3,false),"")</f>
        <v>TauComptonWavelength</v>
      </c>
      <c r="G309" s="43" t="str">
        <f t="shared" si="1"/>
        <v>0.697787e-15</v>
      </c>
      <c r="H309" s="43">
        <f t="shared" si="2"/>
        <v>0</v>
      </c>
      <c r="I309" s="43" t="str">
        <f t="shared" si="3"/>
        <v>0.000063e-15</v>
      </c>
      <c r="J309" s="43">
        <f t="shared" si="4"/>
        <v>0</v>
      </c>
      <c r="K309" s="43" t="b">
        <f t="shared" si="5"/>
        <v>0</v>
      </c>
      <c r="L309" s="21" t="str">
        <f>IFERROR(__xludf.DUMMYFUNCTION("if(regexmatch(B309,""e(.*)$""),regexextract(B309,""e(.*)$""),"""")"),"-15")</f>
        <v>-15</v>
      </c>
      <c r="M309" s="45"/>
      <c r="N309" s="45">
        <f>countif(Constants!F:F,F309)</f>
        <v>1</v>
      </c>
      <c r="O309" s="21" t="str">
        <f>ifna(VLOOKUP(A309,Constants!D:D,1,false),"")</f>
        <v>tau Compton wavelength</v>
      </c>
    </row>
    <row r="310">
      <c r="A310" s="6" t="s">
        <v>2050</v>
      </c>
      <c r="B310" s="6" t="s">
        <v>3666</v>
      </c>
      <c r="C310" s="6" t="s">
        <v>3667</v>
      </c>
      <c r="D310" s="6" t="s">
        <v>571</v>
      </c>
      <c r="E310" s="42">
        <f>countif(Constants!F:F,F310)</f>
        <v>1</v>
      </c>
      <c r="F310" s="6" t="s">
        <v>480</v>
      </c>
      <c r="G310" s="43" t="str">
        <f t="shared" si="1"/>
        <v>0.111056e-15</v>
      </c>
      <c r="H310" s="43">
        <f t="shared" si="2"/>
        <v>0</v>
      </c>
      <c r="I310" s="43" t="str">
        <f t="shared" si="3"/>
        <v>0.000010e-15</v>
      </c>
      <c r="J310" s="43">
        <f t="shared" si="4"/>
        <v>0</v>
      </c>
      <c r="K310" s="43" t="b">
        <f t="shared" si="5"/>
        <v>0</v>
      </c>
      <c r="L310" s="21" t="str">
        <f>IFERROR(__xludf.DUMMYFUNCTION("if(regexmatch(B310,""e(.*)$""),regexextract(B310,""e(.*)$""),"""")"),"-15")</f>
        <v>-15</v>
      </c>
      <c r="M310" s="45"/>
      <c r="N310" s="45">
        <f>countif(Constants!F:F,F310)</f>
        <v>1</v>
      </c>
      <c r="O310" s="21" t="str">
        <f>ifna(VLOOKUP(A310,Constants!D:D,1,false),"")</f>
        <v/>
      </c>
    </row>
    <row r="311">
      <c r="A311" s="6" t="s">
        <v>2057</v>
      </c>
      <c r="B311" s="46" t="s">
        <v>3668</v>
      </c>
      <c r="C311" s="46" t="s">
        <v>3669</v>
      </c>
      <c r="E311" s="42">
        <f>countif(Constants!F:F,F311)</f>
        <v>1</v>
      </c>
      <c r="F311" s="21" t="str">
        <f>ifna(VLOOKUP($A311,Constants!$D:$F,3,false),"")</f>
        <v>TauElectronMassRatio</v>
      </c>
      <c r="G311" s="43" t="str">
        <f t="shared" si="1"/>
        <v>3477.15</v>
      </c>
      <c r="H311" s="43">
        <f t="shared" si="2"/>
        <v>3477.15</v>
      </c>
      <c r="I311" s="43" t="str">
        <f t="shared" si="3"/>
        <v>0.31</v>
      </c>
      <c r="J311" s="43">
        <f t="shared" si="4"/>
        <v>0.31</v>
      </c>
      <c r="K311" s="43" t="b">
        <f t="shared" si="5"/>
        <v>0</v>
      </c>
      <c r="L311" s="21" t="str">
        <f>IFERROR(__xludf.DUMMYFUNCTION("if(regexmatch(B311,""e(.*)$""),regexextract(B311,""e(.*)$""),"""")"),"")</f>
        <v/>
      </c>
      <c r="M311" s="45"/>
      <c r="N311" s="45">
        <f>countif(Constants!F:F,F311)</f>
        <v>1</v>
      </c>
      <c r="O311" s="21" t="str">
        <f>ifna(VLOOKUP(A311,Constants!D:D,1,false),"")</f>
        <v>tau-electron mass ratio</v>
      </c>
    </row>
    <row r="312">
      <c r="A312" s="6" t="s">
        <v>2062</v>
      </c>
      <c r="B312" s="6" t="s">
        <v>3670</v>
      </c>
      <c r="C312" s="6" t="s">
        <v>3671</v>
      </c>
      <c r="D312" s="6" t="s">
        <v>538</v>
      </c>
      <c r="E312" s="42">
        <f>countif(Constants!F:F,F312)</f>
        <v>1</v>
      </c>
      <c r="F312" s="21" t="str">
        <f>ifna(VLOOKUP($A312,Constants!$D:$F,3,false),"")</f>
        <v>TauMass</v>
      </c>
      <c r="G312" s="43" t="str">
        <f t="shared" si="1"/>
        <v>3.16747e-27</v>
      </c>
      <c r="H312" s="43">
        <f t="shared" si="2"/>
        <v>0</v>
      </c>
      <c r="I312" s="43" t="str">
        <f t="shared" si="3"/>
        <v>0.00029e-27</v>
      </c>
      <c r="J312" s="43">
        <f t="shared" si="4"/>
        <v>0</v>
      </c>
      <c r="K312" s="43" t="b">
        <f t="shared" si="5"/>
        <v>0</v>
      </c>
      <c r="L312" s="21" t="str">
        <f>IFERROR(__xludf.DUMMYFUNCTION("if(regexmatch(B312,""e(.*)$""),regexextract(B312,""e(.*)$""),"""")"),"-27")</f>
        <v>-27</v>
      </c>
      <c r="M312" s="45"/>
      <c r="N312" s="45">
        <f>countif(Constants!F:F,F312)</f>
        <v>1</v>
      </c>
      <c r="O312" s="21" t="str">
        <f>ifna(VLOOKUP(A312,Constants!D:D,1,false),"")</f>
        <v>tau mass</v>
      </c>
    </row>
    <row r="313">
      <c r="A313" s="6" t="s">
        <v>2066</v>
      </c>
      <c r="B313" s="6" t="s">
        <v>3672</v>
      </c>
      <c r="C313" s="6" t="s">
        <v>3673</v>
      </c>
      <c r="D313" s="6" t="s">
        <v>543</v>
      </c>
      <c r="E313" s="42">
        <f>countif(Constants!F:F,F313)</f>
        <v>1</v>
      </c>
      <c r="F313" s="21" t="str">
        <f>ifna(VLOOKUP($A313,Constants!$D:$F,3,false),"")</f>
        <v>TauMassEnergyEquivalent</v>
      </c>
      <c r="G313" s="43" t="str">
        <f t="shared" si="1"/>
        <v>2.84678e-10</v>
      </c>
      <c r="H313" s="43">
        <f t="shared" si="2"/>
        <v>0.000000000284678</v>
      </c>
      <c r="I313" s="43" t="str">
        <f t="shared" si="3"/>
        <v>0.00026e-10</v>
      </c>
      <c r="J313" s="43">
        <f t="shared" si="4"/>
        <v>0</v>
      </c>
      <c r="K313" s="43" t="b">
        <f t="shared" si="5"/>
        <v>0</v>
      </c>
      <c r="L313" s="21" t="str">
        <f>IFERROR(__xludf.DUMMYFUNCTION("if(regexmatch(B313,""e(.*)$""),regexextract(B313,""e(.*)$""),"""")"),"-10")</f>
        <v>-10</v>
      </c>
      <c r="M313" s="45"/>
      <c r="N313" s="45">
        <f>countif(Constants!F:F,F313)</f>
        <v>1</v>
      </c>
      <c r="O313" s="21" t="str">
        <f>ifna(VLOOKUP(A313,Constants!D:D,1,false),"")</f>
        <v>tau mass energy equivalent</v>
      </c>
    </row>
    <row r="314">
      <c r="A314" s="6" t="s">
        <v>2069</v>
      </c>
      <c r="B314" s="46" t="s">
        <v>3674</v>
      </c>
      <c r="C314" s="46" t="s">
        <v>3675</v>
      </c>
      <c r="D314" s="6" t="s">
        <v>548</v>
      </c>
      <c r="E314" s="42">
        <f>countif(Constants!F:F,F314)</f>
        <v>1</v>
      </c>
      <c r="F314" s="6" t="s">
        <v>3676</v>
      </c>
      <c r="G314" s="43" t="str">
        <f t="shared" si="1"/>
        <v>1776.82</v>
      </c>
      <c r="H314" s="43">
        <f t="shared" si="2"/>
        <v>1776.82</v>
      </c>
      <c r="I314" s="43" t="str">
        <f t="shared" si="3"/>
        <v>0.16</v>
      </c>
      <c r="J314" s="43">
        <f t="shared" si="4"/>
        <v>0.16</v>
      </c>
      <c r="K314" s="43" t="b">
        <f t="shared" si="5"/>
        <v>0</v>
      </c>
      <c r="L314" s="21" t="str">
        <f>IFERROR(__xludf.DUMMYFUNCTION("if(regexmatch(B314,""e(.*)$""),regexextract(B314,""e(.*)$""),"""")"),"")</f>
        <v/>
      </c>
      <c r="M314" s="45"/>
      <c r="N314" s="45">
        <f>countif(Constants!F:F,F314)</f>
        <v>1</v>
      </c>
      <c r="O314" s="21" t="str">
        <f>ifna(VLOOKUP(A314,Constants!D:D,1,false),"")</f>
        <v/>
      </c>
    </row>
    <row r="315">
      <c r="A315" s="6" t="s">
        <v>2074</v>
      </c>
      <c r="B315" s="6" t="s">
        <v>3677</v>
      </c>
      <c r="C315" s="6" t="s">
        <v>3204</v>
      </c>
      <c r="D315" s="6" t="s">
        <v>553</v>
      </c>
      <c r="E315" s="42">
        <f>countif(Constants!F:F,F315)</f>
        <v>1</v>
      </c>
      <c r="F315" s="21" t="str">
        <f>ifna(VLOOKUP($A315,Constants!$D:$F,3,false),"")</f>
        <v>TauMassInAtomicMassUnit</v>
      </c>
      <c r="G315" s="43" t="str">
        <f t="shared" si="1"/>
        <v>1.90749</v>
      </c>
      <c r="H315" s="43">
        <f t="shared" si="2"/>
        <v>1.90749</v>
      </c>
      <c r="I315" s="43" t="str">
        <f t="shared" si="3"/>
        <v>0.00017</v>
      </c>
      <c r="J315" s="43">
        <f t="shared" si="4"/>
        <v>0.00017</v>
      </c>
      <c r="K315" s="43" t="b">
        <f t="shared" si="5"/>
        <v>0</v>
      </c>
      <c r="L315" s="21" t="str">
        <f>IFERROR(__xludf.DUMMYFUNCTION("if(regexmatch(B315,""e(.*)$""),regexextract(B315,""e(.*)$""),"""")"),"")</f>
        <v/>
      </c>
      <c r="M315" s="45"/>
      <c r="N315" s="45">
        <f>countif(Constants!F:F,F315)</f>
        <v>1</v>
      </c>
      <c r="O315" s="21" t="str">
        <f>ifna(VLOOKUP(A315,Constants!D:D,1,false),"")</f>
        <v>tau mass in u</v>
      </c>
    </row>
    <row r="316">
      <c r="A316" s="6" t="s">
        <v>2077</v>
      </c>
      <c r="B316" s="6" t="s">
        <v>3678</v>
      </c>
      <c r="C316" s="6" t="s">
        <v>3679</v>
      </c>
      <c r="D316" s="6" t="s">
        <v>557</v>
      </c>
      <c r="E316" s="42">
        <f>countif(Constants!F:F,F316)</f>
        <v>1</v>
      </c>
      <c r="F316" s="21" t="str">
        <f>ifna(VLOOKUP($A316,Constants!$D:$F,3,false),"")</f>
        <v>TauMolarMass</v>
      </c>
      <c r="G316" s="43" t="str">
        <f t="shared" si="1"/>
        <v>1.90749e-3</v>
      </c>
      <c r="H316" s="43">
        <f t="shared" si="2"/>
        <v>0.00190749</v>
      </c>
      <c r="I316" s="43" t="str">
        <f t="shared" si="3"/>
        <v>0.00017e-3</v>
      </c>
      <c r="J316" s="43">
        <f t="shared" si="4"/>
        <v>0.00000017</v>
      </c>
      <c r="K316" s="43" t="b">
        <f t="shared" si="5"/>
        <v>0</v>
      </c>
      <c r="L316" s="21" t="str">
        <f>IFERROR(__xludf.DUMMYFUNCTION("if(regexmatch(B316,""e(.*)$""),regexextract(B316,""e(.*)$""),"""")"),"-3")</f>
        <v>-3</v>
      </c>
      <c r="M316" s="45"/>
      <c r="N316" s="45">
        <f>countif(Constants!F:F,F316)</f>
        <v>1</v>
      </c>
      <c r="O316" s="21" t="str">
        <f>ifna(VLOOKUP(A316,Constants!D:D,1,false),"")</f>
        <v>tau molar mass</v>
      </c>
    </row>
    <row r="317">
      <c r="A317" s="6" t="s">
        <v>2081</v>
      </c>
      <c r="B317" s="46" t="s">
        <v>3680</v>
      </c>
      <c r="C317" s="46" t="s">
        <v>3681</v>
      </c>
      <c r="E317" s="42">
        <f>countif(Constants!F:F,F317)</f>
        <v>1</v>
      </c>
      <c r="F317" s="21" t="str">
        <f>ifna(VLOOKUP($A317,Constants!$D:$F,3,false),"")</f>
        <v>TauMuonMassRatio</v>
      </c>
      <c r="G317" s="43" t="str">
        <f t="shared" si="1"/>
        <v>16.8167</v>
      </c>
      <c r="H317" s="43">
        <f t="shared" si="2"/>
        <v>16.8167</v>
      </c>
      <c r="I317" s="43" t="str">
        <f t="shared" si="3"/>
        <v>0.0015</v>
      </c>
      <c r="J317" s="43">
        <f t="shared" si="4"/>
        <v>0.0015</v>
      </c>
      <c r="K317" s="43" t="b">
        <f t="shared" si="5"/>
        <v>0</v>
      </c>
      <c r="L317" s="21" t="str">
        <f>IFERROR(__xludf.DUMMYFUNCTION("if(regexmatch(B317,""e(.*)$""),regexextract(B317,""e(.*)$""),"""")"),"")</f>
        <v/>
      </c>
      <c r="M317" s="45"/>
      <c r="N317" s="45">
        <f>countif(Constants!F:F,F317)</f>
        <v>1</v>
      </c>
      <c r="O317" s="21" t="str">
        <f>ifna(VLOOKUP(A317,Constants!D:D,1,false),"")</f>
        <v>tau-muon mass ratio</v>
      </c>
    </row>
    <row r="318">
      <c r="A318" s="6" t="s">
        <v>2086</v>
      </c>
      <c r="B318" s="6" t="s">
        <v>3682</v>
      </c>
      <c r="C318" s="6" t="s">
        <v>3204</v>
      </c>
      <c r="E318" s="42">
        <f>countif(Constants!F:F,F318)</f>
        <v>1</v>
      </c>
      <c r="F318" s="21" t="str">
        <f>ifna(VLOOKUP($A318,Constants!$D:$F,3,false),"")</f>
        <v>TauNeutronMassRatio</v>
      </c>
      <c r="G318" s="43" t="str">
        <f t="shared" si="1"/>
        <v>1.89111</v>
      </c>
      <c r="H318" s="43">
        <f t="shared" si="2"/>
        <v>1.89111</v>
      </c>
      <c r="I318" s="43" t="str">
        <f t="shared" si="3"/>
        <v>0.00017</v>
      </c>
      <c r="J318" s="43">
        <f t="shared" si="4"/>
        <v>0.00017</v>
      </c>
      <c r="K318" s="43" t="b">
        <f t="shared" si="5"/>
        <v>0</v>
      </c>
      <c r="L318" s="21" t="str">
        <f>IFERROR(__xludf.DUMMYFUNCTION("if(regexmatch(B318,""e(.*)$""),regexextract(B318,""e(.*)$""),"""")"),"")</f>
        <v/>
      </c>
      <c r="M318" s="45"/>
      <c r="N318" s="45">
        <f>countif(Constants!F:F,F318)</f>
        <v>1</v>
      </c>
      <c r="O318" s="21" t="str">
        <f>ifna(VLOOKUP(A318,Constants!D:D,1,false),"")</f>
        <v>tau-neutron mass ratio</v>
      </c>
    </row>
    <row r="319">
      <c r="A319" s="6" t="s">
        <v>2091</v>
      </c>
      <c r="B319" s="6" t="s">
        <v>3683</v>
      </c>
      <c r="C319" s="6" t="s">
        <v>3204</v>
      </c>
      <c r="E319" s="42">
        <f>countif(Constants!F:F,F319)</f>
        <v>1</v>
      </c>
      <c r="F319" s="21" t="str">
        <f>ifna(VLOOKUP($A319,Constants!$D:$F,3,false),"")</f>
        <v>TauProtonMassRatio</v>
      </c>
      <c r="G319" s="43" t="str">
        <f t="shared" si="1"/>
        <v>1.89372</v>
      </c>
      <c r="H319" s="43">
        <f t="shared" si="2"/>
        <v>1.89372</v>
      </c>
      <c r="I319" s="43" t="str">
        <f t="shared" si="3"/>
        <v>0.00017</v>
      </c>
      <c r="J319" s="43">
        <f t="shared" si="4"/>
        <v>0.00017</v>
      </c>
      <c r="K319" s="43" t="b">
        <f t="shared" si="5"/>
        <v>0</v>
      </c>
      <c r="L319" s="21" t="str">
        <f>IFERROR(__xludf.DUMMYFUNCTION("if(regexmatch(B319,""e(.*)$""),regexextract(B319,""e(.*)$""),"""")"),"")</f>
        <v/>
      </c>
      <c r="M319" s="45"/>
      <c r="N319" s="45">
        <f>countif(Constants!F:F,F319)</f>
        <v>1</v>
      </c>
      <c r="O319" s="21" t="str">
        <f>ifna(VLOOKUP(A319,Constants!D:D,1,false),"")</f>
        <v>tau-proton mass ratio</v>
      </c>
    </row>
    <row r="320">
      <c r="A320" s="6" t="s">
        <v>2096</v>
      </c>
      <c r="B320" s="6" t="s">
        <v>3684</v>
      </c>
      <c r="C320" s="6" t="s">
        <v>3685</v>
      </c>
      <c r="D320" s="6" t="s">
        <v>2097</v>
      </c>
      <c r="E320" s="42">
        <f>countif(Constants!F:F,F320)</f>
        <v>1</v>
      </c>
      <c r="F320" s="21" t="str">
        <f>ifna(VLOOKUP($A320,Constants!$D:$F,3,false),"")</f>
        <v>ThomsonCrossSection</v>
      </c>
      <c r="G320" s="43" t="str">
        <f t="shared" si="1"/>
        <v>0.66524587158e-28</v>
      </c>
      <c r="H320" s="43">
        <f t="shared" si="2"/>
        <v>0</v>
      </c>
      <c r="I320" s="43" t="str">
        <f t="shared" si="3"/>
        <v>0.00000000091e-28</v>
      </c>
      <c r="J320" s="43">
        <f t="shared" si="4"/>
        <v>0</v>
      </c>
      <c r="K320" s="43" t="b">
        <f t="shared" si="5"/>
        <v>0</v>
      </c>
      <c r="L320" s="21" t="str">
        <f>IFERROR(__xludf.DUMMYFUNCTION("if(regexmatch(B320,""e(.*)$""),regexextract(B320,""e(.*)$""),"""")"),"-28")</f>
        <v>-28</v>
      </c>
      <c r="M320" s="45"/>
      <c r="N320" s="45">
        <f>countif(Constants!F:F,F320)</f>
        <v>1</v>
      </c>
      <c r="O320" s="21" t="str">
        <f>ifna(VLOOKUP(A320,Constants!D:D,1,false),"")</f>
        <v>Thomson cross section</v>
      </c>
    </row>
    <row r="321">
      <c r="A321" s="6" t="s">
        <v>2108</v>
      </c>
      <c r="B321" s="6" t="s">
        <v>3686</v>
      </c>
      <c r="C321" s="6" t="s">
        <v>3687</v>
      </c>
      <c r="E321" s="42">
        <f>countif(Constants!F:F,F321)</f>
        <v>1</v>
      </c>
      <c r="F321" s="21" t="str">
        <f>ifna(VLOOKUP($A321,Constants!$D:$F,3,false),"")</f>
        <v>TritonElectronMassRatio</v>
      </c>
      <c r="G321" s="43" t="str">
        <f t="shared" si="1"/>
        <v>5496.92153588</v>
      </c>
      <c r="H321" s="43">
        <f t="shared" si="2"/>
        <v>5496.921536</v>
      </c>
      <c r="I321" s="43" t="str">
        <f t="shared" si="3"/>
        <v>0.00000026</v>
      </c>
      <c r="J321" s="43">
        <f t="shared" si="4"/>
        <v>0.00000026</v>
      </c>
      <c r="K321" s="43" t="b">
        <f t="shared" si="5"/>
        <v>0</v>
      </c>
      <c r="L321" s="21" t="str">
        <f>IFERROR(__xludf.DUMMYFUNCTION("if(regexmatch(B321,""e(.*)$""),regexextract(B321,""e(.*)$""),"""")"),"")</f>
        <v/>
      </c>
      <c r="M321" s="45"/>
      <c r="N321" s="45">
        <f>countif(Constants!F:F,F321)</f>
        <v>1</v>
      </c>
      <c r="O321" s="21" t="str">
        <f>ifna(VLOOKUP(A321,Constants!D:D,1,false),"")</f>
        <v>triton-electron mass ratio</v>
      </c>
    </row>
    <row r="322">
      <c r="A322" s="6" t="s">
        <v>2113</v>
      </c>
      <c r="B322" s="6" t="s">
        <v>3688</v>
      </c>
      <c r="C322" s="6" t="s">
        <v>2684</v>
      </c>
      <c r="E322" s="42">
        <f>countif(Constants!F:F,F322)</f>
        <v>1</v>
      </c>
      <c r="F322" s="21" t="str">
        <f>ifna(VLOOKUP($A322,Constants!$D:$F,3,false),"")</f>
        <v>TritonGFactor</v>
      </c>
      <c r="G322" s="43" t="str">
        <f t="shared" si="1"/>
        <v>5.957924920</v>
      </c>
      <c r="H322" s="43">
        <f t="shared" si="2"/>
        <v>5.95792492</v>
      </c>
      <c r="I322" s="43" t="str">
        <f t="shared" si="3"/>
        <v>0.000000028</v>
      </c>
      <c r="J322" s="43">
        <f t="shared" si="4"/>
        <v>0.000000028</v>
      </c>
      <c r="K322" s="43" t="b">
        <f t="shared" si="5"/>
        <v>0</v>
      </c>
      <c r="L322" s="21" t="str">
        <f>IFERROR(__xludf.DUMMYFUNCTION("if(regexmatch(B322,""e(.*)$""),regexextract(B322,""e(.*)$""),"""")"),"")</f>
        <v/>
      </c>
      <c r="M322" s="45"/>
      <c r="N322" s="45">
        <f>countif(Constants!F:F,F322)</f>
        <v>1</v>
      </c>
      <c r="O322" s="21" t="str">
        <f>ifna(VLOOKUP(A322,Constants!D:D,1,false),"")</f>
        <v>triton g factor</v>
      </c>
    </row>
    <row r="323">
      <c r="A323" s="6" t="s">
        <v>2117</v>
      </c>
      <c r="B323" s="6" t="s">
        <v>3689</v>
      </c>
      <c r="C323" s="6" t="s">
        <v>3690</v>
      </c>
      <c r="D323" s="6" t="s">
        <v>714</v>
      </c>
      <c r="E323" s="42">
        <f>countif(Constants!F:F,F323)</f>
        <v>1</v>
      </c>
      <c r="F323" s="21" t="str">
        <f>ifna(VLOOKUP($A323,Constants!$D:$F,3,false),"")</f>
        <v>TritonMagneticMoment</v>
      </c>
      <c r="G323" s="43" t="str">
        <f t="shared" si="1"/>
        <v>1.504609503e-26</v>
      </c>
      <c r="H323" s="43">
        <f t="shared" si="2"/>
        <v>0</v>
      </c>
      <c r="I323" s="43" t="str">
        <f t="shared" si="3"/>
        <v>0.000000012e-26</v>
      </c>
      <c r="J323" s="43">
        <f t="shared" si="4"/>
        <v>0</v>
      </c>
      <c r="K323" s="43" t="b">
        <f t="shared" si="5"/>
        <v>0</v>
      </c>
      <c r="L323" s="21" t="str">
        <f>IFERROR(__xludf.DUMMYFUNCTION("if(regexmatch(B323,""e(.*)$""),regexextract(B323,""e(.*)$""),"""")"),"-26")</f>
        <v>-26</v>
      </c>
      <c r="M323" s="45"/>
      <c r="N323" s="45">
        <f>countif(Constants!F:F,F323)</f>
        <v>1</v>
      </c>
      <c r="O323" s="21" t="str">
        <f>ifna(VLOOKUP(A323,Constants!D:D,1,false),"")</f>
        <v>triton mag. mom.</v>
      </c>
    </row>
    <row r="324">
      <c r="A324" s="6" t="s">
        <v>2122</v>
      </c>
      <c r="B324" s="6" t="s">
        <v>3691</v>
      </c>
      <c r="C324" s="6" t="s">
        <v>3692</v>
      </c>
      <c r="E324" s="42">
        <f>countif(Constants!F:F,F324)</f>
        <v>1</v>
      </c>
      <c r="F324" s="21" t="str">
        <f>ifna(VLOOKUP($A324,Constants!$D:$F,3,false),"")</f>
        <v>TritonMagneticMomentToBohrMagnetonRatio</v>
      </c>
      <c r="G324" s="43" t="str">
        <f t="shared" si="1"/>
        <v>1.6223936616e-3</v>
      </c>
      <c r="H324" s="43">
        <f t="shared" si="2"/>
        <v>0.001622393662</v>
      </c>
      <c r="I324" s="43" t="str">
        <f t="shared" si="3"/>
        <v>0.0000000076e-3</v>
      </c>
      <c r="J324" s="43">
        <f t="shared" si="4"/>
        <v>0</v>
      </c>
      <c r="K324" s="43" t="b">
        <f t="shared" si="5"/>
        <v>0</v>
      </c>
      <c r="L324" s="21" t="str">
        <f>IFERROR(__xludf.DUMMYFUNCTION("if(regexmatch(B324,""e(.*)$""),regexextract(B324,""e(.*)$""),"""")"),"-3")</f>
        <v>-3</v>
      </c>
      <c r="M324" s="45"/>
      <c r="N324" s="45">
        <f>countif(Constants!F:F,F324)</f>
        <v>1</v>
      </c>
      <c r="O324" s="21" t="str">
        <f>ifna(VLOOKUP(A324,Constants!D:D,1,false),"")</f>
        <v>triton mag. mom. to Bohr magneton ratio</v>
      </c>
    </row>
    <row r="325">
      <c r="A325" s="6" t="s">
        <v>2127</v>
      </c>
      <c r="B325" s="6" t="s">
        <v>3693</v>
      </c>
      <c r="C325" s="6" t="s">
        <v>2834</v>
      </c>
      <c r="E325" s="42">
        <f>countif(Constants!F:F,F325)</f>
        <v>1</v>
      </c>
      <c r="F325" s="21" t="str">
        <f>ifna(VLOOKUP($A325,Constants!$D:$F,3,false),"")</f>
        <v>TritonMagneticMomentToNuclearMagnetonRatio</v>
      </c>
      <c r="G325" s="43" t="str">
        <f t="shared" si="1"/>
        <v>2.978962460</v>
      </c>
      <c r="H325" s="43">
        <f t="shared" si="2"/>
        <v>2.97896246</v>
      </c>
      <c r="I325" s="43" t="str">
        <f t="shared" si="3"/>
        <v>0.000000014</v>
      </c>
      <c r="J325" s="43">
        <f t="shared" si="4"/>
        <v>0.000000014</v>
      </c>
      <c r="K325" s="43" t="b">
        <f t="shared" si="5"/>
        <v>0</v>
      </c>
      <c r="L325" s="21" t="str">
        <f>IFERROR(__xludf.DUMMYFUNCTION("if(regexmatch(B325,""e(.*)$""),regexextract(B325,""e(.*)$""),"""")"),"")</f>
        <v/>
      </c>
      <c r="M325" s="45"/>
      <c r="N325" s="45">
        <f>countif(Constants!F:F,F325)</f>
        <v>1</v>
      </c>
      <c r="O325" s="21" t="str">
        <f>ifna(VLOOKUP(A325,Constants!D:D,1,false),"")</f>
        <v>triton mag. mom. to nuclear magneton ratio</v>
      </c>
    </row>
    <row r="326">
      <c r="A326" s="6" t="s">
        <v>2132</v>
      </c>
      <c r="B326" s="6" t="s">
        <v>3694</v>
      </c>
      <c r="C326" s="6" t="s">
        <v>3410</v>
      </c>
      <c r="D326" s="6" t="s">
        <v>538</v>
      </c>
      <c r="E326" s="42">
        <f>countif(Constants!F:F,F326)</f>
        <v>1</v>
      </c>
      <c r="F326" s="21" t="str">
        <f>ifna(VLOOKUP($A326,Constants!$D:$F,3,false),"")</f>
        <v>TritonMass</v>
      </c>
      <c r="G326" s="43" t="str">
        <f t="shared" si="1"/>
        <v>5.007356665e-27</v>
      </c>
      <c r="H326" s="43">
        <f t="shared" si="2"/>
        <v>0</v>
      </c>
      <c r="I326" s="43" t="str">
        <f t="shared" si="3"/>
        <v>0.000000062e-27</v>
      </c>
      <c r="J326" s="43">
        <f t="shared" si="4"/>
        <v>0</v>
      </c>
      <c r="K326" s="43" t="b">
        <f t="shared" si="5"/>
        <v>0</v>
      </c>
      <c r="L326" s="21" t="str">
        <f>IFERROR(__xludf.DUMMYFUNCTION("if(regexmatch(B326,""e(.*)$""),regexextract(B326,""e(.*)$""),"""")"),"-27")</f>
        <v>-27</v>
      </c>
      <c r="M326" s="45"/>
      <c r="N326" s="45">
        <f>countif(Constants!F:F,F326)</f>
        <v>1</v>
      </c>
      <c r="O326" s="21" t="str">
        <f>ifna(VLOOKUP(A326,Constants!D:D,1,false),"")</f>
        <v>triton mass</v>
      </c>
    </row>
    <row r="327">
      <c r="A327" s="6" t="s">
        <v>2136</v>
      </c>
      <c r="B327" s="6" t="s">
        <v>3695</v>
      </c>
      <c r="C327" s="6" t="s">
        <v>3412</v>
      </c>
      <c r="D327" s="6" t="s">
        <v>543</v>
      </c>
      <c r="E327" s="42">
        <f>countif(Constants!F:F,F327)</f>
        <v>1</v>
      </c>
      <c r="F327" s="21" t="str">
        <f>ifna(VLOOKUP($A327,Constants!$D:$F,3,false),"")</f>
        <v>TritonMassEnergyEquivalent</v>
      </c>
      <c r="G327" s="43" t="str">
        <f t="shared" si="1"/>
        <v>4.500387735e-10</v>
      </c>
      <c r="H327" s="43">
        <f t="shared" si="2"/>
        <v>0.0000000004500387735</v>
      </c>
      <c r="I327" s="43" t="str">
        <f t="shared" si="3"/>
        <v>0.000000055e-10</v>
      </c>
      <c r="J327" s="43">
        <f t="shared" si="4"/>
        <v>0</v>
      </c>
      <c r="K327" s="43" t="b">
        <f t="shared" si="5"/>
        <v>0</v>
      </c>
      <c r="L327" s="21" t="str">
        <f>IFERROR(__xludf.DUMMYFUNCTION("if(regexmatch(B327,""e(.*)$""),regexextract(B327,""e(.*)$""),"""")"),"-10")</f>
        <v>-10</v>
      </c>
      <c r="M327" s="45"/>
      <c r="N327" s="45">
        <f>countif(Constants!F:F,F327)</f>
        <v>1</v>
      </c>
      <c r="O327" s="21" t="str">
        <f>ifna(VLOOKUP(A327,Constants!D:D,1,false),"")</f>
        <v>triton mass energy equivalent</v>
      </c>
    </row>
    <row r="328">
      <c r="A328" s="6" t="s">
        <v>2140</v>
      </c>
      <c r="B328" s="6" t="s">
        <v>3696</v>
      </c>
      <c r="C328" s="6" t="s">
        <v>3414</v>
      </c>
      <c r="D328" s="6" t="s">
        <v>548</v>
      </c>
      <c r="E328" s="42">
        <f>countif(Constants!F:F,F328)</f>
        <v>1</v>
      </c>
      <c r="F328" s="21" t="str">
        <f>ifna(VLOOKUP($A328,Constants!$D:$F,3,false),"")</f>
        <v>TritonMassEnergyEquivalentInMeV</v>
      </c>
      <c r="G328" s="43" t="str">
        <f t="shared" si="1"/>
        <v>2808.921112</v>
      </c>
      <c r="H328" s="43">
        <f t="shared" si="2"/>
        <v>2808.921112</v>
      </c>
      <c r="I328" s="43" t="str">
        <f t="shared" si="3"/>
        <v>0.000017</v>
      </c>
      <c r="J328" s="43">
        <f t="shared" si="4"/>
        <v>0.000017</v>
      </c>
      <c r="K328" s="43" t="b">
        <f t="shared" si="5"/>
        <v>0</v>
      </c>
      <c r="L328" s="21" t="str">
        <f>IFERROR(__xludf.DUMMYFUNCTION("if(regexmatch(B328,""e(.*)$""),regexextract(B328,""e(.*)$""),"""")"),"")</f>
        <v/>
      </c>
      <c r="M328" s="45"/>
      <c r="N328" s="45">
        <f>countif(Constants!F:F,F328)</f>
        <v>1</v>
      </c>
      <c r="O328" s="21" t="str">
        <f>ifna(VLOOKUP(A328,Constants!D:D,1,false),"")</f>
        <v>triton mass energy equivalent in MeV</v>
      </c>
    </row>
    <row r="329">
      <c r="A329" s="6" t="s">
        <v>2143</v>
      </c>
      <c r="B329" s="6" t="s">
        <v>3697</v>
      </c>
      <c r="C329" s="6" t="s">
        <v>2873</v>
      </c>
      <c r="D329" s="6" t="s">
        <v>553</v>
      </c>
      <c r="E329" s="42">
        <f>countif(Constants!F:F,F329)</f>
        <v>1</v>
      </c>
      <c r="F329" s="21" t="str">
        <f>ifna(VLOOKUP($A329,Constants!$D:$F,3,false),"")</f>
        <v>TritonMassInAtomicMassUnit</v>
      </c>
      <c r="G329" s="43" t="str">
        <f t="shared" si="1"/>
        <v>3.01550071632</v>
      </c>
      <c r="H329" s="43">
        <f t="shared" si="2"/>
        <v>3.015500716</v>
      </c>
      <c r="I329" s="43" t="str">
        <f t="shared" si="3"/>
        <v>0.00000000011</v>
      </c>
      <c r="J329" s="43">
        <f t="shared" si="4"/>
        <v>0.00000000011</v>
      </c>
      <c r="K329" s="43" t="b">
        <f t="shared" si="5"/>
        <v>0</v>
      </c>
      <c r="L329" s="21" t="str">
        <f>IFERROR(__xludf.DUMMYFUNCTION("if(regexmatch(B329,""e(.*)$""),regexextract(B329,""e(.*)$""),"""")"),"")</f>
        <v/>
      </c>
      <c r="M329" s="45"/>
      <c r="N329" s="45">
        <f>countif(Constants!F:F,F329)</f>
        <v>1</v>
      </c>
      <c r="O329" s="21" t="str">
        <f>ifna(VLOOKUP(A329,Constants!D:D,1,false),"")</f>
        <v>triton mass in u</v>
      </c>
    </row>
    <row r="330">
      <c r="A330" s="6" t="s">
        <v>2146</v>
      </c>
      <c r="B330" s="6" t="s">
        <v>3698</v>
      </c>
      <c r="C330" s="6" t="s">
        <v>3699</v>
      </c>
      <c r="D330" s="6" t="s">
        <v>557</v>
      </c>
      <c r="E330" s="42">
        <f>countif(Constants!F:F,F330)</f>
        <v>1</v>
      </c>
      <c r="F330" s="21" t="str">
        <f>ifna(VLOOKUP($A330,Constants!$D:$F,3,false),"")</f>
        <v>TritonMolarMass</v>
      </c>
      <c r="G330" s="43" t="str">
        <f t="shared" si="1"/>
        <v>3.01550071632e-3</v>
      </c>
      <c r="H330" s="43">
        <f t="shared" si="2"/>
        <v>0.003015500716</v>
      </c>
      <c r="I330" s="43" t="str">
        <f t="shared" si="3"/>
        <v>0.00000000011e-3</v>
      </c>
      <c r="J330" s="43">
        <f t="shared" si="4"/>
        <v>0</v>
      </c>
      <c r="K330" s="43" t="b">
        <f t="shared" si="5"/>
        <v>0</v>
      </c>
      <c r="L330" s="21" t="str">
        <f>IFERROR(__xludf.DUMMYFUNCTION("if(regexmatch(B330,""e(.*)$""),regexextract(B330,""e(.*)$""),"""")"),"-3")</f>
        <v>-3</v>
      </c>
      <c r="M330" s="45"/>
      <c r="N330" s="45">
        <f>countif(Constants!F:F,F330)</f>
        <v>1</v>
      </c>
      <c r="O330" s="21" t="str">
        <f>ifna(VLOOKUP(A330,Constants!D:D,1,false),"")</f>
        <v>triton molar mass</v>
      </c>
    </row>
    <row r="331">
      <c r="A331" s="6" t="s">
        <v>2155</v>
      </c>
      <c r="B331" s="6" t="s">
        <v>3700</v>
      </c>
      <c r="C331" s="6" t="s">
        <v>2770</v>
      </c>
      <c r="E331" s="42">
        <f>countif(Constants!F:F,F331)</f>
        <v>1</v>
      </c>
      <c r="F331" s="21" t="str">
        <f>ifna(VLOOKUP($A331,Constants!$D:$F,3,false),"")</f>
        <v>TritonProtonMassRatio</v>
      </c>
      <c r="G331" s="43" t="str">
        <f t="shared" si="1"/>
        <v>2.99371703348</v>
      </c>
      <c r="H331" s="43">
        <f t="shared" si="2"/>
        <v>2.993717033</v>
      </c>
      <c r="I331" s="43" t="str">
        <f t="shared" si="3"/>
        <v>0.00000000022</v>
      </c>
      <c r="J331" s="43">
        <f t="shared" si="4"/>
        <v>0.00000000022</v>
      </c>
      <c r="K331" s="43" t="b">
        <f t="shared" si="5"/>
        <v>0</v>
      </c>
      <c r="L331" s="21" t="str">
        <f>IFERROR(__xludf.DUMMYFUNCTION("if(regexmatch(B331,""e(.*)$""),regexextract(B331,""e(.*)$""),"""")"),"")</f>
        <v/>
      </c>
      <c r="M331" s="45"/>
      <c r="N331" s="45">
        <f>countif(Constants!F:F,F331)</f>
        <v>1</v>
      </c>
      <c r="O331" s="21" t="str">
        <f>ifna(VLOOKUP(A331,Constants!D:D,1,false),"")</f>
        <v>triton-proton mass ratio</v>
      </c>
    </row>
    <row r="332">
      <c r="A332" s="6" t="s">
        <v>2168</v>
      </c>
      <c r="B332" s="6" t="s">
        <v>3219</v>
      </c>
      <c r="C332" s="6" t="s">
        <v>3220</v>
      </c>
      <c r="D332" s="6" t="s">
        <v>538</v>
      </c>
      <c r="E332" s="42">
        <f>countif(Constants!F:F,F332)</f>
        <v>1</v>
      </c>
      <c r="F332" s="21" t="str">
        <f>ifna(VLOOKUP($A332,Constants!$D:$F,3,false),"")</f>
        <v>UnifiedAtomicMassUnit</v>
      </c>
      <c r="G332" s="43" t="str">
        <f t="shared" si="1"/>
        <v>1.660539040e-27</v>
      </c>
      <c r="H332" s="43">
        <f t="shared" si="2"/>
        <v>0</v>
      </c>
      <c r="I332" s="43" t="str">
        <f t="shared" si="3"/>
        <v>0.000000020e-27</v>
      </c>
      <c r="J332" s="43">
        <f t="shared" si="4"/>
        <v>0</v>
      </c>
      <c r="K332" s="43" t="b">
        <f t="shared" si="5"/>
        <v>0</v>
      </c>
      <c r="L332" s="21" t="str">
        <f>IFERROR(__xludf.DUMMYFUNCTION("if(regexmatch(B332,""e(.*)$""),regexextract(B332,""e(.*)$""),"""")"),"-27")</f>
        <v>-27</v>
      </c>
      <c r="M332" s="45"/>
      <c r="N332" s="45">
        <f>countif(Constants!F:F,F332)</f>
        <v>1</v>
      </c>
      <c r="O332" s="21" t="str">
        <f>ifna(VLOOKUP(A332,Constants!D:D,1,false),"")</f>
        <v>unified atomic mass unit</v>
      </c>
    </row>
    <row r="333">
      <c r="A333" s="6" t="s">
        <v>2192</v>
      </c>
      <c r="B333" s="6" t="s">
        <v>3701</v>
      </c>
      <c r="C333" s="6" t="s">
        <v>3702</v>
      </c>
      <c r="D333" s="6" t="s">
        <v>814</v>
      </c>
      <c r="E333" s="42">
        <f>countif(Constants!F:F,F333)</f>
        <v>1</v>
      </c>
      <c r="F333" s="21" t="str">
        <f>ifna(VLOOKUP($A333,Constants!$D:$F,3,false),"")</f>
        <v>VonKlitzingConstant</v>
      </c>
      <c r="G333" s="43" t="str">
        <f t="shared" si="1"/>
        <v>25812.8074555</v>
      </c>
      <c r="H333" s="43">
        <f t="shared" si="2"/>
        <v>25812.80746</v>
      </c>
      <c r="I333" s="43" t="str">
        <f t="shared" si="3"/>
        <v>0.0000059</v>
      </c>
      <c r="J333" s="43">
        <f t="shared" si="4"/>
        <v>0.0000059</v>
      </c>
      <c r="K333" s="43" t="b">
        <f t="shared" si="5"/>
        <v>0</v>
      </c>
      <c r="L333" s="21" t="str">
        <f>IFERROR(__xludf.DUMMYFUNCTION("if(regexmatch(B333,""e(.*)$""),regexextract(B333,""e(.*)$""),"""")"),"")</f>
        <v/>
      </c>
      <c r="M333" s="45"/>
      <c r="N333" s="45">
        <f>countif(Constants!F:F,F333)</f>
        <v>1</v>
      </c>
      <c r="O333" s="21" t="str">
        <f>ifna(VLOOKUP(A333,Constants!D:D,1,false),"")</f>
        <v>von Klitzing constant</v>
      </c>
    </row>
    <row r="334">
      <c r="A334" s="6" t="s">
        <v>2197</v>
      </c>
      <c r="B334" s="46" t="s">
        <v>3703</v>
      </c>
      <c r="C334" s="46" t="s">
        <v>3704</v>
      </c>
      <c r="E334" s="42">
        <f>countif(Constants!F:F,F334)</f>
        <v>1</v>
      </c>
      <c r="F334" s="21" t="str">
        <f>ifna(VLOOKUP($A334,Constants!$D:$F,3,false),"")</f>
        <v>WeakMixingAngle</v>
      </c>
      <c r="G334" s="43" t="str">
        <f t="shared" si="1"/>
        <v>0.2223</v>
      </c>
      <c r="H334" s="43">
        <f t="shared" si="2"/>
        <v>0.2223</v>
      </c>
      <c r="I334" s="43" t="str">
        <f t="shared" si="3"/>
        <v>0.0021</v>
      </c>
      <c r="J334" s="43">
        <f t="shared" si="4"/>
        <v>0.0021</v>
      </c>
      <c r="K334" s="43" t="b">
        <f t="shared" si="5"/>
        <v>0</v>
      </c>
      <c r="L334" s="21" t="str">
        <f>IFERROR(__xludf.DUMMYFUNCTION("if(regexmatch(B334,""e(.*)$""),regexextract(B334,""e(.*)$""),"""")"),"")</f>
        <v/>
      </c>
      <c r="M334" s="45"/>
      <c r="N334" s="45">
        <f>countif(Constants!F:F,F334)</f>
        <v>1</v>
      </c>
      <c r="O334" s="21" t="str">
        <f>ifna(VLOOKUP(A334,Constants!D:D,1,false),"")</f>
        <v>weak mixing angle</v>
      </c>
    </row>
    <row r="335">
      <c r="A335" s="6" t="s">
        <v>2200</v>
      </c>
      <c r="B335" s="6" t="s">
        <v>3705</v>
      </c>
      <c r="C335" s="6" t="s">
        <v>3706</v>
      </c>
      <c r="D335" s="6" t="s">
        <v>804</v>
      </c>
      <c r="E335" s="42">
        <f>countif(Constants!F:F,F335)</f>
        <v>1</v>
      </c>
      <c r="F335" s="21" t="str">
        <f>ifna(VLOOKUP($A335,Constants!$D:$F,3,false),"")</f>
        <v>WienFrequencyDisplacementLawConstant</v>
      </c>
      <c r="G335" s="43" t="str">
        <f t="shared" si="1"/>
        <v>5.8789238e10</v>
      </c>
      <c r="H335" s="43">
        <f t="shared" si="2"/>
        <v>58789238000</v>
      </c>
      <c r="I335" s="43" t="str">
        <f t="shared" si="3"/>
        <v>0.0000034e10</v>
      </c>
      <c r="J335" s="43">
        <f t="shared" si="4"/>
        <v>34000</v>
      </c>
      <c r="K335" s="43" t="b">
        <f t="shared" si="5"/>
        <v>0</v>
      </c>
      <c r="L335" s="21" t="str">
        <f>IFERROR(__xludf.DUMMYFUNCTION("if(regexmatch(B335,""e(.*)$""),regexextract(B335,""e(.*)$""),"""")"),"10")</f>
        <v>10</v>
      </c>
      <c r="M335" s="45"/>
      <c r="N335" s="45">
        <f>countif(Constants!F:F,F335)</f>
        <v>1</v>
      </c>
      <c r="O335" s="21" t="str">
        <f>ifna(VLOOKUP(A335,Constants!D:D,1,false),"")</f>
        <v>Wien frequency displacement law constant</v>
      </c>
    </row>
    <row r="336">
      <c r="A336" s="6" t="s">
        <v>2204</v>
      </c>
      <c r="B336" s="6" t="s">
        <v>3707</v>
      </c>
      <c r="C336" s="6" t="s">
        <v>3708</v>
      </c>
      <c r="D336" s="6" t="s">
        <v>1955</v>
      </c>
      <c r="E336" s="42">
        <f>countif(Constants!F:F,F336)</f>
        <v>1</v>
      </c>
      <c r="F336" s="21" t="str">
        <f>ifna(VLOOKUP($A336,Constants!$D:$F,3,false),"")</f>
        <v>WienWavelengthDisplacementLawConstant</v>
      </c>
      <c r="G336" s="43" t="str">
        <f t="shared" si="1"/>
        <v>2.8977729e-3</v>
      </c>
      <c r="H336" s="43">
        <f t="shared" si="2"/>
        <v>0.0028977729</v>
      </c>
      <c r="I336" s="43" t="str">
        <f t="shared" si="3"/>
        <v>0.0000017e-3</v>
      </c>
      <c r="J336" s="43">
        <f t="shared" si="4"/>
        <v>0.0000000017</v>
      </c>
      <c r="K336" s="43" t="b">
        <f t="shared" si="5"/>
        <v>0</v>
      </c>
      <c r="L336" s="21" t="str">
        <f>IFERROR(__xludf.DUMMYFUNCTION("if(regexmatch(B336,""e(.*)$""),regexextract(B336,""e(.*)$""),"""")"),"-3")</f>
        <v>-3</v>
      </c>
      <c r="M336" s="45"/>
      <c r="N336" s="45">
        <f>countif(Constants!F:F,F336)</f>
        <v>1</v>
      </c>
      <c r="O336" s="21" t="str">
        <f>ifna(VLOOKUP(A336,Constants!D:D,1,false),"")</f>
        <v>Wien wavelength displacement law constant</v>
      </c>
    </row>
  </sheetData>
  <conditionalFormatting sqref="E2:E336">
    <cfRule type="cellIs" dxfId="0" priority="1" operator="notEqual">
      <formula>1</formula>
    </cfRule>
  </conditionalFormatting>
  <conditionalFormatting sqref="M1:N336">
    <cfRule type="cellIs" dxfId="3" priority="2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10.5"/>
    <col customWidth="1" min="12" max="12" width="8.38"/>
    <col customWidth="1" min="13" max="13" width="14.38"/>
    <col customWidth="1" min="14" max="14" width="8.88"/>
    <col customWidth="1" min="15" max="15" width="43.38"/>
  </cols>
  <sheetData>
    <row r="1">
      <c r="A1" s="10" t="s">
        <v>249</v>
      </c>
      <c r="B1" s="10" t="s">
        <v>2210</v>
      </c>
      <c r="C1" s="10" t="s">
        <v>2211</v>
      </c>
      <c r="D1" s="10" t="s">
        <v>2212</v>
      </c>
      <c r="E1" s="38" t="s">
        <v>2213</v>
      </c>
      <c r="F1" s="20" t="s">
        <v>0</v>
      </c>
      <c r="G1" s="39" t="s">
        <v>2214</v>
      </c>
      <c r="H1" s="39" t="s">
        <v>2215</v>
      </c>
      <c r="I1" s="39" t="s">
        <v>2216</v>
      </c>
      <c r="J1" s="39" t="s">
        <v>2217</v>
      </c>
      <c r="K1" s="39" t="s">
        <v>2218</v>
      </c>
      <c r="L1" s="39" t="s">
        <v>2219</v>
      </c>
      <c r="M1" s="39"/>
      <c r="N1" s="41" t="s">
        <v>2220</v>
      </c>
      <c r="O1" s="39" t="s">
        <v>2221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>
      <c r="A2" s="6" t="s">
        <v>3205</v>
      </c>
      <c r="B2" s="6" t="s">
        <v>3206</v>
      </c>
      <c r="C2" s="6" t="s">
        <v>3207</v>
      </c>
      <c r="D2" s="6" t="s">
        <v>571</v>
      </c>
      <c r="E2" s="42">
        <f>countif(Constants!F:F,F2)</f>
        <v>1</v>
      </c>
      <c r="F2" s="6" t="s">
        <v>380</v>
      </c>
      <c r="G2" s="43" t="str">
        <f t="shared" ref="G2:G336" si="1">SUBSTITUTE(SUBSTITUTE(B2," ",""),"...","")</f>
        <v>192.0155714e-12</v>
      </c>
      <c r="H2" s="43">
        <f t="shared" ref="H2:H336" si="2">value(G2)</f>
        <v>0.0000000001920155714</v>
      </c>
      <c r="I2" s="43" t="str">
        <f t="shared" ref="I2:I336" si="3">SUBSTITUTE(C2," ","")</f>
        <v>0.0000032e-12</v>
      </c>
      <c r="J2" s="43">
        <f t="shared" ref="J2:J336" si="4">if(I2="(exact)","",value(I2))</f>
        <v>0</v>
      </c>
      <c r="K2" s="43" t="b">
        <f t="shared" ref="K2:K336" si="5">ISNUMBER(search("...",B2))</f>
        <v>0</v>
      </c>
      <c r="L2" s="21" t="str">
        <f>IFERROR(__xludf.DUMMYFUNCTION("if(regexmatch(B2,""e(.*)$""),regexextract(B2,""e(.*)$""),"""")"),"-12")</f>
        <v>-12</v>
      </c>
      <c r="M2" s="21"/>
      <c r="N2" s="45">
        <f>countif(Constants!F:F,F2)</f>
        <v>1</v>
      </c>
      <c r="O2" s="21" t="str">
        <f>VLOOKUP(A2,Constants!D:D,1,false)</f>
        <v>#N/A</v>
      </c>
    </row>
    <row r="3">
      <c r="A3" s="6" t="s">
        <v>531</v>
      </c>
      <c r="B3" s="6" t="s">
        <v>3709</v>
      </c>
      <c r="C3" s="6" t="s">
        <v>3447</v>
      </c>
      <c r="E3" s="42">
        <f>countif(Constants!F:F,F3)</f>
        <v>1</v>
      </c>
      <c r="F3" s="21" t="str">
        <f>ifna(VLOOKUP($A3,Constants!$D:$F,3,false),"")</f>
        <v>AlphaParticleElectronMassRatio</v>
      </c>
      <c r="G3" s="43" t="str">
        <f t="shared" si="1"/>
        <v>7294.2995361</v>
      </c>
      <c r="H3" s="43">
        <f t="shared" si="2"/>
        <v>7294.299536</v>
      </c>
      <c r="I3" s="43" t="str">
        <f t="shared" si="3"/>
        <v>0.0000029</v>
      </c>
      <c r="J3" s="43">
        <f t="shared" si="4"/>
        <v>0.0000029</v>
      </c>
      <c r="K3" s="43" t="b">
        <f t="shared" si="5"/>
        <v>0</v>
      </c>
      <c r="L3" s="21" t="str">
        <f>IFERROR(__xludf.DUMMYFUNCTION("if(regexmatch(B3,""e(.*)$""),regexextract(B3,""e(.*)$""),"""")"),"")</f>
        <v/>
      </c>
      <c r="M3" s="21"/>
      <c r="N3" s="45">
        <f>countif(Constants!F:F,F3)</f>
        <v>1</v>
      </c>
      <c r="O3" s="21" t="str">
        <f>VLOOKUP(A3,Constants!D:D,1,false)</f>
        <v>alpha particle-electron mass ratio</v>
      </c>
    </row>
    <row r="4">
      <c r="A4" s="6" t="s">
        <v>537</v>
      </c>
      <c r="B4" s="6" t="s">
        <v>3710</v>
      </c>
      <c r="C4" s="6" t="s">
        <v>3711</v>
      </c>
      <c r="D4" s="6" t="s">
        <v>538</v>
      </c>
      <c r="E4" s="42">
        <f>countif(Constants!F:F,F4)</f>
        <v>1</v>
      </c>
      <c r="F4" s="21" t="str">
        <f>ifna(VLOOKUP($A4,Constants!$D:$F,3,false),"")</f>
        <v>AlphaParticleMass</v>
      </c>
      <c r="G4" s="43" t="str">
        <f t="shared" si="1"/>
        <v>6.64465675e-27</v>
      </c>
      <c r="H4" s="43">
        <f t="shared" si="2"/>
        <v>0</v>
      </c>
      <c r="I4" s="43" t="str">
        <f t="shared" si="3"/>
        <v>0.00000029e-27</v>
      </c>
      <c r="J4" s="43">
        <f t="shared" si="4"/>
        <v>0</v>
      </c>
      <c r="K4" s="43" t="b">
        <f t="shared" si="5"/>
        <v>0</v>
      </c>
      <c r="L4" s="21" t="str">
        <f>IFERROR(__xludf.DUMMYFUNCTION("if(regexmatch(B4,""e(.*)$""),regexextract(B4,""e(.*)$""),"""")"),"-27")</f>
        <v>-27</v>
      </c>
      <c r="M4" s="21"/>
      <c r="N4" s="45">
        <f>countif(Constants!F:F,F4)</f>
        <v>1</v>
      </c>
      <c r="O4" s="21" t="str">
        <f>VLOOKUP(A4,Constants!D:D,1,false)</f>
        <v>alpha particle mass</v>
      </c>
    </row>
    <row r="5">
      <c r="A5" s="6" t="s">
        <v>542</v>
      </c>
      <c r="B5" s="6" t="s">
        <v>3712</v>
      </c>
      <c r="C5" s="6" t="s">
        <v>3713</v>
      </c>
      <c r="D5" s="6" t="s">
        <v>543</v>
      </c>
      <c r="E5" s="42">
        <f>countif(Constants!F:F,F5)</f>
        <v>1</v>
      </c>
      <c r="F5" s="21" t="str">
        <f>ifna(VLOOKUP($A5,Constants!$D:$F,3,false),"")</f>
        <v>AlphaParticleMassEnergyEquivalent</v>
      </c>
      <c r="G5" s="43" t="str">
        <f t="shared" si="1"/>
        <v>5.97191967e-10</v>
      </c>
      <c r="H5" s="43">
        <f t="shared" si="2"/>
        <v>0.000000000597191967</v>
      </c>
      <c r="I5" s="43" t="str">
        <f t="shared" si="3"/>
        <v>0.00000026e-10</v>
      </c>
      <c r="J5" s="43">
        <f t="shared" si="4"/>
        <v>0</v>
      </c>
      <c r="K5" s="43" t="b">
        <f t="shared" si="5"/>
        <v>0</v>
      </c>
      <c r="L5" s="21" t="str">
        <f>IFERROR(__xludf.DUMMYFUNCTION("if(regexmatch(B5,""e(.*)$""),regexextract(B5,""e(.*)$""),"""")"),"-10")</f>
        <v>-10</v>
      </c>
      <c r="M5" s="21"/>
      <c r="N5" s="45">
        <f>countif(Constants!F:F,F5)</f>
        <v>1</v>
      </c>
      <c r="O5" s="21" t="str">
        <f>VLOOKUP(A5,Constants!D:D,1,false)</f>
        <v>alpha particle mass energy equivalent</v>
      </c>
    </row>
    <row r="6">
      <c r="A6" s="6" t="s">
        <v>547</v>
      </c>
      <c r="B6" s="6" t="s">
        <v>3714</v>
      </c>
      <c r="C6" s="6" t="s">
        <v>3715</v>
      </c>
      <c r="D6" s="6" t="s">
        <v>548</v>
      </c>
      <c r="E6" s="42">
        <f>countif(Constants!F:F,F6)</f>
        <v>1</v>
      </c>
      <c r="F6" s="21" t="str">
        <f>ifna(VLOOKUP($A6,Constants!$D:$F,3,false),"")</f>
        <v>AlphaParticleMassEnergyEquivalentInMeV</v>
      </c>
      <c r="G6" s="43" t="str">
        <f t="shared" si="1"/>
        <v>3727.379240</v>
      </c>
      <c r="H6" s="43">
        <f t="shared" si="2"/>
        <v>3727.37924</v>
      </c>
      <c r="I6" s="43" t="str">
        <f t="shared" si="3"/>
        <v>0.000082</v>
      </c>
      <c r="J6" s="43">
        <f t="shared" si="4"/>
        <v>0.000082</v>
      </c>
      <c r="K6" s="43" t="b">
        <f t="shared" si="5"/>
        <v>0</v>
      </c>
      <c r="L6" s="21" t="str">
        <f>IFERROR(__xludf.DUMMYFUNCTION("if(regexmatch(B6,""e(.*)$""),regexextract(B6,""e(.*)$""),"""")"),"")</f>
        <v/>
      </c>
      <c r="M6" s="21"/>
      <c r="N6" s="45">
        <f>countif(Constants!F:F,F6)</f>
        <v>1</v>
      </c>
      <c r="O6" s="21" t="str">
        <f>VLOOKUP(A6,Constants!D:D,1,false)</f>
        <v>alpha particle mass energy equivalent in MeV</v>
      </c>
    </row>
    <row r="7">
      <c r="A7" s="6" t="s">
        <v>552</v>
      </c>
      <c r="B7" s="6" t="s">
        <v>3716</v>
      </c>
      <c r="C7" s="6" t="s">
        <v>2231</v>
      </c>
      <c r="D7" s="6" t="s">
        <v>553</v>
      </c>
      <c r="E7" s="42">
        <f>countif(Constants!F:F,F7)</f>
        <v>1</v>
      </c>
      <c r="F7" s="21" t="str">
        <f>ifna(VLOOKUP($A7,Constants!$D:$F,3,false),"")</f>
        <v>AlphaParticleMassInAtomicMassUnit</v>
      </c>
      <c r="G7" s="43" t="str">
        <f t="shared" si="1"/>
        <v>4.001506179125</v>
      </c>
      <c r="H7" s="43">
        <f t="shared" si="2"/>
        <v>4.001506179</v>
      </c>
      <c r="I7" s="43" t="str">
        <f t="shared" si="3"/>
        <v>0.000000000062</v>
      </c>
      <c r="J7" s="43">
        <f t="shared" si="4"/>
        <v>0</v>
      </c>
      <c r="K7" s="43" t="b">
        <f t="shared" si="5"/>
        <v>0</v>
      </c>
      <c r="L7" s="21" t="str">
        <f>IFERROR(__xludf.DUMMYFUNCTION("if(regexmatch(B7,""e(.*)$""),regexextract(B7,""e(.*)$""),"""")"),"")</f>
        <v/>
      </c>
      <c r="M7" s="21"/>
      <c r="N7" s="45">
        <f>countif(Constants!F:F,F7)</f>
        <v>1</v>
      </c>
      <c r="O7" s="21" t="str">
        <f>VLOOKUP(A7,Constants!D:D,1,false)</f>
        <v>alpha particle mass in u</v>
      </c>
    </row>
    <row r="8">
      <c r="A8" s="6" t="s">
        <v>556</v>
      </c>
      <c r="B8" s="6" t="s">
        <v>3717</v>
      </c>
      <c r="C8" s="6" t="s">
        <v>3718</v>
      </c>
      <c r="D8" s="6" t="s">
        <v>557</v>
      </c>
      <c r="E8" s="42">
        <f>countif(Constants!F:F,F8)</f>
        <v>1</v>
      </c>
      <c r="F8" s="21" t="str">
        <f>ifna(VLOOKUP($A8,Constants!$D:$F,3,false),"")</f>
        <v>AlphaParticleMolarMass</v>
      </c>
      <c r="G8" s="43" t="str">
        <f t="shared" si="1"/>
        <v>4.001506179125e-3</v>
      </c>
      <c r="H8" s="43">
        <f t="shared" si="2"/>
        <v>0.004001506179</v>
      </c>
      <c r="I8" s="43" t="str">
        <f t="shared" si="3"/>
        <v>0.000000000062e-3</v>
      </c>
      <c r="J8" s="43">
        <f t="shared" si="4"/>
        <v>0</v>
      </c>
      <c r="K8" s="43" t="b">
        <f t="shared" si="5"/>
        <v>0</v>
      </c>
      <c r="L8" s="21" t="str">
        <f>IFERROR(__xludf.DUMMYFUNCTION("if(regexmatch(B8,""e(.*)$""),regexextract(B8,""e(.*)$""),"""")"),"-3")</f>
        <v>-3</v>
      </c>
      <c r="M8" s="21"/>
      <c r="N8" s="45">
        <f>countif(Constants!F:F,F8)</f>
        <v>1</v>
      </c>
      <c r="O8" s="21" t="str">
        <f>VLOOKUP(A8,Constants!D:D,1,false)</f>
        <v>alpha particle molar mass</v>
      </c>
    </row>
    <row r="9">
      <c r="A9" s="6" t="s">
        <v>562</v>
      </c>
      <c r="B9" s="6" t="s">
        <v>3719</v>
      </c>
      <c r="C9" s="6" t="s">
        <v>3218</v>
      </c>
      <c r="E9" s="42">
        <f>countif(Constants!F:F,F9)</f>
        <v>1</v>
      </c>
      <c r="F9" s="21" t="str">
        <f>ifna(VLOOKUP($A9,Constants!$D:$F,3,false),"")</f>
        <v>AlphaParticleProtonMassRatio</v>
      </c>
      <c r="G9" s="43" t="str">
        <f t="shared" si="1"/>
        <v>3.97259968933</v>
      </c>
      <c r="H9" s="43">
        <f t="shared" si="2"/>
        <v>3.972599689</v>
      </c>
      <c r="I9" s="43" t="str">
        <f t="shared" si="3"/>
        <v>0.00000000036</v>
      </c>
      <c r="J9" s="43">
        <f t="shared" si="4"/>
        <v>0.00000000036</v>
      </c>
      <c r="K9" s="43" t="b">
        <f t="shared" si="5"/>
        <v>0</v>
      </c>
      <c r="L9" s="21" t="str">
        <f>IFERROR(__xludf.DUMMYFUNCTION("if(regexmatch(B9,""e(.*)$""),regexextract(B9,""e(.*)$""),"""")"),"")</f>
        <v/>
      </c>
      <c r="M9" s="21"/>
      <c r="N9" s="45">
        <f>countif(Constants!F:F,F9)</f>
        <v>1</v>
      </c>
      <c r="O9" s="21" t="str">
        <f>VLOOKUP(A9,Constants!D:D,1,false)</f>
        <v>alpha particle-proton mass ratio</v>
      </c>
    </row>
    <row r="10">
      <c r="A10" s="6" t="s">
        <v>573</v>
      </c>
      <c r="B10" s="6" t="s">
        <v>2771</v>
      </c>
      <c r="C10" s="6" t="s">
        <v>2239</v>
      </c>
      <c r="D10" s="6" t="s">
        <v>571</v>
      </c>
      <c r="E10" s="42">
        <f>countif(Constants!F:F,F10)</f>
        <v>1</v>
      </c>
      <c r="F10" s="21" t="str">
        <f>ifna(VLOOKUP($A10,Constants!$D:$F,3,false),"")</f>
        <v>AngstromStar</v>
      </c>
      <c r="G10" s="43" t="str">
        <f t="shared" si="1"/>
        <v>1.00001495e-10</v>
      </c>
      <c r="H10" s="43">
        <f t="shared" si="2"/>
        <v>0.000000000100001495</v>
      </c>
      <c r="I10" s="43" t="str">
        <f t="shared" si="3"/>
        <v>0.00000090e-10</v>
      </c>
      <c r="J10" s="43">
        <f t="shared" si="4"/>
        <v>0</v>
      </c>
      <c r="K10" s="43" t="b">
        <f t="shared" si="5"/>
        <v>0</v>
      </c>
      <c r="L10" s="21" t="str">
        <f>IFERROR(__xludf.DUMMYFUNCTION("if(regexmatch(B10,""e(.*)$""),regexextract(B10,""e(.*)$""),"""")"),"-10")</f>
        <v>-10</v>
      </c>
      <c r="M10" s="21"/>
      <c r="N10" s="45">
        <f>countif(Constants!F:F,F10)</f>
        <v>1</v>
      </c>
      <c r="O10" s="21" t="str">
        <f>VLOOKUP(A10,Constants!D:D,1,false)</f>
        <v>Angstrom star</v>
      </c>
    </row>
    <row r="11">
      <c r="A11" s="6" t="s">
        <v>575</v>
      </c>
      <c r="B11" s="6" t="s">
        <v>3720</v>
      </c>
      <c r="C11" s="6" t="s">
        <v>3721</v>
      </c>
      <c r="D11" s="6" t="s">
        <v>538</v>
      </c>
      <c r="E11" s="42">
        <f>countif(Constants!F:F,F11)</f>
        <v>1</v>
      </c>
      <c r="F11" s="21" t="str">
        <f>ifna(VLOOKUP($A11,Constants!$D:$F,3,false),"")</f>
        <v>AtomicMassConstant</v>
      </c>
      <c r="G11" s="43" t="str">
        <f t="shared" si="1"/>
        <v>1.660538921e-27</v>
      </c>
      <c r="H11" s="43">
        <f t="shared" si="2"/>
        <v>0</v>
      </c>
      <c r="I11" s="43" t="str">
        <f t="shared" si="3"/>
        <v>0.000000073e-27</v>
      </c>
      <c r="J11" s="43">
        <f t="shared" si="4"/>
        <v>0</v>
      </c>
      <c r="K11" s="43" t="b">
        <f t="shared" si="5"/>
        <v>0</v>
      </c>
      <c r="L11" s="21" t="str">
        <f>IFERROR(__xludf.DUMMYFUNCTION("if(regexmatch(B11,""e(.*)$""),regexextract(B11,""e(.*)$""),"""")"),"-27")</f>
        <v>-27</v>
      </c>
      <c r="M11" s="21"/>
      <c r="N11" s="45">
        <f>countif(Constants!F:F,F11)</f>
        <v>1</v>
      </c>
      <c r="O11" s="21" t="str">
        <f>VLOOKUP(A11,Constants!D:D,1,false)</f>
        <v>atomic mass constant</v>
      </c>
    </row>
    <row r="12">
      <c r="A12" s="6" t="s">
        <v>579</v>
      </c>
      <c r="B12" s="6" t="s">
        <v>3722</v>
      </c>
      <c r="C12" s="6" t="s">
        <v>3723</v>
      </c>
      <c r="D12" s="6" t="s">
        <v>543</v>
      </c>
      <c r="E12" s="42">
        <f>countif(Constants!F:F,F12)</f>
        <v>1</v>
      </c>
      <c r="F12" s="21" t="str">
        <f>ifna(VLOOKUP($A12,Constants!$D:$F,3,false),"")</f>
        <v>AtomicMassConstantEnergyEquivalent</v>
      </c>
      <c r="G12" s="43" t="str">
        <f t="shared" si="1"/>
        <v>1.492417954e-10</v>
      </c>
      <c r="H12" s="43">
        <f t="shared" si="2"/>
        <v>0.0000000001492417954</v>
      </c>
      <c r="I12" s="43" t="str">
        <f t="shared" si="3"/>
        <v>0.000000066e-10</v>
      </c>
      <c r="J12" s="43">
        <f t="shared" si="4"/>
        <v>0</v>
      </c>
      <c r="K12" s="43" t="b">
        <f t="shared" si="5"/>
        <v>0</v>
      </c>
      <c r="L12" s="21" t="str">
        <f>IFERROR(__xludf.DUMMYFUNCTION("if(regexmatch(B12,""e(.*)$""),regexextract(B12,""e(.*)$""),"""")"),"-10")</f>
        <v>-10</v>
      </c>
      <c r="M12" s="21"/>
      <c r="N12" s="45">
        <f>countif(Constants!F:F,F12)</f>
        <v>1</v>
      </c>
      <c r="O12" s="21" t="str">
        <f>VLOOKUP(A12,Constants!D:D,1,false)</f>
        <v>atomic mass constant energy equivalent</v>
      </c>
    </row>
    <row r="13">
      <c r="A13" s="6" t="s">
        <v>583</v>
      </c>
      <c r="B13" s="6" t="s">
        <v>3724</v>
      </c>
      <c r="C13" s="6" t="s">
        <v>3131</v>
      </c>
      <c r="D13" s="6" t="s">
        <v>548</v>
      </c>
      <c r="E13" s="42">
        <f>countif(Constants!F:F,F13)</f>
        <v>1</v>
      </c>
      <c r="F13" s="21" t="str">
        <f>ifna(VLOOKUP($A13,Constants!$D:$F,3,false),"")</f>
        <v>AtomicMassConstantEnergyEquivalentInMeV</v>
      </c>
      <c r="G13" s="43" t="str">
        <f t="shared" si="1"/>
        <v>931.494061</v>
      </c>
      <c r="H13" s="43">
        <f t="shared" si="2"/>
        <v>931.494061</v>
      </c>
      <c r="I13" s="43" t="str">
        <f t="shared" si="3"/>
        <v>0.000021</v>
      </c>
      <c r="J13" s="43">
        <f t="shared" si="4"/>
        <v>0.000021</v>
      </c>
      <c r="K13" s="43" t="b">
        <f t="shared" si="5"/>
        <v>0</v>
      </c>
      <c r="L13" s="21" t="str">
        <f>IFERROR(__xludf.DUMMYFUNCTION("if(regexmatch(B13,""e(.*)$""),regexextract(B13,""e(.*)$""),"""")"),"")</f>
        <v/>
      </c>
      <c r="M13" s="21"/>
      <c r="N13" s="45">
        <f>countif(Constants!F:F,F13)</f>
        <v>1</v>
      </c>
      <c r="O13" s="21" t="str">
        <f>VLOOKUP(A13,Constants!D:D,1,false)</f>
        <v>atomic mass constant energy equivalent in MeV</v>
      </c>
    </row>
    <row r="14">
      <c r="A14" s="6" t="s">
        <v>587</v>
      </c>
      <c r="B14" s="6" t="s">
        <v>3725</v>
      </c>
      <c r="C14" s="6" t="s">
        <v>3726</v>
      </c>
      <c r="D14" s="6" t="s">
        <v>175</v>
      </c>
      <c r="E14" s="42">
        <f>countif(Constants!F:F,F14)</f>
        <v>1</v>
      </c>
      <c r="F14" s="21" t="str">
        <f>ifna(VLOOKUP($A14,Constants!$D:$F,3,false),"")</f>
        <v>AtomicMassUnitElectronVoltRelationship</v>
      </c>
      <c r="G14" s="43" t="str">
        <f t="shared" si="1"/>
        <v>931.494061e6</v>
      </c>
      <c r="H14" s="43">
        <f t="shared" si="2"/>
        <v>931494061</v>
      </c>
      <c r="I14" s="43" t="str">
        <f t="shared" si="3"/>
        <v>0.000021e6</v>
      </c>
      <c r="J14" s="43">
        <f t="shared" si="4"/>
        <v>21</v>
      </c>
      <c r="K14" s="43" t="b">
        <f t="shared" si="5"/>
        <v>0</v>
      </c>
      <c r="L14" s="21" t="str">
        <f>IFERROR(__xludf.DUMMYFUNCTION("if(regexmatch(B14,""e(.*)$""),regexextract(B14,""e(.*)$""),"""")"),"6")</f>
        <v>6</v>
      </c>
      <c r="M14" s="21"/>
      <c r="N14" s="45">
        <f>countif(Constants!F:F,F14)</f>
        <v>1</v>
      </c>
      <c r="O14" s="21" t="str">
        <f>VLOOKUP(A14,Constants!D:D,1,false)</f>
        <v>atomic mass unit-electron volt relationship</v>
      </c>
    </row>
    <row r="15">
      <c r="A15" s="6" t="s">
        <v>592</v>
      </c>
      <c r="B15" s="6" t="s">
        <v>3727</v>
      </c>
      <c r="C15" s="6" t="s">
        <v>3728</v>
      </c>
      <c r="D15" s="6" t="s">
        <v>593</v>
      </c>
      <c r="E15" s="42">
        <f>countif(Constants!F:F,F15)</f>
        <v>1</v>
      </c>
      <c r="F15" s="21" t="str">
        <f>ifna(VLOOKUP($A15,Constants!$D:$F,3,false),"")</f>
        <v>AtomicMassUnitHartreeRelationship</v>
      </c>
      <c r="G15" s="43" t="str">
        <f t="shared" si="1"/>
        <v>3.4231776845e7</v>
      </c>
      <c r="H15" s="43">
        <f t="shared" si="2"/>
        <v>34231776.85</v>
      </c>
      <c r="I15" s="43" t="str">
        <f t="shared" si="3"/>
        <v>0.0000000024e7</v>
      </c>
      <c r="J15" s="43">
        <f t="shared" si="4"/>
        <v>0.024</v>
      </c>
      <c r="K15" s="43" t="b">
        <f t="shared" si="5"/>
        <v>0</v>
      </c>
      <c r="L15" s="21" t="str">
        <f>IFERROR(__xludf.DUMMYFUNCTION("if(regexmatch(B15,""e(.*)$""),regexextract(B15,""e(.*)$""),"""")"),"7")</f>
        <v>7</v>
      </c>
      <c r="M15" s="21"/>
      <c r="N15" s="45">
        <f>countif(Constants!F:F,F15)</f>
        <v>1</v>
      </c>
      <c r="O15" s="21" t="str">
        <f>VLOOKUP(A15,Constants!D:D,1,false)</f>
        <v>atomic mass unit-hartree relationship</v>
      </c>
    </row>
    <row r="16">
      <c r="A16" s="6" t="s">
        <v>599</v>
      </c>
      <c r="B16" s="6" t="s">
        <v>3729</v>
      </c>
      <c r="C16" s="6" t="s">
        <v>3730</v>
      </c>
      <c r="D16" s="6" t="s">
        <v>600</v>
      </c>
      <c r="E16" s="42">
        <f>countif(Constants!F:F,F16)</f>
        <v>1</v>
      </c>
      <c r="F16" s="21" t="str">
        <f>ifna(VLOOKUP($A16,Constants!$D:$F,3,false),"")</f>
        <v>AtomicMassUnitHertzRelationship</v>
      </c>
      <c r="G16" s="43" t="str">
        <f t="shared" si="1"/>
        <v>2.2523427168e23</v>
      </c>
      <c r="H16" s="43">
        <f t="shared" si="2"/>
        <v>2.25234E+23</v>
      </c>
      <c r="I16" s="43" t="str">
        <f t="shared" si="3"/>
        <v>0.0000000016e23</v>
      </c>
      <c r="J16" s="43">
        <f t="shared" si="4"/>
        <v>160000000000000</v>
      </c>
      <c r="K16" s="43" t="b">
        <f t="shared" si="5"/>
        <v>0</v>
      </c>
      <c r="L16" s="21" t="str">
        <f>IFERROR(__xludf.DUMMYFUNCTION("if(regexmatch(B16,""e(.*)$""),regexextract(B16,""e(.*)$""),"""")"),"23")</f>
        <v>23</v>
      </c>
      <c r="M16" s="21"/>
      <c r="N16" s="45">
        <f>countif(Constants!F:F,F16)</f>
        <v>1</v>
      </c>
      <c r="O16" s="21" t="str">
        <f>VLOOKUP(A16,Constants!D:D,1,false)</f>
        <v>atomic mass unit-hertz relationship</v>
      </c>
    </row>
    <row r="17">
      <c r="A17" s="6" t="s">
        <v>605</v>
      </c>
      <c r="B17" s="6" t="s">
        <v>3731</v>
      </c>
      <c r="C17" s="6" t="s">
        <v>3732</v>
      </c>
      <c r="D17" s="6" t="s">
        <v>606</v>
      </c>
      <c r="E17" s="42">
        <f>countif(Constants!F:F,F17)</f>
        <v>1</v>
      </c>
      <c r="F17" s="21" t="str">
        <f>ifna(VLOOKUP($A17,Constants!$D:$F,3,false),"")</f>
        <v>AtomicMassUnitInverseMeterRelationship</v>
      </c>
      <c r="G17" s="43" t="str">
        <f t="shared" si="1"/>
        <v>7.5130066042e14</v>
      </c>
      <c r="H17" s="43">
        <f t="shared" si="2"/>
        <v>751300660420000</v>
      </c>
      <c r="I17" s="43" t="str">
        <f t="shared" si="3"/>
        <v>0.0000000053e14</v>
      </c>
      <c r="J17" s="43">
        <f t="shared" si="4"/>
        <v>530000</v>
      </c>
      <c r="K17" s="43" t="b">
        <f t="shared" si="5"/>
        <v>0</v>
      </c>
      <c r="L17" s="21" t="str">
        <f>IFERROR(__xludf.DUMMYFUNCTION("if(regexmatch(B17,""e(.*)$""),regexextract(B17,""e(.*)$""),"""")"),"14")</f>
        <v>14</v>
      </c>
      <c r="M17" s="21"/>
      <c r="N17" s="45">
        <f>countif(Constants!F:F,F17)</f>
        <v>1</v>
      </c>
      <c r="O17" s="21" t="str">
        <f>VLOOKUP(A17,Constants!D:D,1,false)</f>
        <v>atomic mass unit-inverse meter relationship</v>
      </c>
    </row>
    <row r="18">
      <c r="A18" s="6" t="s">
        <v>612</v>
      </c>
      <c r="B18" s="6" t="s">
        <v>3722</v>
      </c>
      <c r="C18" s="6" t="s">
        <v>3723</v>
      </c>
      <c r="D18" s="6" t="s">
        <v>543</v>
      </c>
      <c r="E18" s="42">
        <f>countif(Constants!F:F,F18)</f>
        <v>1</v>
      </c>
      <c r="F18" s="21" t="str">
        <f>ifna(VLOOKUP($A18,Constants!$D:$F,3,false),"")</f>
        <v>AtomicMassUnitJouleRelationship</v>
      </c>
      <c r="G18" s="43" t="str">
        <f t="shared" si="1"/>
        <v>1.492417954e-10</v>
      </c>
      <c r="H18" s="43">
        <f t="shared" si="2"/>
        <v>0.0000000001492417954</v>
      </c>
      <c r="I18" s="43" t="str">
        <f t="shared" si="3"/>
        <v>0.000000066e-10</v>
      </c>
      <c r="J18" s="43">
        <f t="shared" si="4"/>
        <v>0</v>
      </c>
      <c r="K18" s="43" t="b">
        <f t="shared" si="5"/>
        <v>0</v>
      </c>
      <c r="L18" s="21" t="str">
        <f>IFERROR(__xludf.DUMMYFUNCTION("if(regexmatch(B18,""e(.*)$""),regexextract(B18,""e(.*)$""),"""")"),"-10")</f>
        <v>-10</v>
      </c>
      <c r="M18" s="21"/>
      <c r="N18" s="45">
        <f>countif(Constants!F:F,F18)</f>
        <v>1</v>
      </c>
      <c r="O18" s="21" t="str">
        <f>VLOOKUP(A18,Constants!D:D,1,false)</f>
        <v>atomic mass unit-joule relationship</v>
      </c>
    </row>
    <row r="19">
      <c r="A19" s="6" t="s">
        <v>617</v>
      </c>
      <c r="B19" s="6" t="s">
        <v>3733</v>
      </c>
      <c r="C19" s="6" t="s">
        <v>3734</v>
      </c>
      <c r="D19" s="6" t="s">
        <v>618</v>
      </c>
      <c r="E19" s="42">
        <f>countif(Constants!F:F,F19)</f>
        <v>1</v>
      </c>
      <c r="F19" s="21" t="str">
        <f>ifna(VLOOKUP($A19,Constants!$D:$F,3,false),"")</f>
        <v>AtomicMassUnitKelvinRelationship</v>
      </c>
      <c r="G19" s="43" t="str">
        <f t="shared" si="1"/>
        <v>1.08095408e13</v>
      </c>
      <c r="H19" s="43">
        <f t="shared" si="2"/>
        <v>10809540800000</v>
      </c>
      <c r="I19" s="43" t="str">
        <f t="shared" si="3"/>
        <v>0.00000098e13</v>
      </c>
      <c r="J19" s="43">
        <f t="shared" si="4"/>
        <v>9800000</v>
      </c>
      <c r="K19" s="43" t="b">
        <f t="shared" si="5"/>
        <v>0</v>
      </c>
      <c r="L19" s="21" t="str">
        <f>IFERROR(__xludf.DUMMYFUNCTION("if(regexmatch(B19,""e(.*)$""),regexextract(B19,""e(.*)$""),"""")"),"13")</f>
        <v>13</v>
      </c>
      <c r="M19" s="21"/>
      <c r="N19" s="45">
        <f>countif(Constants!F:F,F19)</f>
        <v>1</v>
      </c>
      <c r="O19" s="21" t="str">
        <f>VLOOKUP(A19,Constants!D:D,1,false)</f>
        <v>atomic mass unit-kelvin relationship</v>
      </c>
    </row>
    <row r="20">
      <c r="A20" s="6" t="s">
        <v>623</v>
      </c>
      <c r="B20" s="6" t="s">
        <v>3720</v>
      </c>
      <c r="C20" s="6" t="s">
        <v>3721</v>
      </c>
      <c r="D20" s="6" t="s">
        <v>538</v>
      </c>
      <c r="E20" s="42">
        <f>countif(Constants!F:F,F20)</f>
        <v>1</v>
      </c>
      <c r="F20" s="21" t="str">
        <f>ifna(VLOOKUP($A20,Constants!$D:$F,3,false),"")</f>
        <v>AtomicMassUnitKilogramRelationship</v>
      </c>
      <c r="G20" s="43" t="str">
        <f t="shared" si="1"/>
        <v>1.660538921e-27</v>
      </c>
      <c r="H20" s="43">
        <f t="shared" si="2"/>
        <v>0</v>
      </c>
      <c r="I20" s="43" t="str">
        <f t="shared" si="3"/>
        <v>0.000000073e-27</v>
      </c>
      <c r="J20" s="43">
        <f t="shared" si="4"/>
        <v>0</v>
      </c>
      <c r="K20" s="43" t="b">
        <f t="shared" si="5"/>
        <v>0</v>
      </c>
      <c r="L20" s="21" t="str">
        <f>IFERROR(__xludf.DUMMYFUNCTION("if(regexmatch(B20,""e(.*)$""),regexextract(B20,""e(.*)$""),"""")"),"-27")</f>
        <v>-27</v>
      </c>
      <c r="M20" s="21"/>
      <c r="N20" s="45">
        <f>countif(Constants!F:F,F20)</f>
        <v>1</v>
      </c>
      <c r="O20" s="21" t="str">
        <f>VLOOKUP(A20,Constants!D:D,1,false)</f>
        <v>atomic mass unit-kilogram relationship</v>
      </c>
    </row>
    <row r="21">
      <c r="A21" s="6" t="s">
        <v>628</v>
      </c>
      <c r="B21" s="6" t="s">
        <v>3735</v>
      </c>
      <c r="C21" s="6" t="s">
        <v>3736</v>
      </c>
      <c r="D21" s="6" t="s">
        <v>629</v>
      </c>
      <c r="E21" s="42">
        <f>countif(Constants!F:F,F21)</f>
        <v>1</v>
      </c>
      <c r="F21" s="21" t="str">
        <f>ifna(VLOOKUP($A21,Constants!$D:$F,3,false),"")</f>
        <v>AtomicUnitOf1stHyperpolarizablity</v>
      </c>
      <c r="G21" s="43" t="str">
        <f t="shared" si="1"/>
        <v>3.206361449e-53</v>
      </c>
      <c r="H21" s="43">
        <f t="shared" si="2"/>
        <v>0</v>
      </c>
      <c r="I21" s="43" t="str">
        <f t="shared" si="3"/>
        <v>0.000000071e-53</v>
      </c>
      <c r="J21" s="43">
        <f t="shared" si="4"/>
        <v>0</v>
      </c>
      <c r="K21" s="43" t="b">
        <f t="shared" si="5"/>
        <v>0</v>
      </c>
      <c r="L21" s="21" t="str">
        <f>IFERROR(__xludf.DUMMYFUNCTION("if(regexmatch(B21,""e(.*)$""),regexextract(B21,""e(.*)$""),"""")"),"-53")</f>
        <v>-53</v>
      </c>
      <c r="M21" s="21"/>
      <c r="N21" s="45">
        <f>countif(Constants!F:F,F21)</f>
        <v>1</v>
      </c>
      <c r="O21" s="21" t="str">
        <f>VLOOKUP(A21,Constants!D:D,1,false)</f>
        <v>atomic unit of 1st hyperpolarizability</v>
      </c>
    </row>
    <row r="22">
      <c r="A22" s="6" t="s">
        <v>635</v>
      </c>
      <c r="B22" s="6" t="s">
        <v>3737</v>
      </c>
      <c r="C22" s="6" t="s">
        <v>3738</v>
      </c>
      <c r="D22" s="6" t="s">
        <v>636</v>
      </c>
      <c r="E22" s="42">
        <f>countif(Constants!F:F,F22)</f>
        <v>1</v>
      </c>
      <c r="F22" s="21" t="str">
        <f>ifna(VLOOKUP($A22,Constants!$D:$F,3,false),"")</f>
        <v>AtomicUnitOf2ndHyperpolarizablity</v>
      </c>
      <c r="G22" s="43" t="str">
        <f t="shared" si="1"/>
        <v>6.23538054e-65</v>
      </c>
      <c r="H22" s="43">
        <f t="shared" si="2"/>
        <v>0</v>
      </c>
      <c r="I22" s="43" t="str">
        <f t="shared" si="3"/>
        <v>0.00000028e-65</v>
      </c>
      <c r="J22" s="43">
        <f t="shared" si="4"/>
        <v>0</v>
      </c>
      <c r="K22" s="43" t="b">
        <f t="shared" si="5"/>
        <v>0</v>
      </c>
      <c r="L22" s="21" t="str">
        <f>IFERROR(__xludf.DUMMYFUNCTION("if(regexmatch(B22,""e(.*)$""),regexextract(B22,""e(.*)$""),"""")"),"-65")</f>
        <v>-65</v>
      </c>
      <c r="M22" s="21"/>
      <c r="N22" s="45">
        <f>countif(Constants!F:F,F22)</f>
        <v>1</v>
      </c>
      <c r="O22" s="21" t="str">
        <f>VLOOKUP(A22,Constants!D:D,1,false)</f>
        <v>atomic unit of 2nd hyperpolarizability</v>
      </c>
    </row>
    <row r="23">
      <c r="A23" s="6" t="s">
        <v>642</v>
      </c>
      <c r="B23" s="6" t="s">
        <v>3739</v>
      </c>
      <c r="C23" s="6" t="s">
        <v>3740</v>
      </c>
      <c r="D23" s="6" t="s">
        <v>643</v>
      </c>
      <c r="E23" s="42">
        <f>countif(Constants!F:F,F23)</f>
        <v>1</v>
      </c>
      <c r="F23" s="21" t="str">
        <f>ifna(VLOOKUP($A23,Constants!$D:$F,3,false),"")</f>
        <v>AtomicUnitOfAction</v>
      </c>
      <c r="G23" s="43" t="str">
        <f t="shared" si="1"/>
        <v>1.054571726e-34</v>
      </c>
      <c r="H23" s="43">
        <f t="shared" si="2"/>
        <v>0</v>
      </c>
      <c r="I23" s="43" t="str">
        <f t="shared" si="3"/>
        <v>0.000000047e-34</v>
      </c>
      <c r="J23" s="43">
        <f t="shared" si="4"/>
        <v>0</v>
      </c>
      <c r="K23" s="43" t="b">
        <f t="shared" si="5"/>
        <v>0</v>
      </c>
      <c r="L23" s="21" t="str">
        <f>IFERROR(__xludf.DUMMYFUNCTION("if(regexmatch(B23,""e(.*)$""),regexextract(B23,""e(.*)$""),"""")"),"-34")</f>
        <v>-34</v>
      </c>
      <c r="M23" s="21"/>
      <c r="N23" s="45">
        <f>countif(Constants!F:F,F23)</f>
        <v>1</v>
      </c>
      <c r="O23" s="21" t="str">
        <f>VLOOKUP(A23,Constants!D:D,1,false)</f>
        <v>atomic unit of action</v>
      </c>
    </row>
    <row r="24">
      <c r="A24" s="6" t="s">
        <v>648</v>
      </c>
      <c r="B24" s="6" t="s">
        <v>3741</v>
      </c>
      <c r="C24" s="6" t="s">
        <v>3742</v>
      </c>
      <c r="D24" s="6" t="s">
        <v>649</v>
      </c>
      <c r="E24" s="42">
        <f>countif(Constants!F:F,F24)</f>
        <v>1</v>
      </c>
      <c r="F24" s="21" t="str">
        <f>ifna(VLOOKUP($A24,Constants!$D:$F,3,false),"")</f>
        <v>AtomicUnitOfCharge</v>
      </c>
      <c r="G24" s="43" t="str">
        <f t="shared" si="1"/>
        <v>1.602176565e-19</v>
      </c>
      <c r="H24" s="43">
        <f t="shared" si="2"/>
        <v>0</v>
      </c>
      <c r="I24" s="43" t="str">
        <f t="shared" si="3"/>
        <v>0.000000035e-19</v>
      </c>
      <c r="J24" s="43">
        <f t="shared" si="4"/>
        <v>0</v>
      </c>
      <c r="K24" s="43" t="b">
        <f t="shared" si="5"/>
        <v>0</v>
      </c>
      <c r="L24" s="21" t="str">
        <f>IFERROR(__xludf.DUMMYFUNCTION("if(regexmatch(B24,""e(.*)$""),regexextract(B24,""e(.*)$""),"""")"),"-19")</f>
        <v>-19</v>
      </c>
      <c r="M24" s="21"/>
      <c r="N24" s="45">
        <f>countif(Constants!F:F,F24)</f>
        <v>1</v>
      </c>
      <c r="O24" s="21" t="str">
        <f>VLOOKUP(A24,Constants!D:D,1,false)</f>
        <v>atomic unit of charge</v>
      </c>
    </row>
    <row r="25">
      <c r="A25" s="6" t="s">
        <v>654</v>
      </c>
      <c r="B25" s="6" t="s">
        <v>3743</v>
      </c>
      <c r="C25" s="6" t="s">
        <v>3744</v>
      </c>
      <c r="D25" s="6" t="s">
        <v>655</v>
      </c>
      <c r="E25" s="42">
        <f>countif(Constants!F:F,F25)</f>
        <v>1</v>
      </c>
      <c r="F25" s="21" t="str">
        <f>ifna(VLOOKUP($A25,Constants!$D:$F,3,false),"")</f>
        <v>AtomicUnitOfChargeDensity</v>
      </c>
      <c r="G25" s="43" t="str">
        <f t="shared" si="1"/>
        <v>1.081202338e12</v>
      </c>
      <c r="H25" s="43">
        <f t="shared" si="2"/>
        <v>1081202338000</v>
      </c>
      <c r="I25" s="43" t="str">
        <f t="shared" si="3"/>
        <v>0.000000024e12</v>
      </c>
      <c r="J25" s="43">
        <f t="shared" si="4"/>
        <v>24000</v>
      </c>
      <c r="K25" s="43" t="b">
        <f t="shared" si="5"/>
        <v>0</v>
      </c>
      <c r="L25" s="21" t="str">
        <f>IFERROR(__xludf.DUMMYFUNCTION("if(regexmatch(B25,""e(.*)$""),regexextract(B25,""e(.*)$""),"""")"),"12")</f>
        <v>12</v>
      </c>
      <c r="M25" s="21"/>
      <c r="N25" s="45">
        <f>countif(Constants!F:F,F25)</f>
        <v>1</v>
      </c>
      <c r="O25" s="21" t="str">
        <f>VLOOKUP(A25,Constants!D:D,1,false)</f>
        <v>atomic unit of charge density</v>
      </c>
    </row>
    <row r="26">
      <c r="A26" s="6" t="s">
        <v>660</v>
      </c>
      <c r="B26" s="6" t="s">
        <v>3745</v>
      </c>
      <c r="C26" s="6" t="s">
        <v>3746</v>
      </c>
      <c r="D26" s="6" t="s">
        <v>661</v>
      </c>
      <c r="E26" s="42">
        <f>countif(Constants!F:F,F26)</f>
        <v>1</v>
      </c>
      <c r="F26" s="21" t="str">
        <f>ifna(VLOOKUP($A26,Constants!$D:$F,3,false),"")</f>
        <v>AtomicUnitOfCurrent</v>
      </c>
      <c r="G26" s="43" t="str">
        <f t="shared" si="1"/>
        <v>6.62361795e-3</v>
      </c>
      <c r="H26" s="43">
        <f t="shared" si="2"/>
        <v>0.00662361795</v>
      </c>
      <c r="I26" s="43" t="str">
        <f t="shared" si="3"/>
        <v>0.00000015e-3</v>
      </c>
      <c r="J26" s="43">
        <f t="shared" si="4"/>
        <v>0.00000000015</v>
      </c>
      <c r="K26" s="43" t="b">
        <f t="shared" si="5"/>
        <v>0</v>
      </c>
      <c r="L26" s="21" t="str">
        <f>IFERROR(__xludf.DUMMYFUNCTION("if(regexmatch(B26,""e(.*)$""),regexextract(B26,""e(.*)$""),"""")"),"-3")</f>
        <v>-3</v>
      </c>
      <c r="M26" s="21"/>
      <c r="N26" s="45">
        <f>countif(Constants!F:F,F26)</f>
        <v>1</v>
      </c>
      <c r="O26" s="21" t="str">
        <f>VLOOKUP(A26,Constants!D:D,1,false)</f>
        <v>atomic unit of current</v>
      </c>
    </row>
    <row r="27">
      <c r="A27" s="6" t="s">
        <v>665</v>
      </c>
      <c r="B27" s="6" t="s">
        <v>3747</v>
      </c>
      <c r="C27" s="6" t="s">
        <v>3748</v>
      </c>
      <c r="D27" s="6" t="s">
        <v>666</v>
      </c>
      <c r="E27" s="42">
        <f>countif(Constants!F:F,F27)</f>
        <v>1</v>
      </c>
      <c r="F27" s="21" t="str">
        <f>ifna(VLOOKUP($A27,Constants!$D:$F,3,false),"")</f>
        <v>AtomicUnitOfElectricDipoleMoment</v>
      </c>
      <c r="G27" s="43" t="str">
        <f t="shared" si="1"/>
        <v>8.47835326e-30</v>
      </c>
      <c r="H27" s="43">
        <f t="shared" si="2"/>
        <v>0</v>
      </c>
      <c r="I27" s="43" t="str">
        <f t="shared" si="3"/>
        <v>0.00000019e-30</v>
      </c>
      <c r="J27" s="43">
        <f t="shared" si="4"/>
        <v>0</v>
      </c>
      <c r="K27" s="43" t="b">
        <f t="shared" si="5"/>
        <v>0</v>
      </c>
      <c r="L27" s="21" t="str">
        <f>IFERROR(__xludf.DUMMYFUNCTION("if(regexmatch(B27,""e(.*)$""),regexextract(B27,""e(.*)$""),"""")"),"-30")</f>
        <v>-30</v>
      </c>
      <c r="M27" s="21"/>
      <c r="N27" s="45">
        <f>countif(Constants!F:F,F27)</f>
        <v>1</v>
      </c>
      <c r="O27" s="21" t="str">
        <f>VLOOKUP(A27,Constants!D:D,1,false)</f>
        <v>atomic unit of electric dipole mom.</v>
      </c>
    </row>
    <row r="28">
      <c r="A28" s="6" t="s">
        <v>671</v>
      </c>
      <c r="B28" s="6" t="s">
        <v>3749</v>
      </c>
      <c r="C28" s="6" t="s">
        <v>3750</v>
      </c>
      <c r="D28" s="6" t="s">
        <v>672</v>
      </c>
      <c r="E28" s="42">
        <f>countif(Constants!F:F,F28)</f>
        <v>1</v>
      </c>
      <c r="F28" s="21" t="str">
        <f>ifna(VLOOKUP($A28,Constants!$D:$F,3,false),"")</f>
        <v>AtomicUnitOfElectricField</v>
      </c>
      <c r="G28" s="43" t="str">
        <f t="shared" si="1"/>
        <v>5.14220652e11</v>
      </c>
      <c r="H28" s="43">
        <f t="shared" si="2"/>
        <v>514220652000</v>
      </c>
      <c r="I28" s="43" t="str">
        <f t="shared" si="3"/>
        <v>0.00000011e11</v>
      </c>
      <c r="J28" s="43">
        <f t="shared" si="4"/>
        <v>11000</v>
      </c>
      <c r="K28" s="43" t="b">
        <f t="shared" si="5"/>
        <v>0</v>
      </c>
      <c r="L28" s="21" t="str">
        <f>IFERROR(__xludf.DUMMYFUNCTION("if(regexmatch(B28,""e(.*)$""),regexextract(B28,""e(.*)$""),"""")"),"11")</f>
        <v>11</v>
      </c>
      <c r="M28" s="21"/>
      <c r="N28" s="45">
        <f>countif(Constants!F:F,F28)</f>
        <v>1</v>
      </c>
      <c r="O28" s="21" t="str">
        <f>VLOOKUP(A28,Constants!D:D,1,false)</f>
        <v>atomic unit of electric field</v>
      </c>
    </row>
    <row r="29">
      <c r="A29" s="6" t="s">
        <v>677</v>
      </c>
      <c r="B29" s="6" t="s">
        <v>3751</v>
      </c>
      <c r="C29" s="6" t="s">
        <v>3752</v>
      </c>
      <c r="D29" s="6" t="s">
        <v>678</v>
      </c>
      <c r="E29" s="42">
        <f>countif(Constants!F:F,F29)</f>
        <v>1</v>
      </c>
      <c r="F29" s="21" t="str">
        <f>ifna(VLOOKUP($A29,Constants!$D:$F,3,false),"")</f>
        <v>AtomicUnitOfElectricFieldGradient</v>
      </c>
      <c r="G29" s="43" t="str">
        <f t="shared" si="1"/>
        <v>9.71736200e21</v>
      </c>
      <c r="H29" s="43">
        <f t="shared" si="2"/>
        <v>9.71736E+21</v>
      </c>
      <c r="I29" s="43" t="str">
        <f t="shared" si="3"/>
        <v>0.00000021e21</v>
      </c>
      <c r="J29" s="43">
        <f t="shared" si="4"/>
        <v>210000000000000</v>
      </c>
      <c r="K29" s="43" t="b">
        <f t="shared" si="5"/>
        <v>0</v>
      </c>
      <c r="L29" s="21" t="str">
        <f>IFERROR(__xludf.DUMMYFUNCTION("if(regexmatch(B29,""e(.*)$""),regexextract(B29,""e(.*)$""),"""")"),"21")</f>
        <v>21</v>
      </c>
      <c r="M29" s="21"/>
      <c r="N29" s="45">
        <f>countif(Constants!F:F,F29)</f>
        <v>1</v>
      </c>
      <c r="O29" s="21" t="str">
        <f>VLOOKUP(A29,Constants!D:D,1,false)</f>
        <v>atomic unit of electric field gradient</v>
      </c>
    </row>
    <row r="30">
      <c r="A30" s="6" t="s">
        <v>683</v>
      </c>
      <c r="B30" s="6" t="s">
        <v>3753</v>
      </c>
      <c r="C30" s="6" t="s">
        <v>3754</v>
      </c>
      <c r="D30" s="6" t="s">
        <v>684</v>
      </c>
      <c r="E30" s="42">
        <f>countif(Constants!F:F,F30)</f>
        <v>1</v>
      </c>
      <c r="F30" s="21" t="str">
        <f>ifna(VLOOKUP($A30,Constants!$D:$F,3,false),"")</f>
        <v>AtomicUnitOfElectricPolarizablity</v>
      </c>
      <c r="G30" s="43" t="str">
        <f t="shared" si="1"/>
        <v>1.6487772754e-41</v>
      </c>
      <c r="H30" s="43">
        <f t="shared" si="2"/>
        <v>0</v>
      </c>
      <c r="I30" s="43" t="str">
        <f t="shared" si="3"/>
        <v>0.0000000016e-41</v>
      </c>
      <c r="J30" s="43">
        <f t="shared" si="4"/>
        <v>0</v>
      </c>
      <c r="K30" s="43" t="b">
        <f t="shared" si="5"/>
        <v>0</v>
      </c>
      <c r="L30" s="21" t="str">
        <f>IFERROR(__xludf.DUMMYFUNCTION("if(regexmatch(B30,""e(.*)$""),regexextract(B30,""e(.*)$""),"""")"),"-41")</f>
        <v>-41</v>
      </c>
      <c r="M30" s="21"/>
      <c r="N30" s="45">
        <f>countif(Constants!F:F,F30)</f>
        <v>1</v>
      </c>
      <c r="O30" s="21" t="str">
        <f>VLOOKUP(A30,Constants!D:D,1,false)</f>
        <v>atomic unit of electric polarizability</v>
      </c>
    </row>
    <row r="31">
      <c r="A31" s="6" t="s">
        <v>689</v>
      </c>
      <c r="B31" s="6" t="s">
        <v>3755</v>
      </c>
      <c r="C31" s="6" t="s">
        <v>3756</v>
      </c>
      <c r="D31" s="6" t="s">
        <v>237</v>
      </c>
      <c r="E31" s="42">
        <f>countif(Constants!F:F,F31)</f>
        <v>1</v>
      </c>
      <c r="F31" s="21" t="str">
        <f>ifna(VLOOKUP($A31,Constants!$D:$F,3,false),"")</f>
        <v>AtomicUnitOfElectricPotential</v>
      </c>
      <c r="G31" s="43" t="str">
        <f t="shared" si="1"/>
        <v>27.21138505</v>
      </c>
      <c r="H31" s="43">
        <f t="shared" si="2"/>
        <v>27.21138505</v>
      </c>
      <c r="I31" s="43" t="str">
        <f t="shared" si="3"/>
        <v>0.00000060</v>
      </c>
      <c r="J31" s="43">
        <f t="shared" si="4"/>
        <v>0.0000006</v>
      </c>
      <c r="K31" s="43" t="b">
        <f t="shared" si="5"/>
        <v>0</v>
      </c>
      <c r="L31" s="21" t="str">
        <f>IFERROR(__xludf.DUMMYFUNCTION("if(regexmatch(B31,""e(.*)$""),regexextract(B31,""e(.*)$""),"""")"),"")</f>
        <v/>
      </c>
      <c r="M31" s="21"/>
      <c r="N31" s="45">
        <f>countif(Constants!F:F,F31)</f>
        <v>1</v>
      </c>
      <c r="O31" s="21" t="str">
        <f>VLOOKUP(A31,Constants!D:D,1,false)</f>
        <v>atomic unit of electric potential</v>
      </c>
    </row>
    <row r="32">
      <c r="A32" s="6" t="s">
        <v>693</v>
      </c>
      <c r="B32" s="6" t="s">
        <v>3757</v>
      </c>
      <c r="C32" s="6" t="s">
        <v>3758</v>
      </c>
      <c r="D32" s="6" t="s">
        <v>694</v>
      </c>
      <c r="E32" s="42">
        <f>countif(Constants!F:F,F32)</f>
        <v>1</v>
      </c>
      <c r="F32" s="21" t="str">
        <f>ifna(VLOOKUP($A32,Constants!$D:$F,3,false),"")</f>
        <v>AtomicUnitOfElectricQuadrupoleMoment</v>
      </c>
      <c r="G32" s="43" t="str">
        <f t="shared" si="1"/>
        <v>4.486551331e-40</v>
      </c>
      <c r="H32" s="43">
        <f t="shared" si="2"/>
        <v>0</v>
      </c>
      <c r="I32" s="43" t="str">
        <f t="shared" si="3"/>
        <v>0.000000099e-40</v>
      </c>
      <c r="J32" s="43">
        <f t="shared" si="4"/>
        <v>0</v>
      </c>
      <c r="K32" s="43" t="b">
        <f t="shared" si="5"/>
        <v>0</v>
      </c>
      <c r="L32" s="21" t="str">
        <f>IFERROR(__xludf.DUMMYFUNCTION("if(regexmatch(B32,""e(.*)$""),regexextract(B32,""e(.*)$""),"""")"),"-40")</f>
        <v>-40</v>
      </c>
      <c r="M32" s="21"/>
      <c r="N32" s="45">
        <f>countif(Constants!F:F,F32)</f>
        <v>1</v>
      </c>
      <c r="O32" s="21" t="str">
        <f>VLOOKUP(A32,Constants!D:D,1,false)</f>
        <v>atomic unit of electric quadrupole mom.</v>
      </c>
    </row>
    <row r="33">
      <c r="A33" s="6" t="s">
        <v>700</v>
      </c>
      <c r="B33" s="6" t="s">
        <v>3759</v>
      </c>
      <c r="C33" s="6" t="s">
        <v>3760</v>
      </c>
      <c r="D33" s="6" t="s">
        <v>543</v>
      </c>
      <c r="E33" s="42">
        <f>countif(Constants!F:F,F33)</f>
        <v>1</v>
      </c>
      <c r="F33" s="21" t="str">
        <f>ifna(VLOOKUP($A33,Constants!$D:$F,3,false),"")</f>
        <v>AtomicUnitOfEnergy</v>
      </c>
      <c r="G33" s="43" t="str">
        <f t="shared" si="1"/>
        <v>4.35974434e-18</v>
      </c>
      <c r="H33" s="43">
        <f t="shared" si="2"/>
        <v>0</v>
      </c>
      <c r="I33" s="43" t="str">
        <f t="shared" si="3"/>
        <v>0.00000019e-18</v>
      </c>
      <c r="J33" s="43">
        <f t="shared" si="4"/>
        <v>0</v>
      </c>
      <c r="K33" s="43" t="b">
        <f t="shared" si="5"/>
        <v>0</v>
      </c>
      <c r="L33" s="21" t="str">
        <f>IFERROR(__xludf.DUMMYFUNCTION("if(regexmatch(B33,""e(.*)$""),regexextract(B33,""e(.*)$""),"""")"),"-18")</f>
        <v>-18</v>
      </c>
      <c r="M33" s="21"/>
      <c r="N33" s="45">
        <f>countif(Constants!F:F,F33)</f>
        <v>1</v>
      </c>
      <c r="O33" s="21" t="str">
        <f>VLOOKUP(A33,Constants!D:D,1,false)</f>
        <v>atomic unit of energy</v>
      </c>
    </row>
    <row r="34">
      <c r="A34" s="6" t="s">
        <v>704</v>
      </c>
      <c r="B34" s="6" t="s">
        <v>3761</v>
      </c>
      <c r="C34" s="6" t="s">
        <v>3762</v>
      </c>
      <c r="D34" s="6" t="s">
        <v>705</v>
      </c>
      <c r="E34" s="42">
        <f>countif(Constants!F:F,F34)</f>
        <v>1</v>
      </c>
      <c r="F34" s="21" t="str">
        <f>ifna(VLOOKUP($A34,Constants!$D:$F,3,false),"")</f>
        <v>AtomicUnitOfForce</v>
      </c>
      <c r="G34" s="43" t="str">
        <f t="shared" si="1"/>
        <v>8.23872278e-8</v>
      </c>
      <c r="H34" s="43">
        <f t="shared" si="2"/>
        <v>0.0000000823872278</v>
      </c>
      <c r="I34" s="43" t="str">
        <f t="shared" si="3"/>
        <v>0.00000036e-8</v>
      </c>
      <c r="J34" s="43">
        <f t="shared" si="4"/>
        <v>0</v>
      </c>
      <c r="K34" s="43" t="b">
        <f t="shared" si="5"/>
        <v>0</v>
      </c>
      <c r="L34" s="21" t="str">
        <f>IFERROR(__xludf.DUMMYFUNCTION("if(regexmatch(B34,""e(.*)$""),regexextract(B34,""e(.*)$""),"""")"),"-8")</f>
        <v>-8</v>
      </c>
      <c r="M34" s="21"/>
      <c r="N34" s="45">
        <f>countif(Constants!F:F,F34)</f>
        <v>1</v>
      </c>
      <c r="O34" s="21" t="str">
        <f>VLOOKUP(A34,Constants!D:D,1,false)</f>
        <v>atomic unit of force</v>
      </c>
    </row>
    <row r="35">
      <c r="A35" s="6" t="s">
        <v>709</v>
      </c>
      <c r="B35" s="6" t="s">
        <v>3763</v>
      </c>
      <c r="C35" s="6" t="s">
        <v>2296</v>
      </c>
      <c r="D35" s="6" t="s">
        <v>571</v>
      </c>
      <c r="E35" s="42">
        <f>countif(Constants!F:F,F35)</f>
        <v>1</v>
      </c>
      <c r="F35" s="21" t="str">
        <f>ifna(VLOOKUP($A35,Constants!$D:$F,3,false),"")</f>
        <v>AtomicUnitOfLength</v>
      </c>
      <c r="G35" s="43" t="str">
        <f t="shared" si="1"/>
        <v>0.52917721092e-10</v>
      </c>
      <c r="H35" s="43">
        <f t="shared" si="2"/>
        <v>0</v>
      </c>
      <c r="I35" s="43" t="str">
        <f t="shared" si="3"/>
        <v>0.00000000017e-10</v>
      </c>
      <c r="J35" s="43">
        <f t="shared" si="4"/>
        <v>0</v>
      </c>
      <c r="K35" s="43" t="b">
        <f t="shared" si="5"/>
        <v>0</v>
      </c>
      <c r="L35" s="21" t="str">
        <f>IFERROR(__xludf.DUMMYFUNCTION("if(regexmatch(B35,""e(.*)$""),regexextract(B35,""e(.*)$""),"""")"),"-10")</f>
        <v>-10</v>
      </c>
      <c r="M35" s="21"/>
      <c r="N35" s="45">
        <f>countif(Constants!F:F,F35)</f>
        <v>1</v>
      </c>
      <c r="O35" s="21" t="str">
        <f>VLOOKUP(A35,Constants!D:D,1,false)</f>
        <v>atomic unit of length</v>
      </c>
    </row>
    <row r="36">
      <c r="A36" s="6" t="s">
        <v>713</v>
      </c>
      <c r="B36" s="6" t="s">
        <v>3764</v>
      </c>
      <c r="C36" s="6" t="s">
        <v>3765</v>
      </c>
      <c r="D36" s="6" t="s">
        <v>714</v>
      </c>
      <c r="E36" s="42">
        <f>countif(Constants!F:F,F36)</f>
        <v>1</v>
      </c>
      <c r="F36" s="21" t="str">
        <f>ifna(VLOOKUP($A36,Constants!$D:$F,3,false),"")</f>
        <v>AtomicUnitOfMagneticDipoleMoment</v>
      </c>
      <c r="G36" s="43" t="str">
        <f t="shared" si="1"/>
        <v>1.854801936e-23</v>
      </c>
      <c r="H36" s="43">
        <f t="shared" si="2"/>
        <v>0</v>
      </c>
      <c r="I36" s="43" t="str">
        <f t="shared" si="3"/>
        <v>0.000000041e-23</v>
      </c>
      <c r="J36" s="43">
        <f t="shared" si="4"/>
        <v>0</v>
      </c>
      <c r="K36" s="43" t="b">
        <f t="shared" si="5"/>
        <v>0</v>
      </c>
      <c r="L36" s="21" t="str">
        <f>IFERROR(__xludf.DUMMYFUNCTION("if(regexmatch(B36,""e(.*)$""),regexextract(B36,""e(.*)$""),"""")"),"-23")</f>
        <v>-23</v>
      </c>
      <c r="M36" s="21"/>
      <c r="N36" s="45">
        <f>countif(Constants!F:F,F36)</f>
        <v>1</v>
      </c>
      <c r="O36" s="21" t="str">
        <f>VLOOKUP(A36,Constants!D:D,1,false)</f>
        <v>atomic unit of mag. dipole mom.</v>
      </c>
    </row>
    <row r="37">
      <c r="A37" s="6" t="s">
        <v>720</v>
      </c>
      <c r="B37" s="6" t="s">
        <v>3766</v>
      </c>
      <c r="C37" s="6" t="s">
        <v>3767</v>
      </c>
      <c r="D37" s="6" t="s">
        <v>721</v>
      </c>
      <c r="E37" s="42">
        <f>countif(Constants!F:F,F37)</f>
        <v>1</v>
      </c>
      <c r="F37" s="21" t="str">
        <f>ifna(VLOOKUP($A37,Constants!$D:$F,3,false),"")</f>
        <v>AtomicUnitOfMagneticFluxDensity</v>
      </c>
      <c r="G37" s="43" t="str">
        <f t="shared" si="1"/>
        <v>2.350517464e5</v>
      </c>
      <c r="H37" s="43">
        <f t="shared" si="2"/>
        <v>235051.7464</v>
      </c>
      <c r="I37" s="43" t="str">
        <f t="shared" si="3"/>
        <v>0.000000052e5</v>
      </c>
      <c r="J37" s="43">
        <f t="shared" si="4"/>
        <v>0.0052</v>
      </c>
      <c r="K37" s="43" t="b">
        <f t="shared" si="5"/>
        <v>0</v>
      </c>
      <c r="L37" s="21" t="str">
        <f>IFERROR(__xludf.DUMMYFUNCTION("if(regexmatch(B37,""e(.*)$""),regexextract(B37,""e(.*)$""),"""")"),"5")</f>
        <v>5</v>
      </c>
      <c r="M37" s="21"/>
      <c r="N37" s="45">
        <f>countif(Constants!F:F,F37)</f>
        <v>1</v>
      </c>
      <c r="O37" s="21" t="str">
        <f>VLOOKUP(A37,Constants!D:D,1,false)</f>
        <v>atomic unit of mag. flux density</v>
      </c>
    </row>
    <row r="38">
      <c r="A38" s="6" t="s">
        <v>725</v>
      </c>
      <c r="B38" s="6" t="s">
        <v>3768</v>
      </c>
      <c r="C38" s="6" t="s">
        <v>3769</v>
      </c>
      <c r="D38" s="6" t="s">
        <v>726</v>
      </c>
      <c r="E38" s="42">
        <f>countif(Constants!F:F,F38)</f>
        <v>1</v>
      </c>
      <c r="F38" s="21" t="str">
        <f>ifna(VLOOKUP($A38,Constants!$D:$F,3,false),"")</f>
        <v>AtomicUnitOfMagnetizability</v>
      </c>
      <c r="G38" s="43" t="str">
        <f t="shared" si="1"/>
        <v>7.891036607e-29</v>
      </c>
      <c r="H38" s="43">
        <f t="shared" si="2"/>
        <v>0</v>
      </c>
      <c r="I38" s="43" t="str">
        <f t="shared" si="3"/>
        <v>0.000000013e-29</v>
      </c>
      <c r="J38" s="43">
        <f t="shared" si="4"/>
        <v>0</v>
      </c>
      <c r="K38" s="43" t="b">
        <f t="shared" si="5"/>
        <v>0</v>
      </c>
      <c r="L38" s="21" t="str">
        <f>IFERROR(__xludf.DUMMYFUNCTION("if(regexmatch(B38,""e(.*)$""),regexextract(B38,""e(.*)$""),"""")"),"-29")</f>
        <v>-29</v>
      </c>
      <c r="M38" s="21"/>
      <c r="N38" s="45">
        <f>countif(Constants!F:F,F38)</f>
        <v>1</v>
      </c>
      <c r="O38" s="21" t="str">
        <f>VLOOKUP(A38,Constants!D:D,1,false)</f>
        <v>atomic unit of magnetizability</v>
      </c>
    </row>
    <row r="39">
      <c r="A39" s="6" t="s">
        <v>731</v>
      </c>
      <c r="B39" s="6" t="s">
        <v>3770</v>
      </c>
      <c r="C39" s="6" t="s">
        <v>3771</v>
      </c>
      <c r="D39" s="6" t="s">
        <v>538</v>
      </c>
      <c r="E39" s="42">
        <f>countif(Constants!F:F,F39)</f>
        <v>1</v>
      </c>
      <c r="F39" s="21" t="str">
        <f>ifna(VLOOKUP($A39,Constants!$D:$F,3,false),"")</f>
        <v>AtomicUnitOfMass</v>
      </c>
      <c r="G39" s="43" t="str">
        <f t="shared" si="1"/>
        <v>9.10938291e-31</v>
      </c>
      <c r="H39" s="43">
        <f t="shared" si="2"/>
        <v>0</v>
      </c>
      <c r="I39" s="43" t="str">
        <f t="shared" si="3"/>
        <v>0.00000040e-31</v>
      </c>
      <c r="J39" s="43">
        <f t="shared" si="4"/>
        <v>0</v>
      </c>
      <c r="K39" s="43" t="b">
        <f t="shared" si="5"/>
        <v>0</v>
      </c>
      <c r="L39" s="21" t="str">
        <f>IFERROR(__xludf.DUMMYFUNCTION("if(regexmatch(B39,""e(.*)$""),regexextract(B39,""e(.*)$""),"""")"),"-31")</f>
        <v>-31</v>
      </c>
      <c r="M39" s="21"/>
      <c r="N39" s="45">
        <f>countif(Constants!F:F,F39)</f>
        <v>1</v>
      </c>
      <c r="O39" s="21" t="str">
        <f>VLOOKUP(A39,Constants!D:D,1,false)</f>
        <v>atomic unit of mass</v>
      </c>
    </row>
    <row r="40">
      <c r="A40" s="6" t="s">
        <v>3272</v>
      </c>
      <c r="B40" s="6" t="s">
        <v>3772</v>
      </c>
      <c r="C40" s="6" t="s">
        <v>3773</v>
      </c>
      <c r="D40" s="6" t="s">
        <v>736</v>
      </c>
      <c r="E40" s="42">
        <f>countif(Constants!F:F,F40)</f>
        <v>1</v>
      </c>
      <c r="F40" s="6" t="s">
        <v>130</v>
      </c>
      <c r="G40" s="43" t="str">
        <f t="shared" si="1"/>
        <v>1.992851740e-24</v>
      </c>
      <c r="H40" s="43">
        <f t="shared" si="2"/>
        <v>0</v>
      </c>
      <c r="I40" s="43" t="str">
        <f t="shared" si="3"/>
        <v>0.000000088e-24</v>
      </c>
      <c r="J40" s="43">
        <f t="shared" si="4"/>
        <v>0</v>
      </c>
      <c r="K40" s="43" t="b">
        <f t="shared" si="5"/>
        <v>0</v>
      </c>
      <c r="L40" s="21" t="str">
        <f>IFERROR(__xludf.DUMMYFUNCTION("if(regexmatch(B40,""e(.*)$""),regexextract(B40,""e(.*)$""),"""")"),"-24")</f>
        <v>-24</v>
      </c>
      <c r="M40" s="21"/>
      <c r="N40" s="45">
        <f>countif(Constants!F:F,F40)</f>
        <v>1</v>
      </c>
      <c r="O40" s="21" t="str">
        <f>VLOOKUP(A40,Constants!D:D,1,false)</f>
        <v>#N/A</v>
      </c>
    </row>
    <row r="41">
      <c r="A41" s="6" t="s">
        <v>742</v>
      </c>
      <c r="B41" s="6" t="s">
        <v>3275</v>
      </c>
      <c r="C41" s="6" t="s">
        <v>2261</v>
      </c>
      <c r="D41" s="6" t="s">
        <v>743</v>
      </c>
      <c r="E41" s="42">
        <f>countif(Constants!F:F,F41)</f>
        <v>1</v>
      </c>
      <c r="F41" s="21" t="str">
        <f>ifna(VLOOKUP($A41,Constants!$D:$F,3,false),"")</f>
        <v>AtomicUnitOfPermittivity</v>
      </c>
      <c r="G41" s="43" t="str">
        <f t="shared" si="1"/>
        <v>1.112650056e-10</v>
      </c>
      <c r="H41" s="43">
        <f t="shared" si="2"/>
        <v>0.0000000001112650056</v>
      </c>
      <c r="I41" s="43" t="str">
        <f t="shared" si="3"/>
        <v>(exact)</v>
      </c>
      <c r="J41" s="43" t="str">
        <f t="shared" si="4"/>
        <v/>
      </c>
      <c r="K41" s="43" t="b">
        <f t="shared" si="5"/>
        <v>1</v>
      </c>
      <c r="L41" s="21" t="str">
        <f>IFERROR(__xludf.DUMMYFUNCTION("if(regexmatch(B41,""e(.*)$""),regexextract(B41,""e(.*)$""),"""")"),"-10")</f>
        <v>-10</v>
      </c>
      <c r="M41" s="21"/>
      <c r="N41" s="45">
        <f>countif(Constants!F:F,F41)</f>
        <v>1</v>
      </c>
      <c r="O41" s="21" t="str">
        <f>VLOOKUP(A41,Constants!D:D,1,false)</f>
        <v>atomic unit of permittivity</v>
      </c>
    </row>
    <row r="42">
      <c r="A42" s="6" t="s">
        <v>748</v>
      </c>
      <c r="B42" s="6" t="s">
        <v>3774</v>
      </c>
      <c r="C42" s="6" t="s">
        <v>3775</v>
      </c>
      <c r="D42" s="6" t="s">
        <v>749</v>
      </c>
      <c r="E42" s="42">
        <f>countif(Constants!F:F,F42)</f>
        <v>1</v>
      </c>
      <c r="F42" s="21" t="str">
        <f>ifna(VLOOKUP($A42,Constants!$D:$F,3,false),"")</f>
        <v>AtomicUnitOfTime</v>
      </c>
      <c r="G42" s="43" t="str">
        <f t="shared" si="1"/>
        <v>2.418884326502e-17</v>
      </c>
      <c r="H42" s="43">
        <f t="shared" si="2"/>
        <v>0</v>
      </c>
      <c r="I42" s="43" t="str">
        <f t="shared" si="3"/>
        <v>0.000000000012e-17</v>
      </c>
      <c r="J42" s="43">
        <f t="shared" si="4"/>
        <v>0</v>
      </c>
      <c r="K42" s="43" t="b">
        <f t="shared" si="5"/>
        <v>0</v>
      </c>
      <c r="L42" s="21" t="str">
        <f>IFERROR(__xludf.DUMMYFUNCTION("if(regexmatch(B42,""e(.*)$""),regexextract(B42,""e(.*)$""),"""")"),"-17")</f>
        <v>-17</v>
      </c>
      <c r="M42" s="21"/>
      <c r="N42" s="45">
        <f>countif(Constants!F:F,F42)</f>
        <v>1</v>
      </c>
      <c r="O42" s="21" t="str">
        <f>VLOOKUP(A42,Constants!D:D,1,false)</f>
        <v>atomic unit of time</v>
      </c>
    </row>
    <row r="43">
      <c r="A43" s="6" t="s">
        <v>753</v>
      </c>
      <c r="B43" s="6" t="s">
        <v>3776</v>
      </c>
      <c r="C43" s="6" t="s">
        <v>3777</v>
      </c>
      <c r="D43" s="6" t="s">
        <v>754</v>
      </c>
      <c r="E43" s="42">
        <f>countif(Constants!F:F,F43)</f>
        <v>1</v>
      </c>
      <c r="F43" s="21" t="str">
        <f>ifna(VLOOKUP($A43,Constants!$D:$F,3,false),"")</f>
        <v>AtomicUnitOfVelocity</v>
      </c>
      <c r="G43" s="43" t="str">
        <f t="shared" si="1"/>
        <v>2.18769126379e6</v>
      </c>
      <c r="H43" s="43">
        <f t="shared" si="2"/>
        <v>2187691.264</v>
      </c>
      <c r="I43" s="43" t="str">
        <f t="shared" si="3"/>
        <v>0.00000000071e6</v>
      </c>
      <c r="J43" s="43">
        <f t="shared" si="4"/>
        <v>0.00071</v>
      </c>
      <c r="K43" s="43" t="b">
        <f t="shared" si="5"/>
        <v>0</v>
      </c>
      <c r="L43" s="21" t="str">
        <f>IFERROR(__xludf.DUMMYFUNCTION("if(regexmatch(B43,""e(.*)$""),regexextract(B43,""e(.*)$""),"""")"),"6")</f>
        <v>6</v>
      </c>
      <c r="M43" s="21"/>
      <c r="N43" s="45">
        <f>countif(Constants!F:F,F43)</f>
        <v>1</v>
      </c>
      <c r="O43" s="21" t="str">
        <f>VLOOKUP(A43,Constants!D:D,1,false)</f>
        <v>atomic unit of velocity</v>
      </c>
    </row>
    <row r="44">
      <c r="A44" s="6" t="s">
        <v>145</v>
      </c>
      <c r="B44" s="6" t="s">
        <v>3778</v>
      </c>
      <c r="C44" s="6" t="s">
        <v>3779</v>
      </c>
      <c r="D44" s="6" t="s">
        <v>759</v>
      </c>
      <c r="E44" s="42">
        <f>countif(Constants!F:F,F44)</f>
        <v>1</v>
      </c>
      <c r="F44" s="21" t="str">
        <f>ifna(VLOOKUP($A44,Constants!$D:$F,3,false),"")</f>
        <v>AvogadroConstant</v>
      </c>
      <c r="G44" s="43" t="str">
        <f t="shared" si="1"/>
        <v>6.02214129e23</v>
      </c>
      <c r="H44" s="43">
        <f t="shared" si="2"/>
        <v>6.02214E+23</v>
      </c>
      <c r="I44" s="43" t="str">
        <f t="shared" si="3"/>
        <v>0.00000027e23</v>
      </c>
      <c r="J44" s="43">
        <f t="shared" si="4"/>
        <v>2.7E+16</v>
      </c>
      <c r="K44" s="43" t="b">
        <f t="shared" si="5"/>
        <v>0</v>
      </c>
      <c r="L44" s="21" t="str">
        <f>IFERROR(__xludf.DUMMYFUNCTION("if(regexmatch(B44,""e(.*)$""),regexextract(B44,""e(.*)$""),"""")"),"23")</f>
        <v>23</v>
      </c>
      <c r="M44" s="21"/>
      <c r="N44" s="45">
        <f>countif(Constants!F:F,F44)</f>
        <v>1</v>
      </c>
      <c r="O44" s="21" t="str">
        <f>VLOOKUP(A44,Constants!D:D,1,false)</f>
        <v>Avogadro constant</v>
      </c>
    </row>
    <row r="45">
      <c r="A45" s="6" t="s">
        <v>764</v>
      </c>
      <c r="B45" s="6" t="s">
        <v>3780</v>
      </c>
      <c r="C45" s="6" t="s">
        <v>3781</v>
      </c>
      <c r="D45" s="6" t="s">
        <v>714</v>
      </c>
      <c r="E45" s="42">
        <f>countif(Constants!F:F,F45)</f>
        <v>1</v>
      </c>
      <c r="F45" s="21" t="str">
        <f>ifna(VLOOKUP($A45,Constants!$D:$F,3,false),"")</f>
        <v>BohrMagneton</v>
      </c>
      <c r="G45" s="43" t="str">
        <f t="shared" si="1"/>
        <v>927.400968e-26</v>
      </c>
      <c r="H45" s="43">
        <f t="shared" si="2"/>
        <v>0</v>
      </c>
      <c r="I45" s="43" t="str">
        <f t="shared" si="3"/>
        <v>0.000020e-26</v>
      </c>
      <c r="J45" s="43">
        <f t="shared" si="4"/>
        <v>0</v>
      </c>
      <c r="K45" s="43" t="b">
        <f t="shared" si="5"/>
        <v>0</v>
      </c>
      <c r="L45" s="21" t="str">
        <f>IFERROR(__xludf.DUMMYFUNCTION("if(regexmatch(B45,""e(.*)$""),regexextract(B45,""e(.*)$""),"""")"),"-26")</f>
        <v>-26</v>
      </c>
      <c r="M45" s="21"/>
      <c r="N45" s="45">
        <f>countif(Constants!F:F,F45)</f>
        <v>1</v>
      </c>
      <c r="O45" s="21" t="str">
        <f>VLOOKUP(A45,Constants!D:D,1,false)</f>
        <v>Bohr magneton</v>
      </c>
    </row>
    <row r="46">
      <c r="A46" s="6" t="s">
        <v>768</v>
      </c>
      <c r="B46" s="6" t="s">
        <v>3782</v>
      </c>
      <c r="C46" s="6" t="s">
        <v>3783</v>
      </c>
      <c r="D46" s="6" t="s">
        <v>769</v>
      </c>
      <c r="E46" s="42">
        <f>countif(Constants!F:F,F46)</f>
        <v>1</v>
      </c>
      <c r="F46" s="21" t="str">
        <f>ifna(VLOOKUP($A46,Constants!$D:$F,3,false),"")</f>
        <v>BohrMagnetonInEVPerT</v>
      </c>
      <c r="G46" s="43" t="str">
        <f t="shared" si="1"/>
        <v>5.7883818066e-5</v>
      </c>
      <c r="H46" s="43">
        <f t="shared" si="2"/>
        <v>0.00005788381807</v>
      </c>
      <c r="I46" s="43" t="str">
        <f t="shared" si="3"/>
        <v>0.0000000038e-5</v>
      </c>
      <c r="J46" s="43">
        <f t="shared" si="4"/>
        <v>0</v>
      </c>
      <c r="K46" s="43" t="b">
        <f t="shared" si="5"/>
        <v>0</v>
      </c>
      <c r="L46" s="21" t="str">
        <f>IFERROR(__xludf.DUMMYFUNCTION("if(regexmatch(B46,""e(.*)$""),regexextract(B46,""e(.*)$""),"""")"),"-5")</f>
        <v>-5</v>
      </c>
      <c r="M46" s="21"/>
      <c r="N46" s="45">
        <f>countif(Constants!F:F,F46)</f>
        <v>1</v>
      </c>
      <c r="O46" s="21" t="str">
        <f>VLOOKUP(A46,Constants!D:D,1,false)</f>
        <v>Bohr magneton in eV/T</v>
      </c>
    </row>
    <row r="47">
      <c r="A47" s="6" t="s">
        <v>773</v>
      </c>
      <c r="B47" s="6" t="s">
        <v>3784</v>
      </c>
      <c r="C47" s="6" t="s">
        <v>3785</v>
      </c>
      <c r="D47" s="6" t="s">
        <v>774</v>
      </c>
      <c r="E47" s="42">
        <f>countif(Constants!F:F,F47)</f>
        <v>1</v>
      </c>
      <c r="F47" s="21" t="str">
        <f>ifna(VLOOKUP($A47,Constants!$D:$F,3,false),"")</f>
        <v>BohrMagnetonInHzPerT</v>
      </c>
      <c r="G47" s="43" t="str">
        <f t="shared" si="1"/>
        <v>13.99624555e9</v>
      </c>
      <c r="H47" s="43">
        <f t="shared" si="2"/>
        <v>13996245550</v>
      </c>
      <c r="I47" s="43" t="str">
        <f t="shared" si="3"/>
        <v>0.00000031e9</v>
      </c>
      <c r="J47" s="43">
        <f t="shared" si="4"/>
        <v>310</v>
      </c>
      <c r="K47" s="43" t="b">
        <f t="shared" si="5"/>
        <v>0</v>
      </c>
      <c r="L47" s="21" t="str">
        <f>IFERROR(__xludf.DUMMYFUNCTION("if(regexmatch(B47,""e(.*)$""),regexextract(B47,""e(.*)$""),"""")"),"9")</f>
        <v>9</v>
      </c>
      <c r="M47" s="21"/>
      <c r="N47" s="45">
        <f>countif(Constants!F:F,F47)</f>
        <v>1</v>
      </c>
      <c r="O47" s="21" t="str">
        <f>VLOOKUP(A47,Constants!D:D,1,false)</f>
        <v>Bohr magneton in Hz/T</v>
      </c>
    </row>
    <row r="48">
      <c r="A48" s="6" t="s">
        <v>3288</v>
      </c>
      <c r="B48" s="6" t="s">
        <v>3786</v>
      </c>
      <c r="C48" s="6" t="s">
        <v>3787</v>
      </c>
      <c r="D48" s="6" t="s">
        <v>779</v>
      </c>
      <c r="E48" s="42">
        <f>countif(Constants!F:F,F48)</f>
        <v>1</v>
      </c>
      <c r="F48" s="6" t="s">
        <v>3290</v>
      </c>
      <c r="G48" s="43" t="str">
        <f t="shared" si="1"/>
        <v>46.6864498</v>
      </c>
      <c r="H48" s="43">
        <f t="shared" si="2"/>
        <v>46.6864498</v>
      </c>
      <c r="I48" s="43" t="str">
        <f t="shared" si="3"/>
        <v>0.0000010</v>
      </c>
      <c r="J48" s="43">
        <f t="shared" si="4"/>
        <v>0.000001</v>
      </c>
      <c r="K48" s="43" t="b">
        <f t="shared" si="5"/>
        <v>0</v>
      </c>
      <c r="L48" s="21" t="str">
        <f>IFERROR(__xludf.DUMMYFUNCTION("if(regexmatch(B48,""e(.*)$""),regexextract(B48,""e(.*)$""),"""")"),"")</f>
        <v/>
      </c>
      <c r="M48" s="21"/>
      <c r="N48" s="45">
        <f>countif(Constants!F:F,F48)</f>
        <v>1</v>
      </c>
      <c r="O48" s="21" t="str">
        <f>VLOOKUP(A48,Constants!D:D,1,false)</f>
        <v>#N/A</v>
      </c>
    </row>
    <row r="49">
      <c r="A49" s="6" t="s">
        <v>783</v>
      </c>
      <c r="B49" s="6" t="s">
        <v>3788</v>
      </c>
      <c r="C49" s="6" t="s">
        <v>3789</v>
      </c>
      <c r="D49" s="6" t="s">
        <v>784</v>
      </c>
      <c r="E49" s="42">
        <f>countif(Constants!F:F,F49)</f>
        <v>1</v>
      </c>
      <c r="F49" s="21" t="str">
        <f>ifna(VLOOKUP($A49,Constants!$D:$F,3,false),"")</f>
        <v>BohrMagnetonInKPerT</v>
      </c>
      <c r="G49" s="43" t="str">
        <f t="shared" si="1"/>
        <v>0.67171388</v>
      </c>
      <c r="H49" s="43">
        <f t="shared" si="2"/>
        <v>0.67171388</v>
      </c>
      <c r="I49" s="43" t="str">
        <f t="shared" si="3"/>
        <v>0.00000061</v>
      </c>
      <c r="J49" s="43">
        <f t="shared" si="4"/>
        <v>0.00000061</v>
      </c>
      <c r="K49" s="43" t="b">
        <f t="shared" si="5"/>
        <v>0</v>
      </c>
      <c r="L49" s="21" t="str">
        <f>IFERROR(__xludf.DUMMYFUNCTION("if(regexmatch(B49,""e(.*)$""),regexextract(B49,""e(.*)$""),"""")"),"")</f>
        <v/>
      </c>
      <c r="M49" s="21"/>
      <c r="N49" s="45">
        <f>countif(Constants!F:F,F49)</f>
        <v>1</v>
      </c>
      <c r="O49" s="21" t="str">
        <f>VLOOKUP(A49,Constants!D:D,1,false)</f>
        <v>Bohr magneton in K/T</v>
      </c>
    </row>
    <row r="50">
      <c r="A50" s="6" t="s">
        <v>788</v>
      </c>
      <c r="B50" s="6" t="s">
        <v>3763</v>
      </c>
      <c r="C50" s="6" t="s">
        <v>2296</v>
      </c>
      <c r="D50" s="6" t="s">
        <v>571</v>
      </c>
      <c r="E50" s="42">
        <f>countif(Constants!F:F,F50)</f>
        <v>1</v>
      </c>
      <c r="F50" s="21" t="str">
        <f>ifna(VLOOKUP($A50,Constants!$D:$F,3,false),"")</f>
        <v>BohrRadius</v>
      </c>
      <c r="G50" s="43" t="str">
        <f t="shared" si="1"/>
        <v>0.52917721092e-10</v>
      </c>
      <c r="H50" s="43">
        <f t="shared" si="2"/>
        <v>0</v>
      </c>
      <c r="I50" s="43" t="str">
        <f t="shared" si="3"/>
        <v>0.00000000017e-10</v>
      </c>
      <c r="J50" s="43">
        <f t="shared" si="4"/>
        <v>0</v>
      </c>
      <c r="K50" s="43" t="b">
        <f t="shared" si="5"/>
        <v>0</v>
      </c>
      <c r="L50" s="21" t="str">
        <f>IFERROR(__xludf.DUMMYFUNCTION("if(regexmatch(B50,""e(.*)$""),regexextract(B50,""e(.*)$""),"""")"),"-10")</f>
        <v>-10</v>
      </c>
      <c r="M50" s="21"/>
      <c r="N50" s="45">
        <f>countif(Constants!F:F,F50)</f>
        <v>1</v>
      </c>
      <c r="O50" s="21" t="str">
        <f>VLOOKUP(A50,Constants!D:D,1,false)</f>
        <v>Bohr radius</v>
      </c>
    </row>
    <row r="51">
      <c r="A51" s="6" t="s">
        <v>791</v>
      </c>
      <c r="B51" s="6" t="s">
        <v>3790</v>
      </c>
      <c r="C51" s="6" t="s">
        <v>3791</v>
      </c>
      <c r="D51" s="6" t="s">
        <v>792</v>
      </c>
      <c r="E51" s="42">
        <f>countif(Constants!F:F,F51)</f>
        <v>1</v>
      </c>
      <c r="F51" s="21" t="str">
        <f>ifna(VLOOKUP($A51,Constants!$D:$F,3,false),"")</f>
        <v>BoltzmannConstant</v>
      </c>
      <c r="G51" s="43" t="str">
        <f t="shared" si="1"/>
        <v>1.3806488e-23</v>
      </c>
      <c r="H51" s="43">
        <f t="shared" si="2"/>
        <v>0</v>
      </c>
      <c r="I51" s="43" t="str">
        <f t="shared" si="3"/>
        <v>0.0000013e-23</v>
      </c>
      <c r="J51" s="43">
        <f t="shared" si="4"/>
        <v>0</v>
      </c>
      <c r="K51" s="43" t="b">
        <f t="shared" si="5"/>
        <v>0</v>
      </c>
      <c r="L51" s="21" t="str">
        <f>IFERROR(__xludf.DUMMYFUNCTION("if(regexmatch(B51,""e(.*)$""),regexextract(B51,""e(.*)$""),"""")"),"-23")</f>
        <v>-23</v>
      </c>
      <c r="M51" s="21"/>
      <c r="N51" s="45">
        <f>countif(Constants!F:F,F51)</f>
        <v>1</v>
      </c>
      <c r="O51" s="21" t="str">
        <f>VLOOKUP(A51,Constants!D:D,1,false)</f>
        <v>Boltzmann constant</v>
      </c>
    </row>
    <row r="52">
      <c r="A52" s="6" t="s">
        <v>798</v>
      </c>
      <c r="B52" s="6" t="s">
        <v>3792</v>
      </c>
      <c r="C52" s="6" t="s">
        <v>3793</v>
      </c>
      <c r="D52" s="6" t="s">
        <v>799</v>
      </c>
      <c r="E52" s="42">
        <f>countif(Constants!F:F,F52)</f>
        <v>1</v>
      </c>
      <c r="F52" s="21" t="str">
        <f>ifna(VLOOKUP($A52,Constants!$D:$F,3,false),"")</f>
        <v>BoltzmannConstantInEVPerK</v>
      </c>
      <c r="G52" s="43" t="str">
        <f t="shared" si="1"/>
        <v>8.6173324e-5</v>
      </c>
      <c r="H52" s="43">
        <f t="shared" si="2"/>
        <v>0.000086173324</v>
      </c>
      <c r="I52" s="43" t="str">
        <f t="shared" si="3"/>
        <v>0.0000078e-5</v>
      </c>
      <c r="J52" s="43">
        <f t="shared" si="4"/>
        <v>0</v>
      </c>
      <c r="K52" s="43" t="b">
        <f t="shared" si="5"/>
        <v>0</v>
      </c>
      <c r="L52" s="21" t="str">
        <f>IFERROR(__xludf.DUMMYFUNCTION("if(regexmatch(B52,""e(.*)$""),regexextract(B52,""e(.*)$""),"""")"),"-5")</f>
        <v>-5</v>
      </c>
      <c r="M52" s="21"/>
      <c r="N52" s="45">
        <f>countif(Constants!F:F,F52)</f>
        <v>1</v>
      </c>
      <c r="O52" s="21" t="str">
        <f>VLOOKUP(A52,Constants!D:D,1,false)</f>
        <v>Boltzmann constant in eV/K</v>
      </c>
    </row>
    <row r="53">
      <c r="A53" s="6" t="s">
        <v>803</v>
      </c>
      <c r="B53" s="6" t="s">
        <v>3794</v>
      </c>
      <c r="C53" s="6" t="s">
        <v>3795</v>
      </c>
      <c r="D53" s="6" t="s">
        <v>804</v>
      </c>
      <c r="E53" s="42">
        <f>countif(Constants!F:F,F53)</f>
        <v>1</v>
      </c>
      <c r="F53" s="21" t="str">
        <f>ifna(VLOOKUP($A53,Constants!$D:$F,3,false),"")</f>
        <v>BoltzmannConstantInHzPerK</v>
      </c>
      <c r="G53" s="43" t="str">
        <f t="shared" si="1"/>
        <v>2.0836618e10</v>
      </c>
      <c r="H53" s="43">
        <f t="shared" si="2"/>
        <v>20836618000</v>
      </c>
      <c r="I53" s="43" t="str">
        <f t="shared" si="3"/>
        <v>0.0000019e10</v>
      </c>
      <c r="J53" s="43">
        <f t="shared" si="4"/>
        <v>19000</v>
      </c>
      <c r="K53" s="43" t="b">
        <f t="shared" si="5"/>
        <v>0</v>
      </c>
      <c r="L53" s="21" t="str">
        <f>IFERROR(__xludf.DUMMYFUNCTION("if(regexmatch(B53,""e(.*)$""),regexextract(B53,""e(.*)$""),"""")"),"10")</f>
        <v>10</v>
      </c>
      <c r="M53" s="21"/>
      <c r="N53" s="45">
        <f>countif(Constants!F:F,F53)</f>
        <v>1</v>
      </c>
      <c r="O53" s="21" t="str">
        <f>VLOOKUP(A53,Constants!D:D,1,false)</f>
        <v>Boltzmann constant in Hz/K</v>
      </c>
    </row>
    <row r="54">
      <c r="A54" s="6" t="s">
        <v>3299</v>
      </c>
      <c r="B54" s="6" t="s">
        <v>3796</v>
      </c>
      <c r="C54" s="6" t="s">
        <v>3797</v>
      </c>
      <c r="D54" s="6" t="s">
        <v>809</v>
      </c>
      <c r="E54" s="42">
        <f>countif(Constants!F:F,F54)</f>
        <v>1</v>
      </c>
      <c r="F54" s="13" t="s">
        <v>3302</v>
      </c>
      <c r="G54" s="43" t="str">
        <f t="shared" si="1"/>
        <v>69.503476</v>
      </c>
      <c r="H54" s="43">
        <f t="shared" si="2"/>
        <v>69.503476</v>
      </c>
      <c r="I54" s="43" t="str">
        <f t="shared" si="3"/>
        <v>0.000063</v>
      </c>
      <c r="J54" s="43">
        <f t="shared" si="4"/>
        <v>0.000063</v>
      </c>
      <c r="K54" s="43" t="b">
        <f t="shared" si="5"/>
        <v>0</v>
      </c>
      <c r="L54" s="21" t="str">
        <f>IFERROR(__xludf.DUMMYFUNCTION("if(regexmatch(B54,""e(.*)$""),regexextract(B54,""e(.*)$""),"""")"),"")</f>
        <v/>
      </c>
      <c r="M54" s="21"/>
      <c r="N54" s="45">
        <f>countif(Constants!F:F,F54)</f>
        <v>1</v>
      </c>
      <c r="O54" s="21" t="str">
        <f>VLOOKUP(A54,Constants!D:D,1,false)</f>
        <v>#N/A</v>
      </c>
    </row>
    <row r="55">
      <c r="A55" s="6" t="s">
        <v>813</v>
      </c>
      <c r="B55" s="6" t="s">
        <v>3303</v>
      </c>
      <c r="C55" s="6" t="s">
        <v>2261</v>
      </c>
      <c r="D55" s="6" t="s">
        <v>814</v>
      </c>
      <c r="E55" s="42">
        <f>countif(Constants!F:F,F55)</f>
        <v>1</v>
      </c>
      <c r="F55" s="21" t="str">
        <f>ifna(VLOOKUP($A55,Constants!$D:$F,3,false),"")</f>
        <v>CharacteristicImpedanceOfVacuum</v>
      </c>
      <c r="G55" s="43" t="str">
        <f t="shared" si="1"/>
        <v>376.730313461</v>
      </c>
      <c r="H55" s="43">
        <f t="shared" si="2"/>
        <v>376.7303135</v>
      </c>
      <c r="I55" s="43" t="str">
        <f t="shared" si="3"/>
        <v>(exact)</v>
      </c>
      <c r="J55" s="43" t="str">
        <f t="shared" si="4"/>
        <v/>
      </c>
      <c r="K55" s="43" t="b">
        <f t="shared" si="5"/>
        <v>1</v>
      </c>
      <c r="L55" s="21" t="str">
        <f>IFERROR(__xludf.DUMMYFUNCTION("if(regexmatch(B55,""e(.*)$""),regexextract(B55,""e(.*)$""),"""")"),"")</f>
        <v/>
      </c>
      <c r="M55" s="21"/>
      <c r="N55" s="45">
        <f>countif(Constants!F:F,F55)</f>
        <v>1</v>
      </c>
      <c r="O55" s="21" t="str">
        <f>VLOOKUP(A55,Constants!D:D,1,false)</f>
        <v>characteristic impedance of vacuum</v>
      </c>
    </row>
    <row r="56">
      <c r="A56" s="6" t="s">
        <v>819</v>
      </c>
      <c r="B56" s="6" t="s">
        <v>3798</v>
      </c>
      <c r="C56" s="6" t="s">
        <v>3799</v>
      </c>
      <c r="D56" s="6" t="s">
        <v>571</v>
      </c>
      <c r="E56" s="42">
        <f>countif(Constants!F:F,F56)</f>
        <v>1</v>
      </c>
      <c r="F56" s="21" t="str">
        <f>ifna(VLOOKUP($A56,Constants!$D:$F,3,false),"")</f>
        <v>ClassicalElectronRadius</v>
      </c>
      <c r="G56" s="43" t="str">
        <f t="shared" si="1"/>
        <v>2.8179403267e-15</v>
      </c>
      <c r="H56" s="43">
        <f t="shared" si="2"/>
        <v>0</v>
      </c>
      <c r="I56" s="43" t="str">
        <f t="shared" si="3"/>
        <v>0.0000000027e-15</v>
      </c>
      <c r="J56" s="43">
        <f t="shared" si="4"/>
        <v>0</v>
      </c>
      <c r="K56" s="43" t="b">
        <f t="shared" si="5"/>
        <v>0</v>
      </c>
      <c r="L56" s="21" t="str">
        <f>IFERROR(__xludf.DUMMYFUNCTION("if(regexmatch(B56,""e(.*)$""),regexextract(B56,""e(.*)$""),"""")"),"-15")</f>
        <v>-15</v>
      </c>
      <c r="M56" s="21"/>
      <c r="N56" s="45">
        <f>countif(Constants!F:F,F56)</f>
        <v>1</v>
      </c>
      <c r="O56" s="21" t="str">
        <f>VLOOKUP(A56,Constants!D:D,1,false)</f>
        <v>classical electron radius</v>
      </c>
    </row>
    <row r="57">
      <c r="A57" s="6" t="s">
        <v>823</v>
      </c>
      <c r="B57" s="6" t="s">
        <v>3800</v>
      </c>
      <c r="C57" s="6" t="s">
        <v>3801</v>
      </c>
      <c r="D57" s="6" t="s">
        <v>571</v>
      </c>
      <c r="E57" s="42">
        <f>countif(Constants!F:F,F57)</f>
        <v>1</v>
      </c>
      <c r="F57" s="21" t="str">
        <f>ifna(VLOOKUP($A57,Constants!$D:$F,3,false),"")</f>
        <v>ComptonWavelength</v>
      </c>
      <c r="G57" s="43" t="str">
        <f t="shared" si="1"/>
        <v>2.4263102389e-12</v>
      </c>
      <c r="H57" s="43">
        <f t="shared" si="2"/>
        <v>0</v>
      </c>
      <c r="I57" s="43" t="str">
        <f t="shared" si="3"/>
        <v>0.0000000016e-12</v>
      </c>
      <c r="J57" s="43">
        <f t="shared" si="4"/>
        <v>0</v>
      </c>
      <c r="K57" s="43" t="b">
        <f t="shared" si="5"/>
        <v>0</v>
      </c>
      <c r="L57" s="21" t="str">
        <f>IFERROR(__xludf.DUMMYFUNCTION("if(regexmatch(B57,""e(.*)$""),regexextract(B57,""e(.*)$""),"""")"),"-12")</f>
        <v>-12</v>
      </c>
      <c r="M57" s="21"/>
      <c r="N57" s="45">
        <f>countif(Constants!F:F,F57)</f>
        <v>1</v>
      </c>
      <c r="O57" s="21" t="str">
        <f>VLOOKUP(A57,Constants!D:D,1,false)</f>
        <v>Compton wavelength</v>
      </c>
    </row>
    <row r="58">
      <c r="A58" s="6" t="s">
        <v>1901</v>
      </c>
      <c r="B58" s="6" t="s">
        <v>3802</v>
      </c>
      <c r="C58" s="6" t="s">
        <v>3803</v>
      </c>
      <c r="D58" s="6" t="s">
        <v>571</v>
      </c>
      <c r="E58" s="42">
        <f>countif(Constants!F:F,F58)</f>
        <v>2</v>
      </c>
      <c r="F58" s="13" t="s">
        <v>261</v>
      </c>
      <c r="G58" s="43" t="str">
        <f t="shared" si="1"/>
        <v>386.15926800e-15</v>
      </c>
      <c r="H58" s="43">
        <f t="shared" si="2"/>
        <v>0</v>
      </c>
      <c r="I58" s="43" t="str">
        <f t="shared" si="3"/>
        <v>0.00000025e-15</v>
      </c>
      <c r="J58" s="43">
        <f t="shared" si="4"/>
        <v>0</v>
      </c>
      <c r="K58" s="43" t="b">
        <f t="shared" si="5"/>
        <v>0</v>
      </c>
      <c r="L58" s="21" t="str">
        <f>IFERROR(__xludf.DUMMYFUNCTION("if(regexmatch(B58,""e(.*)$""),regexextract(B58,""e(.*)$""),"""")"),"-15")</f>
        <v>-15</v>
      </c>
      <c r="M58" s="21"/>
      <c r="N58" s="45">
        <f>countif(Constants!F:F,F58)</f>
        <v>2</v>
      </c>
      <c r="O58" s="21" t="str">
        <f>VLOOKUP(A58,Constants!D:D,1,false)</f>
        <v>#N/A</v>
      </c>
    </row>
    <row r="59">
      <c r="A59" s="6" t="s">
        <v>827</v>
      </c>
      <c r="B59" s="6" t="s">
        <v>3804</v>
      </c>
      <c r="C59" s="6" t="s">
        <v>3805</v>
      </c>
      <c r="D59" s="6" t="s">
        <v>828</v>
      </c>
      <c r="E59" s="42">
        <f>countif(Constants!F:F,F59)</f>
        <v>1</v>
      </c>
      <c r="F59" s="21" t="str">
        <f>ifna(VLOOKUP($A59,Constants!$D:$F,3,false),"")</f>
        <v>ConductanceQuantum</v>
      </c>
      <c r="G59" s="43" t="str">
        <f t="shared" si="1"/>
        <v>7.7480917346e-5</v>
      </c>
      <c r="H59" s="43">
        <f t="shared" si="2"/>
        <v>0.00007748091735</v>
      </c>
      <c r="I59" s="43" t="str">
        <f t="shared" si="3"/>
        <v>0.0000000025e-5</v>
      </c>
      <c r="J59" s="43">
        <f t="shared" si="4"/>
        <v>0</v>
      </c>
      <c r="K59" s="43" t="b">
        <f t="shared" si="5"/>
        <v>0</v>
      </c>
      <c r="L59" s="21" t="str">
        <f>IFERROR(__xludf.DUMMYFUNCTION("if(regexmatch(B59,""e(.*)$""),regexextract(B59,""e(.*)$""),"""")"),"-5")</f>
        <v>-5</v>
      </c>
      <c r="M59" s="21"/>
      <c r="N59" s="45">
        <f>countif(Constants!F:F,F59)</f>
        <v>1</v>
      </c>
      <c r="O59" s="21" t="str">
        <f>VLOOKUP(A59,Constants!D:D,1,false)</f>
        <v>conductance quantum</v>
      </c>
    </row>
    <row r="60">
      <c r="A60" s="6" t="s">
        <v>846</v>
      </c>
      <c r="B60" s="6" t="s">
        <v>2850</v>
      </c>
      <c r="C60" s="6" t="s">
        <v>2261</v>
      </c>
      <c r="D60" s="6" t="s">
        <v>847</v>
      </c>
      <c r="E60" s="42">
        <f>countif(Constants!F:F,F60)</f>
        <v>1</v>
      </c>
      <c r="F60" s="21" t="str">
        <f>ifna(VLOOKUP($A60,Constants!$D:$F,3,false),"")</f>
        <v>ConventionalValueOfJosephsonConstant</v>
      </c>
      <c r="G60" s="43" t="str">
        <f t="shared" si="1"/>
        <v>483597.9e9</v>
      </c>
      <c r="H60" s="43">
        <f t="shared" si="2"/>
        <v>483597900000000</v>
      </c>
      <c r="I60" s="43" t="str">
        <f t="shared" si="3"/>
        <v>(exact)</v>
      </c>
      <c r="J60" s="43" t="str">
        <f t="shared" si="4"/>
        <v/>
      </c>
      <c r="K60" s="43" t="b">
        <f t="shared" si="5"/>
        <v>0</v>
      </c>
      <c r="L60" s="21" t="str">
        <f>IFERROR(__xludf.DUMMYFUNCTION("if(regexmatch(B60,""e(.*)$""),regexextract(B60,""e(.*)$""),"""")"),"9")</f>
        <v>9</v>
      </c>
      <c r="M60" s="21"/>
      <c r="N60" s="45">
        <f>countif(Constants!F:F,F60)</f>
        <v>1</v>
      </c>
      <c r="O60" s="21" t="str">
        <f>VLOOKUP(A60,Constants!D:D,1,false)</f>
        <v>conventional value of Josephson constant</v>
      </c>
    </row>
    <row r="61">
      <c r="A61" s="6" t="s">
        <v>858</v>
      </c>
      <c r="B61" s="6" t="s">
        <v>2852</v>
      </c>
      <c r="C61" s="6" t="s">
        <v>2261</v>
      </c>
      <c r="D61" s="6" t="s">
        <v>814</v>
      </c>
      <c r="E61" s="42">
        <f>countif(Constants!F:F,F61)</f>
        <v>1</v>
      </c>
      <c r="F61" s="21" t="str">
        <f>ifna(VLOOKUP($A61,Constants!$D:$F,3,false),"")</f>
        <v>ConventionalValueOfVonKlitzingConstant</v>
      </c>
      <c r="G61" s="43" t="str">
        <f t="shared" si="1"/>
        <v>25812.807</v>
      </c>
      <c r="H61" s="43">
        <f t="shared" si="2"/>
        <v>25812.807</v>
      </c>
      <c r="I61" s="43" t="str">
        <f t="shared" si="3"/>
        <v>(exact)</v>
      </c>
      <c r="J61" s="43" t="str">
        <f t="shared" si="4"/>
        <v/>
      </c>
      <c r="K61" s="43" t="b">
        <f t="shared" si="5"/>
        <v>0</v>
      </c>
      <c r="L61" s="21" t="str">
        <f>IFERROR(__xludf.DUMMYFUNCTION("if(regexmatch(B61,""e(.*)$""),regexextract(B61,""e(.*)$""),"""")"),"")</f>
        <v/>
      </c>
      <c r="M61" s="21"/>
      <c r="N61" s="45">
        <f>countif(Constants!F:F,F61)</f>
        <v>1</v>
      </c>
      <c r="O61" s="21" t="str">
        <f>VLOOKUP(A61,Constants!D:D,1,false)</f>
        <v>conventional value of von Klitzing constant</v>
      </c>
    </row>
    <row r="62">
      <c r="A62" s="6" t="s">
        <v>3311</v>
      </c>
      <c r="B62" s="6" t="s">
        <v>2854</v>
      </c>
      <c r="C62" s="6" t="s">
        <v>2331</v>
      </c>
      <c r="D62" s="6" t="s">
        <v>571</v>
      </c>
      <c r="E62" s="42">
        <f>countif(Constants!F:F,F62)</f>
        <v>1</v>
      </c>
      <c r="F62" s="6" t="s">
        <v>272</v>
      </c>
      <c r="G62" s="43" t="str">
        <f t="shared" si="1"/>
        <v>1.00207697e-13</v>
      </c>
      <c r="H62" s="43">
        <f t="shared" si="2"/>
        <v>0</v>
      </c>
      <c r="I62" s="43" t="str">
        <f t="shared" si="3"/>
        <v>0.00000028e-13</v>
      </c>
      <c r="J62" s="43">
        <f t="shared" si="4"/>
        <v>0</v>
      </c>
      <c r="K62" s="43" t="b">
        <f t="shared" si="5"/>
        <v>0</v>
      </c>
      <c r="L62" s="21" t="str">
        <f>IFERROR(__xludf.DUMMYFUNCTION("if(regexmatch(B62,""e(.*)$""),regexextract(B62,""e(.*)$""),"""")"),"-13")</f>
        <v>-13</v>
      </c>
      <c r="M62" s="21"/>
      <c r="N62" s="45">
        <f>countif(Constants!F:F,F62)</f>
        <v>1</v>
      </c>
      <c r="O62" s="21" t="str">
        <f>VLOOKUP(A62,Constants!D:D,1,false)</f>
        <v>#N/A</v>
      </c>
    </row>
    <row r="63">
      <c r="A63" s="6" t="s">
        <v>871</v>
      </c>
      <c r="B63" s="6" t="s">
        <v>3806</v>
      </c>
      <c r="C63" s="6" t="s">
        <v>3807</v>
      </c>
      <c r="E63" s="42">
        <f>countif(Constants!F:F,F63)</f>
        <v>1</v>
      </c>
      <c r="F63" s="21" t="str">
        <f>ifna(VLOOKUP($A63,Constants!$D:$F,3,false),"")</f>
        <v>DeuteronElectronMagneticMomentRatio</v>
      </c>
      <c r="G63" s="43" t="str">
        <f t="shared" si="1"/>
        <v>-4.664345537e-4</v>
      </c>
      <c r="H63" s="43">
        <f t="shared" si="2"/>
        <v>-0.0004664345537</v>
      </c>
      <c r="I63" s="43" t="str">
        <f t="shared" si="3"/>
        <v>0.000000039e-4</v>
      </c>
      <c r="J63" s="43">
        <f t="shared" si="4"/>
        <v>0</v>
      </c>
      <c r="K63" s="43" t="b">
        <f t="shared" si="5"/>
        <v>0</v>
      </c>
      <c r="L63" s="21" t="str">
        <f>IFERROR(__xludf.DUMMYFUNCTION("if(regexmatch(B63,""e(.*)$""),regexextract(B63,""e(.*)$""),"""")"),"-4")</f>
        <v>-4</v>
      </c>
      <c r="M63" s="21"/>
      <c r="N63" s="45">
        <f>countif(Constants!F:F,F63)</f>
        <v>1</v>
      </c>
      <c r="O63" s="21" t="str">
        <f>VLOOKUP(A63,Constants!D:D,1,false)</f>
        <v>deuteron-electron mag. mom. ratio</v>
      </c>
    </row>
    <row r="64">
      <c r="A64" s="6" t="s">
        <v>876</v>
      </c>
      <c r="B64" s="6" t="s">
        <v>3808</v>
      </c>
      <c r="C64" s="6" t="s">
        <v>3809</v>
      </c>
      <c r="E64" s="42">
        <f>countif(Constants!F:F,F64)</f>
        <v>1</v>
      </c>
      <c r="F64" s="21" t="str">
        <f>ifna(VLOOKUP($A64,Constants!$D:$F,3,false),"")</f>
        <v>DeuteronElectronMassRatio</v>
      </c>
      <c r="G64" s="43" t="str">
        <f t="shared" si="1"/>
        <v>3670.4829652</v>
      </c>
      <c r="H64" s="43">
        <f t="shared" si="2"/>
        <v>3670.482965</v>
      </c>
      <c r="I64" s="43" t="str">
        <f t="shared" si="3"/>
        <v>0.0000015</v>
      </c>
      <c r="J64" s="43">
        <f t="shared" si="4"/>
        <v>0.0000015</v>
      </c>
      <c r="K64" s="43" t="b">
        <f t="shared" si="5"/>
        <v>0</v>
      </c>
      <c r="L64" s="21" t="str">
        <f>IFERROR(__xludf.DUMMYFUNCTION("if(regexmatch(B64,""e(.*)$""),regexextract(B64,""e(.*)$""),"""")"),"")</f>
        <v/>
      </c>
      <c r="M64" s="21"/>
      <c r="N64" s="45">
        <f>countif(Constants!F:F,F64)</f>
        <v>1</v>
      </c>
      <c r="O64" s="21" t="str">
        <f>VLOOKUP(A64,Constants!D:D,1,false)</f>
        <v>deuteron-electron mass ratio</v>
      </c>
    </row>
    <row r="65">
      <c r="A65" s="6" t="s">
        <v>881</v>
      </c>
      <c r="B65" s="6" t="s">
        <v>3810</v>
      </c>
      <c r="C65" s="6" t="s">
        <v>3811</v>
      </c>
      <c r="E65" s="42">
        <f>countif(Constants!F:F,F65)</f>
        <v>1</v>
      </c>
      <c r="F65" s="21" t="str">
        <f>ifna(VLOOKUP($A65,Constants!$D:$F,3,false),"")</f>
        <v>DeuteronGFactor</v>
      </c>
      <c r="G65" s="43" t="str">
        <f t="shared" si="1"/>
        <v>0.8574382308</v>
      </c>
      <c r="H65" s="43">
        <f t="shared" si="2"/>
        <v>0.8574382308</v>
      </c>
      <c r="I65" s="43" t="str">
        <f t="shared" si="3"/>
        <v>0.0000000072</v>
      </c>
      <c r="J65" s="43">
        <f t="shared" si="4"/>
        <v>0.0000000072</v>
      </c>
      <c r="K65" s="43" t="b">
        <f t="shared" si="5"/>
        <v>0</v>
      </c>
      <c r="L65" s="21" t="str">
        <f>IFERROR(__xludf.DUMMYFUNCTION("if(regexmatch(B65,""e(.*)$""),regexextract(B65,""e(.*)$""),"""")"),"")</f>
        <v/>
      </c>
      <c r="M65" s="21"/>
      <c r="N65" s="45">
        <f>countif(Constants!F:F,F65)</f>
        <v>1</v>
      </c>
      <c r="O65" s="21" t="str">
        <f>VLOOKUP(A65,Constants!D:D,1,false)</f>
        <v>deuteron g factor</v>
      </c>
    </row>
    <row r="66">
      <c r="A66" s="6" t="s">
        <v>885</v>
      </c>
      <c r="B66" s="6" t="s">
        <v>3812</v>
      </c>
      <c r="C66" s="6" t="s">
        <v>3813</v>
      </c>
      <c r="D66" s="6" t="s">
        <v>714</v>
      </c>
      <c r="E66" s="42">
        <f>countif(Constants!F:F,F66)</f>
        <v>1</v>
      </c>
      <c r="F66" s="21" t="str">
        <f>ifna(VLOOKUP($A66,Constants!$D:$F,3,false),"")</f>
        <v>DeuteronMagneticMoment</v>
      </c>
      <c r="G66" s="43" t="str">
        <f t="shared" si="1"/>
        <v>0.433073489e-26</v>
      </c>
      <c r="H66" s="43">
        <f t="shared" si="2"/>
        <v>0</v>
      </c>
      <c r="I66" s="43" t="str">
        <f t="shared" si="3"/>
        <v>0.000000010e-26</v>
      </c>
      <c r="J66" s="43">
        <f t="shared" si="4"/>
        <v>0</v>
      </c>
      <c r="K66" s="43" t="b">
        <f t="shared" si="5"/>
        <v>0</v>
      </c>
      <c r="L66" s="21" t="str">
        <f>IFERROR(__xludf.DUMMYFUNCTION("if(regexmatch(B66,""e(.*)$""),regexextract(B66,""e(.*)$""),"""")"),"-26")</f>
        <v>-26</v>
      </c>
      <c r="M66" s="21"/>
      <c r="N66" s="45">
        <f>countif(Constants!F:F,F66)</f>
        <v>1</v>
      </c>
      <c r="O66" s="21" t="str">
        <f>VLOOKUP(A66,Constants!D:D,1,false)</f>
        <v>deuteron mag. mom.</v>
      </c>
    </row>
    <row r="67">
      <c r="A67" s="6" t="s">
        <v>890</v>
      </c>
      <c r="B67" s="6" t="s">
        <v>3814</v>
      </c>
      <c r="C67" s="6" t="s">
        <v>3815</v>
      </c>
      <c r="E67" s="42">
        <f>countif(Constants!F:F,F67)</f>
        <v>1</v>
      </c>
      <c r="F67" s="21" t="str">
        <f>ifna(VLOOKUP($A67,Constants!$D:$F,3,false),"")</f>
        <v>DeuteronMagneticMomentToBohrMagnetonRatio</v>
      </c>
      <c r="G67" s="43" t="str">
        <f t="shared" si="1"/>
        <v>0.4669754556e-3</v>
      </c>
      <c r="H67" s="43">
        <f t="shared" si="2"/>
        <v>0.0004669754556</v>
      </c>
      <c r="I67" s="43" t="str">
        <f t="shared" si="3"/>
        <v>0.0000000039e-3</v>
      </c>
      <c r="J67" s="43">
        <f t="shared" si="4"/>
        <v>0</v>
      </c>
      <c r="K67" s="43" t="b">
        <f t="shared" si="5"/>
        <v>0</v>
      </c>
      <c r="L67" s="21" t="str">
        <f>IFERROR(__xludf.DUMMYFUNCTION("if(regexmatch(B67,""e(.*)$""),regexextract(B67,""e(.*)$""),"""")"),"-3")</f>
        <v>-3</v>
      </c>
      <c r="M67" s="21"/>
      <c r="N67" s="45">
        <f>countif(Constants!F:F,F67)</f>
        <v>1</v>
      </c>
      <c r="O67" s="21" t="str">
        <f>VLOOKUP(A67,Constants!D:D,1,false)</f>
        <v>deuteron mag. mom. to Bohr magneton ratio</v>
      </c>
    </row>
    <row r="68">
      <c r="A68" s="6" t="s">
        <v>895</v>
      </c>
      <c r="B68" s="6" t="s">
        <v>3810</v>
      </c>
      <c r="C68" s="6" t="s">
        <v>3811</v>
      </c>
      <c r="E68" s="42">
        <f>countif(Constants!F:F,F68)</f>
        <v>1</v>
      </c>
      <c r="F68" s="21" t="str">
        <f>ifna(VLOOKUP($A68,Constants!$D:$F,3,false),"")</f>
        <v>DeuteronMagneticMomentToNuclearMagnetonRatio</v>
      </c>
      <c r="G68" s="43" t="str">
        <f t="shared" si="1"/>
        <v>0.8574382308</v>
      </c>
      <c r="H68" s="43">
        <f t="shared" si="2"/>
        <v>0.8574382308</v>
      </c>
      <c r="I68" s="43" t="str">
        <f t="shared" si="3"/>
        <v>0.0000000072</v>
      </c>
      <c r="J68" s="43">
        <f t="shared" si="4"/>
        <v>0.0000000072</v>
      </c>
      <c r="K68" s="43" t="b">
        <f t="shared" si="5"/>
        <v>0</v>
      </c>
      <c r="L68" s="21" t="str">
        <f>IFERROR(__xludf.DUMMYFUNCTION("if(regexmatch(B68,""e(.*)$""),regexextract(B68,""e(.*)$""),"""")"),"")</f>
        <v/>
      </c>
      <c r="M68" s="21"/>
      <c r="N68" s="45">
        <f>countif(Constants!F:F,F68)</f>
        <v>1</v>
      </c>
      <c r="O68" s="21" t="str">
        <f>VLOOKUP(A68,Constants!D:D,1,false)</f>
        <v>deuteron mag. mom. to nuclear magneton ratio</v>
      </c>
    </row>
    <row r="69">
      <c r="A69" s="6" t="s">
        <v>900</v>
      </c>
      <c r="B69" s="6" t="s">
        <v>3816</v>
      </c>
      <c r="C69" s="6" t="s">
        <v>3817</v>
      </c>
      <c r="D69" s="6" t="s">
        <v>538</v>
      </c>
      <c r="E69" s="42">
        <f>countif(Constants!F:F,F69)</f>
        <v>1</v>
      </c>
      <c r="F69" s="21" t="str">
        <f>ifna(VLOOKUP($A69,Constants!$D:$F,3,false),"")</f>
        <v>DeuteronMass</v>
      </c>
      <c r="G69" s="43" t="str">
        <f t="shared" si="1"/>
        <v>3.34358348e-27</v>
      </c>
      <c r="H69" s="43">
        <f t="shared" si="2"/>
        <v>0</v>
      </c>
      <c r="I69" s="43" t="str">
        <f t="shared" si="3"/>
        <v>0.00000015e-27</v>
      </c>
      <c r="J69" s="43">
        <f t="shared" si="4"/>
        <v>0</v>
      </c>
      <c r="K69" s="43" t="b">
        <f t="shared" si="5"/>
        <v>0</v>
      </c>
      <c r="L69" s="21" t="str">
        <f>IFERROR(__xludf.DUMMYFUNCTION("if(regexmatch(B69,""e(.*)$""),regexextract(B69,""e(.*)$""),"""")"),"-27")</f>
        <v>-27</v>
      </c>
      <c r="M69" s="21"/>
      <c r="N69" s="45">
        <f>countif(Constants!F:F,F69)</f>
        <v>1</v>
      </c>
      <c r="O69" s="21" t="str">
        <f>VLOOKUP(A69,Constants!D:D,1,false)</f>
        <v>deuteron mass</v>
      </c>
    </row>
    <row r="70">
      <c r="A70" s="6" t="s">
        <v>904</v>
      </c>
      <c r="B70" s="6" t="s">
        <v>3818</v>
      </c>
      <c r="C70" s="6" t="s">
        <v>3819</v>
      </c>
      <c r="D70" s="6" t="s">
        <v>543</v>
      </c>
      <c r="E70" s="42">
        <f>countif(Constants!F:F,F70)</f>
        <v>1</v>
      </c>
      <c r="F70" s="21" t="str">
        <f>ifna(VLOOKUP($A70,Constants!$D:$F,3,false),"")</f>
        <v>DeuteronMassEnergyEquivalent</v>
      </c>
      <c r="G70" s="43" t="str">
        <f t="shared" si="1"/>
        <v>3.00506297e-10</v>
      </c>
      <c r="H70" s="43">
        <f t="shared" si="2"/>
        <v>0.000000000300506297</v>
      </c>
      <c r="I70" s="43" t="str">
        <f t="shared" si="3"/>
        <v>0.00000013e-10</v>
      </c>
      <c r="J70" s="43">
        <f t="shared" si="4"/>
        <v>0</v>
      </c>
      <c r="K70" s="43" t="b">
        <f t="shared" si="5"/>
        <v>0</v>
      </c>
      <c r="L70" s="21" t="str">
        <f>IFERROR(__xludf.DUMMYFUNCTION("if(regexmatch(B70,""e(.*)$""),regexextract(B70,""e(.*)$""),"""")"),"-10")</f>
        <v>-10</v>
      </c>
      <c r="M70" s="21"/>
      <c r="N70" s="45">
        <f>countif(Constants!F:F,F70)</f>
        <v>1</v>
      </c>
      <c r="O70" s="21" t="str">
        <f>VLOOKUP(A70,Constants!D:D,1,false)</f>
        <v>deuteron mass energy equivalent</v>
      </c>
    </row>
    <row r="71">
      <c r="A71" s="6" t="s">
        <v>908</v>
      </c>
      <c r="B71" s="6" t="s">
        <v>3820</v>
      </c>
      <c r="C71" s="6" t="s">
        <v>3821</v>
      </c>
      <c r="D71" s="6" t="s">
        <v>548</v>
      </c>
      <c r="E71" s="42">
        <f>countif(Constants!F:F,F71)</f>
        <v>1</v>
      </c>
      <c r="F71" s="21" t="str">
        <f>ifna(VLOOKUP($A71,Constants!$D:$F,3,false),"")</f>
        <v>DeuteronMassEnergyEquivalentInMeV</v>
      </c>
      <c r="G71" s="43" t="str">
        <f t="shared" si="1"/>
        <v>1875.612859</v>
      </c>
      <c r="H71" s="43">
        <f t="shared" si="2"/>
        <v>1875.612859</v>
      </c>
      <c r="I71" s="43" t="str">
        <f t="shared" si="3"/>
        <v>0.000041</v>
      </c>
      <c r="J71" s="43">
        <f t="shared" si="4"/>
        <v>0.000041</v>
      </c>
      <c r="K71" s="43" t="b">
        <f t="shared" si="5"/>
        <v>0</v>
      </c>
      <c r="L71" s="21" t="str">
        <f>IFERROR(__xludf.DUMMYFUNCTION("if(regexmatch(B71,""e(.*)$""),regexextract(B71,""e(.*)$""),"""")"),"")</f>
        <v/>
      </c>
      <c r="M71" s="21"/>
      <c r="N71" s="45">
        <f>countif(Constants!F:F,F71)</f>
        <v>1</v>
      </c>
      <c r="O71" s="21" t="str">
        <f>VLOOKUP(A71,Constants!D:D,1,false)</f>
        <v>deuteron mass energy equivalent in MeV</v>
      </c>
    </row>
    <row r="72">
      <c r="A72" s="6" t="s">
        <v>911</v>
      </c>
      <c r="B72" s="6" t="s">
        <v>3822</v>
      </c>
      <c r="C72" s="6" t="s">
        <v>3823</v>
      </c>
      <c r="D72" s="6" t="s">
        <v>553</v>
      </c>
      <c r="E72" s="42">
        <f>countif(Constants!F:F,F72)</f>
        <v>1</v>
      </c>
      <c r="F72" s="21" t="str">
        <f>ifna(VLOOKUP($A72,Constants!$D:$F,3,false),"")</f>
        <v>DeuteronMassInAtomicMassUnit</v>
      </c>
      <c r="G72" s="43" t="str">
        <f t="shared" si="1"/>
        <v>2.013553212712</v>
      </c>
      <c r="H72" s="43">
        <f t="shared" si="2"/>
        <v>2.013553213</v>
      </c>
      <c r="I72" s="43" t="str">
        <f t="shared" si="3"/>
        <v>0.000000000077</v>
      </c>
      <c r="J72" s="43">
        <f t="shared" si="4"/>
        <v>0</v>
      </c>
      <c r="K72" s="43" t="b">
        <f t="shared" si="5"/>
        <v>0</v>
      </c>
      <c r="L72" s="21" t="str">
        <f>IFERROR(__xludf.DUMMYFUNCTION("if(regexmatch(B72,""e(.*)$""),regexextract(B72,""e(.*)$""),"""")"),"")</f>
        <v/>
      </c>
      <c r="M72" s="21"/>
      <c r="N72" s="45">
        <f>countif(Constants!F:F,F72)</f>
        <v>1</v>
      </c>
      <c r="O72" s="21" t="str">
        <f>VLOOKUP(A72,Constants!D:D,1,false)</f>
        <v>deuteron mass in u</v>
      </c>
    </row>
    <row r="73">
      <c r="A73" s="6" t="s">
        <v>914</v>
      </c>
      <c r="B73" s="6" t="s">
        <v>3824</v>
      </c>
      <c r="C73" s="6" t="s">
        <v>3825</v>
      </c>
      <c r="D73" s="6" t="s">
        <v>557</v>
      </c>
      <c r="E73" s="42">
        <f>countif(Constants!F:F,F73)</f>
        <v>1</v>
      </c>
      <c r="F73" s="21" t="str">
        <f>ifna(VLOOKUP($A73,Constants!$D:$F,3,false),"")</f>
        <v>DeuteronMolarMass</v>
      </c>
      <c r="G73" s="43" t="str">
        <f t="shared" si="1"/>
        <v>2.013553212712e-3</v>
      </c>
      <c r="H73" s="43">
        <f t="shared" si="2"/>
        <v>0.002013553213</v>
      </c>
      <c r="I73" s="43" t="str">
        <f t="shared" si="3"/>
        <v>0.000000000077e-3</v>
      </c>
      <c r="J73" s="43">
        <f t="shared" si="4"/>
        <v>0</v>
      </c>
      <c r="K73" s="43" t="b">
        <f t="shared" si="5"/>
        <v>0</v>
      </c>
      <c r="L73" s="21" t="str">
        <f>IFERROR(__xludf.DUMMYFUNCTION("if(regexmatch(B73,""e(.*)$""),regexextract(B73,""e(.*)$""),"""")"),"-3")</f>
        <v>-3</v>
      </c>
      <c r="M73" s="21"/>
      <c r="N73" s="45">
        <f>countif(Constants!F:F,F73)</f>
        <v>1</v>
      </c>
      <c r="O73" s="21" t="str">
        <f>VLOOKUP(A73,Constants!D:D,1,false)</f>
        <v>deuteron molar mass</v>
      </c>
    </row>
    <row r="74">
      <c r="A74" s="6" t="s">
        <v>918</v>
      </c>
      <c r="B74" s="6" t="s">
        <v>3328</v>
      </c>
      <c r="C74" s="6" t="s">
        <v>2352</v>
      </c>
      <c r="E74" s="42">
        <f>countif(Constants!F:F,F74)</f>
        <v>1</v>
      </c>
      <c r="F74" s="21" t="str">
        <f>ifna(VLOOKUP($A74,Constants!$D:$F,3,false),"")</f>
        <v>DeuteronNeutronMagneticMomentRatio</v>
      </c>
      <c r="G74" s="43" t="str">
        <f t="shared" si="1"/>
        <v>-0.44820652</v>
      </c>
      <c r="H74" s="43">
        <f t="shared" si="2"/>
        <v>-0.44820652</v>
      </c>
      <c r="I74" s="43" t="str">
        <f t="shared" si="3"/>
        <v>0.00000011</v>
      </c>
      <c r="J74" s="43">
        <f t="shared" si="4"/>
        <v>0.00000011</v>
      </c>
      <c r="K74" s="43" t="b">
        <f t="shared" si="5"/>
        <v>0</v>
      </c>
      <c r="L74" s="21" t="str">
        <f>IFERROR(__xludf.DUMMYFUNCTION("if(regexmatch(B74,""e(.*)$""),regexextract(B74,""e(.*)$""),"""")"),"")</f>
        <v/>
      </c>
      <c r="M74" s="21"/>
      <c r="N74" s="45">
        <f>countif(Constants!F:F,F74)</f>
        <v>1</v>
      </c>
      <c r="O74" s="21" t="str">
        <f>VLOOKUP(A74,Constants!D:D,1,false)</f>
        <v>deuteron-neutron mag. mom. ratio</v>
      </c>
    </row>
    <row r="75">
      <c r="A75" s="6" t="s">
        <v>923</v>
      </c>
      <c r="B75" s="6" t="s">
        <v>3826</v>
      </c>
      <c r="C75" s="6" t="s">
        <v>2614</v>
      </c>
      <c r="E75" s="42">
        <f>countif(Constants!F:F,F75)</f>
        <v>1</v>
      </c>
      <c r="F75" s="21" t="str">
        <f>ifna(VLOOKUP($A75,Constants!$D:$F,3,false),"")</f>
        <v>DeuteronProtonMagneticMomentRatio</v>
      </c>
      <c r="G75" s="43" t="str">
        <f t="shared" si="1"/>
        <v>0.3070122070</v>
      </c>
      <c r="H75" s="43">
        <f t="shared" si="2"/>
        <v>0.307012207</v>
      </c>
      <c r="I75" s="43" t="str">
        <f t="shared" si="3"/>
        <v>0.0000000024</v>
      </c>
      <c r="J75" s="43">
        <f t="shared" si="4"/>
        <v>0.0000000024</v>
      </c>
      <c r="K75" s="43" t="b">
        <f t="shared" si="5"/>
        <v>0</v>
      </c>
      <c r="L75" s="21" t="str">
        <f>IFERROR(__xludf.DUMMYFUNCTION("if(regexmatch(B75,""e(.*)$""),regexextract(B75,""e(.*)$""),"""")"),"")</f>
        <v/>
      </c>
      <c r="M75" s="21"/>
      <c r="N75" s="45">
        <f>countif(Constants!F:F,F75)</f>
        <v>1</v>
      </c>
      <c r="O75" s="21" t="str">
        <f>VLOOKUP(A75,Constants!D:D,1,false)</f>
        <v>deuteron-proton mag. mom. ratio</v>
      </c>
    </row>
    <row r="76">
      <c r="A76" s="6" t="s">
        <v>928</v>
      </c>
      <c r="B76" s="6" t="s">
        <v>3827</v>
      </c>
      <c r="C76" s="6" t="s">
        <v>3828</v>
      </c>
      <c r="E76" s="42">
        <f>countif(Constants!F:F,F76)</f>
        <v>1</v>
      </c>
      <c r="F76" s="21" t="str">
        <f>ifna(VLOOKUP($A76,Constants!$D:$F,3,false),"")</f>
        <v>DeuteronProtonMassRatio</v>
      </c>
      <c r="G76" s="43" t="str">
        <f t="shared" si="1"/>
        <v>1.99900750097</v>
      </c>
      <c r="H76" s="43">
        <f t="shared" si="2"/>
        <v>1.999007501</v>
      </c>
      <c r="I76" s="43" t="str">
        <f t="shared" si="3"/>
        <v>0.00000000018</v>
      </c>
      <c r="J76" s="43">
        <f t="shared" si="4"/>
        <v>0.00000000018</v>
      </c>
      <c r="K76" s="43" t="b">
        <f t="shared" si="5"/>
        <v>0</v>
      </c>
      <c r="L76" s="21" t="str">
        <f>IFERROR(__xludf.DUMMYFUNCTION("if(regexmatch(B76,""e(.*)$""),regexextract(B76,""e(.*)$""),"""")"),"")</f>
        <v/>
      </c>
      <c r="M76" s="21"/>
      <c r="N76" s="45">
        <f>countif(Constants!F:F,F76)</f>
        <v>1</v>
      </c>
      <c r="O76" s="21" t="str">
        <f>VLOOKUP(A76,Constants!D:D,1,false)</f>
        <v>deuteron-proton mass ratio</v>
      </c>
    </row>
    <row r="77">
      <c r="A77" s="6" t="s">
        <v>936</v>
      </c>
      <c r="B77" s="46" t="s">
        <v>3829</v>
      </c>
      <c r="C77" s="46" t="s">
        <v>2237</v>
      </c>
      <c r="D77" s="6" t="s">
        <v>571</v>
      </c>
      <c r="E77" s="42">
        <f>countif(Constants!F:F,F77)</f>
        <v>1</v>
      </c>
      <c r="F77" s="21" t="str">
        <f>ifna(VLOOKUP($A77,Constants!$D:$F,3,false),"")</f>
        <v>DeuteronRmsChargeRadius</v>
      </c>
      <c r="G77" s="43" t="str">
        <f t="shared" si="1"/>
        <v>2.1424e-15</v>
      </c>
      <c r="H77" s="43">
        <f t="shared" si="2"/>
        <v>0</v>
      </c>
      <c r="I77" s="43" t="str">
        <f t="shared" si="3"/>
        <v>0.0021e-15</v>
      </c>
      <c r="J77" s="43">
        <f t="shared" si="4"/>
        <v>0</v>
      </c>
      <c r="K77" s="43" t="b">
        <f t="shared" si="5"/>
        <v>0</v>
      </c>
      <c r="L77" s="21" t="str">
        <f>IFERROR(__xludf.DUMMYFUNCTION("if(regexmatch(B77,""e(.*)$""),regexextract(B77,""e(.*)$""),"""")"),"-15")</f>
        <v>-15</v>
      </c>
      <c r="M77" s="21"/>
      <c r="N77" s="45">
        <f>countif(Constants!F:F,F77)</f>
        <v>1</v>
      </c>
      <c r="O77" s="21" t="str">
        <f>VLOOKUP(A77,Constants!D:D,1,false)</f>
        <v>deuteron rms charge radius</v>
      </c>
    </row>
    <row r="78">
      <c r="A78" s="6" t="s">
        <v>2177</v>
      </c>
      <c r="B78" s="6" t="s">
        <v>3335</v>
      </c>
      <c r="C78" s="6" t="s">
        <v>2261</v>
      </c>
      <c r="D78" s="6" t="s">
        <v>743</v>
      </c>
      <c r="E78" s="42">
        <f>countif(Constants!F:F,F78)</f>
        <v>1</v>
      </c>
      <c r="F78" s="6" t="s">
        <v>286</v>
      </c>
      <c r="G78" s="43" t="str">
        <f t="shared" si="1"/>
        <v>8.854187817e-12</v>
      </c>
      <c r="H78" s="43">
        <f t="shared" si="2"/>
        <v>0</v>
      </c>
      <c r="I78" s="43" t="str">
        <f t="shared" si="3"/>
        <v>(exact)</v>
      </c>
      <c r="J78" s="43" t="str">
        <f t="shared" si="4"/>
        <v/>
      </c>
      <c r="K78" s="43" t="b">
        <f t="shared" si="5"/>
        <v>1</v>
      </c>
      <c r="L78" s="21" t="str">
        <f>IFERROR(__xludf.DUMMYFUNCTION("if(regexmatch(B78,""e(.*)$""),regexextract(B78,""e(.*)$""),"""")"),"-12")</f>
        <v>-12</v>
      </c>
      <c r="M78" s="21"/>
      <c r="N78" s="45">
        <f>countif(Constants!F:F,F78)</f>
        <v>1</v>
      </c>
      <c r="O78" s="21" t="str">
        <f>VLOOKUP(A78,Constants!D:D,1,false)</f>
        <v>#N/A</v>
      </c>
    </row>
    <row r="79">
      <c r="A79" s="6" t="s">
        <v>940</v>
      </c>
      <c r="B79" s="6" t="s">
        <v>3830</v>
      </c>
      <c r="C79" s="6" t="s">
        <v>3831</v>
      </c>
      <c r="D79" s="6" t="s">
        <v>941</v>
      </c>
      <c r="E79" s="42">
        <f>countif(Constants!F:F,F79)</f>
        <v>1</v>
      </c>
      <c r="F79" s="21" t="str">
        <f>ifna(VLOOKUP($A79,Constants!$D:$F,3,false),"")</f>
        <v>ElectronChargeToMassQuotient</v>
      </c>
      <c r="G79" s="43" t="str">
        <f t="shared" si="1"/>
        <v>-1.758820088e11</v>
      </c>
      <c r="H79" s="43">
        <f t="shared" si="2"/>
        <v>-175882008800</v>
      </c>
      <c r="I79" s="43" t="str">
        <f t="shared" si="3"/>
        <v>0.000000039e11</v>
      </c>
      <c r="J79" s="43">
        <f t="shared" si="4"/>
        <v>3900</v>
      </c>
      <c r="K79" s="43" t="b">
        <f t="shared" si="5"/>
        <v>0</v>
      </c>
      <c r="L79" s="21" t="str">
        <f>IFERROR(__xludf.DUMMYFUNCTION("if(regexmatch(B79,""e(.*)$""),regexextract(B79,""e(.*)$""),"""")"),"11")</f>
        <v>11</v>
      </c>
      <c r="M79" s="21"/>
      <c r="N79" s="45">
        <f>countif(Constants!F:F,F79)</f>
        <v>1</v>
      </c>
      <c r="O79" s="21" t="str">
        <f>VLOOKUP(A79,Constants!D:D,1,false)</f>
        <v>electron charge to mass quotient</v>
      </c>
    </row>
    <row r="80">
      <c r="A80" s="6" t="s">
        <v>946</v>
      </c>
      <c r="B80" s="6" t="s">
        <v>3832</v>
      </c>
      <c r="C80" s="6" t="s">
        <v>3833</v>
      </c>
      <c r="E80" s="42">
        <f>countif(Constants!F:F,F80)</f>
        <v>1</v>
      </c>
      <c r="F80" s="21" t="str">
        <f>ifna(VLOOKUP($A80,Constants!$D:$F,3,false),"")</f>
        <v>ElectronDeuteronMagneticMomentRatio</v>
      </c>
      <c r="G80" s="43" t="str">
        <f t="shared" si="1"/>
        <v>-2143.923498</v>
      </c>
      <c r="H80" s="43">
        <f t="shared" si="2"/>
        <v>-2143.923498</v>
      </c>
      <c r="I80" s="43" t="str">
        <f t="shared" si="3"/>
        <v>0.000018</v>
      </c>
      <c r="J80" s="43">
        <f t="shared" si="4"/>
        <v>0.000018</v>
      </c>
      <c r="K80" s="43" t="b">
        <f t="shared" si="5"/>
        <v>0</v>
      </c>
      <c r="L80" s="21" t="str">
        <f>IFERROR(__xludf.DUMMYFUNCTION("if(regexmatch(B80,""e(.*)$""),regexextract(B80,""e(.*)$""),"""")"),"")</f>
        <v/>
      </c>
      <c r="M80" s="21"/>
      <c r="N80" s="45">
        <f>countif(Constants!F:F,F80)</f>
        <v>1</v>
      </c>
      <c r="O80" s="21" t="str">
        <f>VLOOKUP(A80,Constants!D:D,1,false)</f>
        <v>electron-deuteron mag. mom. ratio</v>
      </c>
    </row>
    <row r="81">
      <c r="A81" s="6" t="s">
        <v>951</v>
      </c>
      <c r="B81" s="6" t="s">
        <v>3834</v>
      </c>
      <c r="C81" s="6" t="s">
        <v>2612</v>
      </c>
      <c r="E81" s="42">
        <f>countif(Constants!F:F,F81)</f>
        <v>1</v>
      </c>
      <c r="F81" s="21" t="str">
        <f>ifna(VLOOKUP($A81,Constants!$D:$F,3,false),"")</f>
        <v>ElectronDeuteronMassRatio</v>
      </c>
      <c r="G81" s="43" t="str">
        <f t="shared" si="1"/>
        <v>2.7244371095e-4</v>
      </c>
      <c r="H81" s="43">
        <f t="shared" si="2"/>
        <v>0.000272443711</v>
      </c>
      <c r="I81" s="43" t="str">
        <f t="shared" si="3"/>
        <v>0.0000000011e-4</v>
      </c>
      <c r="J81" s="43">
        <f t="shared" si="4"/>
        <v>0</v>
      </c>
      <c r="K81" s="43" t="b">
        <f t="shared" si="5"/>
        <v>0</v>
      </c>
      <c r="L81" s="21" t="str">
        <f>IFERROR(__xludf.DUMMYFUNCTION("if(regexmatch(B81,""e(.*)$""),regexextract(B81,""e(.*)$""),"""")"),"-4")</f>
        <v>-4</v>
      </c>
      <c r="M81" s="21"/>
      <c r="N81" s="45">
        <f>countif(Constants!F:F,F81)</f>
        <v>1</v>
      </c>
      <c r="O81" s="21" t="str">
        <f>VLOOKUP(A81,Constants!D:D,1,false)</f>
        <v>electron-deuteron mass ratio</v>
      </c>
    </row>
    <row r="82">
      <c r="A82" s="6" t="s">
        <v>956</v>
      </c>
      <c r="B82" s="6" t="s">
        <v>3835</v>
      </c>
      <c r="C82" s="6" t="s">
        <v>3836</v>
      </c>
      <c r="E82" s="42">
        <f>countif(Constants!F:F,F82)</f>
        <v>1</v>
      </c>
      <c r="F82" s="21" t="str">
        <f>ifna(VLOOKUP($A82,Constants!$D:$F,3,false),"")</f>
        <v>ElectronGFactor</v>
      </c>
      <c r="G82" s="43" t="str">
        <f t="shared" si="1"/>
        <v>-2.00231930436153</v>
      </c>
      <c r="H82" s="43">
        <f t="shared" si="2"/>
        <v>-2.002319304</v>
      </c>
      <c r="I82" s="43" t="str">
        <f t="shared" si="3"/>
        <v>0.00000000000053</v>
      </c>
      <c r="J82" s="43">
        <f t="shared" si="4"/>
        <v>0</v>
      </c>
      <c r="K82" s="43" t="b">
        <f t="shared" si="5"/>
        <v>0</v>
      </c>
      <c r="L82" s="21" t="str">
        <f>IFERROR(__xludf.DUMMYFUNCTION("if(regexmatch(B82,""e(.*)$""),regexextract(B82,""e(.*)$""),"""")"),"")</f>
        <v/>
      </c>
      <c r="M82" s="21"/>
      <c r="N82" s="45">
        <f>countif(Constants!F:F,F82)</f>
        <v>1</v>
      </c>
      <c r="O82" s="21" t="str">
        <f>VLOOKUP(A82,Constants!D:D,1,false)</f>
        <v>electron g factor</v>
      </c>
    </row>
    <row r="83">
      <c r="A83" s="6" t="s">
        <v>960</v>
      </c>
      <c r="B83" s="6" t="s">
        <v>3837</v>
      </c>
      <c r="C83" s="6" t="s">
        <v>3831</v>
      </c>
      <c r="D83" s="6" t="s">
        <v>961</v>
      </c>
      <c r="E83" s="42">
        <f>countif(Constants!F:F,F83)</f>
        <v>1</v>
      </c>
      <c r="F83" s="21" t="str">
        <f>ifna(VLOOKUP($A83,Constants!$D:$F,3,false),"")</f>
        <v>ElectronGyromagneticRatio</v>
      </c>
      <c r="G83" s="43" t="str">
        <f t="shared" si="1"/>
        <v>1.760859708e11</v>
      </c>
      <c r="H83" s="43">
        <f t="shared" si="2"/>
        <v>176085970800</v>
      </c>
      <c r="I83" s="43" t="str">
        <f t="shared" si="3"/>
        <v>0.000000039e11</v>
      </c>
      <c r="J83" s="43">
        <f t="shared" si="4"/>
        <v>3900</v>
      </c>
      <c r="K83" s="43" t="b">
        <f t="shared" si="5"/>
        <v>0</v>
      </c>
      <c r="L83" s="21" t="str">
        <f>IFERROR(__xludf.DUMMYFUNCTION("if(regexmatch(B83,""e(.*)$""),regexextract(B83,""e(.*)$""),"""")"),"11")</f>
        <v>11</v>
      </c>
      <c r="M83" s="21"/>
      <c r="N83" s="45">
        <f>countif(Constants!F:F,F83)</f>
        <v>1</v>
      </c>
      <c r="O83" s="21" t="str">
        <f>VLOOKUP(A83,Constants!D:D,1,false)</f>
        <v>electron gyromag. ratio</v>
      </c>
    </row>
    <row r="84">
      <c r="A84" s="6" t="s">
        <v>966</v>
      </c>
      <c r="B84" s="6" t="s">
        <v>3838</v>
      </c>
      <c r="C84" s="6" t="s">
        <v>3839</v>
      </c>
      <c r="D84" s="6" t="s">
        <v>969</v>
      </c>
      <c r="E84" s="42">
        <f>countif(Constants!F:F,F84)</f>
        <v>1</v>
      </c>
      <c r="F84" s="13" t="s">
        <v>3344</v>
      </c>
      <c r="G84" s="43" t="str">
        <f t="shared" si="1"/>
        <v>28024.95266</v>
      </c>
      <c r="H84" s="43">
        <f t="shared" si="2"/>
        <v>28024.95266</v>
      </c>
      <c r="I84" s="43" t="str">
        <f t="shared" si="3"/>
        <v>0.00062</v>
      </c>
      <c r="J84" s="43">
        <f t="shared" si="4"/>
        <v>0.00062</v>
      </c>
      <c r="K84" s="43" t="b">
        <f t="shared" si="5"/>
        <v>0</v>
      </c>
      <c r="L84" s="21" t="str">
        <f>IFERROR(__xludf.DUMMYFUNCTION("if(regexmatch(B84,""e(.*)$""),regexextract(B84,""e(.*)$""),"""")"),"")</f>
        <v/>
      </c>
      <c r="M84" s="21"/>
      <c r="N84" s="45">
        <f>countif(Constants!F:F,F84)</f>
        <v>1</v>
      </c>
      <c r="O84" s="21" t="str">
        <f>VLOOKUP(A84,Constants!D:D,1,false)</f>
        <v>#N/A</v>
      </c>
    </row>
    <row r="85">
      <c r="A85" s="6" t="s">
        <v>975</v>
      </c>
      <c r="B85" s="6" t="s">
        <v>3840</v>
      </c>
      <c r="C85" s="6" t="s">
        <v>3630</v>
      </c>
      <c r="E85" s="42">
        <f>countif(Constants!F:F,F85)</f>
        <v>1</v>
      </c>
      <c r="F85" s="21" t="str">
        <f>ifna(VLOOKUP($A85,Constants!$D:$F,3,false),"")</f>
        <v>Electron-HelionMassRatio</v>
      </c>
      <c r="G85" s="43" t="str">
        <f t="shared" si="1"/>
        <v>1.8195430761e-4</v>
      </c>
      <c r="H85" s="43">
        <f t="shared" si="2"/>
        <v>0.0001819543076</v>
      </c>
      <c r="I85" s="43" t="str">
        <f t="shared" si="3"/>
        <v>0.0000000017e-4</v>
      </c>
      <c r="J85" s="43">
        <f t="shared" si="4"/>
        <v>0</v>
      </c>
      <c r="K85" s="43" t="b">
        <f t="shared" si="5"/>
        <v>0</v>
      </c>
      <c r="L85" s="21" t="str">
        <f>IFERROR(__xludf.DUMMYFUNCTION("if(regexmatch(B85,""e(.*)$""),regexextract(B85,""e(.*)$""),"""")"),"-4")</f>
        <v>-4</v>
      </c>
      <c r="M85" s="21"/>
      <c r="N85" s="45">
        <f>countif(Constants!F:F,F85)</f>
        <v>1</v>
      </c>
      <c r="O85" s="21" t="str">
        <f>VLOOKUP(A85,Constants!D:D,1,false)</f>
        <v>electron-helion mass ratio</v>
      </c>
    </row>
    <row r="86">
      <c r="A86" s="6" t="s">
        <v>979</v>
      </c>
      <c r="B86" s="6" t="s">
        <v>3841</v>
      </c>
      <c r="C86" s="6" t="s">
        <v>3842</v>
      </c>
      <c r="D86" s="6" t="s">
        <v>714</v>
      </c>
      <c r="E86" s="42">
        <f>countif(Constants!F:F,F86)</f>
        <v>1</v>
      </c>
      <c r="F86" s="21" t="str">
        <f>ifna(VLOOKUP($A86,Constants!$D:$F,3,false),"")</f>
        <v>ElectronMagneticMoment</v>
      </c>
      <c r="G86" s="43" t="str">
        <f t="shared" si="1"/>
        <v>-928.476430e-26</v>
      </c>
      <c r="H86" s="43">
        <f t="shared" si="2"/>
        <v>0</v>
      </c>
      <c r="I86" s="43" t="str">
        <f t="shared" si="3"/>
        <v>0.000021e-26</v>
      </c>
      <c r="J86" s="43">
        <f t="shared" si="4"/>
        <v>0</v>
      </c>
      <c r="K86" s="43" t="b">
        <f t="shared" si="5"/>
        <v>0</v>
      </c>
      <c r="L86" s="21" t="str">
        <f>IFERROR(__xludf.DUMMYFUNCTION("if(regexmatch(B86,""e(.*)$""),regexextract(B86,""e(.*)$""),"""")"),"-26")</f>
        <v>-26</v>
      </c>
      <c r="M86" s="21"/>
      <c r="N86" s="45">
        <f>countif(Constants!F:F,F86)</f>
        <v>1</v>
      </c>
      <c r="O86" s="21" t="str">
        <f>VLOOKUP(A86,Constants!D:D,1,false)</f>
        <v>electron mag. mom.</v>
      </c>
    </row>
    <row r="87">
      <c r="A87" s="6" t="s">
        <v>984</v>
      </c>
      <c r="B87" s="6" t="s">
        <v>3843</v>
      </c>
      <c r="C87" s="6" t="s">
        <v>3844</v>
      </c>
      <c r="E87" s="42">
        <f>countif(Constants!F:F,F87)</f>
        <v>1</v>
      </c>
      <c r="F87" s="21" t="str">
        <f>ifna(VLOOKUP($A87,Constants!$D:$F,3,false),"")</f>
        <v>ElectronMagneticMomentAnomaly</v>
      </c>
      <c r="G87" s="43" t="str">
        <f t="shared" si="1"/>
        <v>1.15965218076e-3</v>
      </c>
      <c r="H87" s="43">
        <f t="shared" si="2"/>
        <v>0.001159652181</v>
      </c>
      <c r="I87" s="43" t="str">
        <f t="shared" si="3"/>
        <v>0.00000000027e-3</v>
      </c>
      <c r="J87" s="43">
        <f t="shared" si="4"/>
        <v>0</v>
      </c>
      <c r="K87" s="43" t="b">
        <f t="shared" si="5"/>
        <v>0</v>
      </c>
      <c r="L87" s="21" t="str">
        <f>IFERROR(__xludf.DUMMYFUNCTION("if(regexmatch(B87,""e(.*)$""),regexextract(B87,""e(.*)$""),"""")"),"-3")</f>
        <v>-3</v>
      </c>
      <c r="M87" s="21"/>
      <c r="N87" s="45">
        <f>countif(Constants!F:F,F87)</f>
        <v>1</v>
      </c>
      <c r="O87" s="21" t="str">
        <f>VLOOKUP(A87,Constants!D:D,1,false)</f>
        <v>electron mag. mom. anomaly</v>
      </c>
    </row>
    <row r="88">
      <c r="A88" s="6" t="s">
        <v>989</v>
      </c>
      <c r="B88" s="6" t="s">
        <v>3845</v>
      </c>
      <c r="C88" s="6" t="s">
        <v>3846</v>
      </c>
      <c r="E88" s="42">
        <f>countif(Constants!F:F,F88)</f>
        <v>1</v>
      </c>
      <c r="F88" s="21" t="str">
        <f>ifna(VLOOKUP($A88,Constants!$D:$F,3,false),"")</f>
        <v>ElectronMagneticMomentToBohrMagnetonRatio</v>
      </c>
      <c r="G88" s="43" t="str">
        <f t="shared" si="1"/>
        <v>-1.00115965218076</v>
      </c>
      <c r="H88" s="43">
        <f t="shared" si="2"/>
        <v>-1.001159652</v>
      </c>
      <c r="I88" s="43" t="str">
        <f t="shared" si="3"/>
        <v>0.00000000000027</v>
      </c>
      <c r="J88" s="43">
        <f t="shared" si="4"/>
        <v>0</v>
      </c>
      <c r="K88" s="43" t="b">
        <f t="shared" si="5"/>
        <v>0</v>
      </c>
      <c r="L88" s="21" t="str">
        <f>IFERROR(__xludf.DUMMYFUNCTION("if(regexmatch(B88,""e(.*)$""),regexextract(B88,""e(.*)$""),"""")"),"")</f>
        <v/>
      </c>
      <c r="M88" s="21"/>
      <c r="N88" s="45">
        <f>countif(Constants!F:F,F88)</f>
        <v>1</v>
      </c>
      <c r="O88" s="21" t="str">
        <f>VLOOKUP(A88,Constants!D:D,1,false)</f>
        <v>electron mag. mom. to Bohr magneton ratio</v>
      </c>
    </row>
    <row r="89">
      <c r="A89" s="6" t="s">
        <v>994</v>
      </c>
      <c r="B89" s="6" t="s">
        <v>3847</v>
      </c>
      <c r="C89" s="6" t="s">
        <v>3848</v>
      </c>
      <c r="E89" s="42">
        <f>countif(Constants!F:F,F89)</f>
        <v>1</v>
      </c>
      <c r="F89" s="21" t="str">
        <f>ifna(VLOOKUP($A89,Constants!$D:$F,3,false),"")</f>
        <v>ElectronMagneticMomentToNuclearMagnetonRatio</v>
      </c>
      <c r="G89" s="43" t="str">
        <f t="shared" si="1"/>
        <v>-1838.28197090</v>
      </c>
      <c r="H89" s="43">
        <f t="shared" si="2"/>
        <v>-1838.281971</v>
      </c>
      <c r="I89" s="43" t="str">
        <f t="shared" si="3"/>
        <v>0.00000075</v>
      </c>
      <c r="J89" s="43">
        <f t="shared" si="4"/>
        <v>0.00000075</v>
      </c>
      <c r="K89" s="43" t="b">
        <f t="shared" si="5"/>
        <v>0</v>
      </c>
      <c r="L89" s="21" t="str">
        <f>IFERROR(__xludf.DUMMYFUNCTION("if(regexmatch(B89,""e(.*)$""),regexextract(B89,""e(.*)$""),"""")"),"")</f>
        <v/>
      </c>
      <c r="M89" s="21"/>
      <c r="N89" s="45">
        <f>countif(Constants!F:F,F89)</f>
        <v>1</v>
      </c>
      <c r="O89" s="21" t="str">
        <f>VLOOKUP(A89,Constants!D:D,1,false)</f>
        <v>electron mag. mom. to nuclear magneton ratio</v>
      </c>
    </row>
    <row r="90">
      <c r="A90" s="6" t="s">
        <v>999</v>
      </c>
      <c r="B90" s="6" t="s">
        <v>3770</v>
      </c>
      <c r="C90" s="6" t="s">
        <v>3771</v>
      </c>
      <c r="D90" s="6" t="s">
        <v>538</v>
      </c>
      <c r="E90" s="42">
        <f>countif(Constants!F:F,F90)</f>
        <v>1</v>
      </c>
      <c r="F90" s="21" t="str">
        <f>ifna(VLOOKUP($A90,Constants!$D:$F,3,false),"")</f>
        <v>ElectronMass</v>
      </c>
      <c r="G90" s="43" t="str">
        <f t="shared" si="1"/>
        <v>9.10938291e-31</v>
      </c>
      <c r="H90" s="43">
        <f t="shared" si="2"/>
        <v>0</v>
      </c>
      <c r="I90" s="43" t="str">
        <f t="shared" si="3"/>
        <v>0.00000040e-31</v>
      </c>
      <c r="J90" s="43">
        <f t="shared" si="4"/>
        <v>0</v>
      </c>
      <c r="K90" s="43" t="b">
        <f t="shared" si="5"/>
        <v>0</v>
      </c>
      <c r="L90" s="21" t="str">
        <f>IFERROR(__xludf.DUMMYFUNCTION("if(regexmatch(B90,""e(.*)$""),regexextract(B90,""e(.*)$""),"""")"),"-31")</f>
        <v>-31</v>
      </c>
      <c r="M90" s="21"/>
      <c r="N90" s="45">
        <f>countif(Constants!F:F,F90)</f>
        <v>1</v>
      </c>
      <c r="O90" s="21" t="str">
        <f>VLOOKUP(A90,Constants!D:D,1,false)</f>
        <v>electron mass</v>
      </c>
    </row>
    <row r="91">
      <c r="A91" s="6" t="s">
        <v>1004</v>
      </c>
      <c r="B91" s="6" t="s">
        <v>3849</v>
      </c>
      <c r="C91" s="6" t="s">
        <v>3850</v>
      </c>
      <c r="D91" s="6" t="s">
        <v>543</v>
      </c>
      <c r="E91" s="42">
        <f>countif(Constants!F:F,F91)</f>
        <v>1</v>
      </c>
      <c r="F91" s="21" t="str">
        <f>ifna(VLOOKUP($A91,Constants!$D:$F,3,false),"")</f>
        <v>ElectronMassEnergyEquivalent</v>
      </c>
      <c r="G91" s="43" t="str">
        <f t="shared" si="1"/>
        <v>8.18710506e-14</v>
      </c>
      <c r="H91" s="43">
        <f t="shared" si="2"/>
        <v>0</v>
      </c>
      <c r="I91" s="43" t="str">
        <f t="shared" si="3"/>
        <v>0.00000036e-14</v>
      </c>
      <c r="J91" s="43">
        <f t="shared" si="4"/>
        <v>0</v>
      </c>
      <c r="K91" s="43" t="b">
        <f t="shared" si="5"/>
        <v>0</v>
      </c>
      <c r="L91" s="21" t="str">
        <f>IFERROR(__xludf.DUMMYFUNCTION("if(regexmatch(B91,""e(.*)$""),regexextract(B91,""e(.*)$""),"""")"),"-14")</f>
        <v>-14</v>
      </c>
      <c r="M91" s="21"/>
      <c r="N91" s="45">
        <f>countif(Constants!F:F,F91)</f>
        <v>1</v>
      </c>
      <c r="O91" s="21" t="str">
        <f>VLOOKUP(A91,Constants!D:D,1,false)</f>
        <v>electron mass energy equivalent</v>
      </c>
    </row>
    <row r="92">
      <c r="A92" s="6" t="s">
        <v>1008</v>
      </c>
      <c r="B92" s="6" t="s">
        <v>3851</v>
      </c>
      <c r="C92" s="6" t="s">
        <v>2701</v>
      </c>
      <c r="D92" s="6" t="s">
        <v>548</v>
      </c>
      <c r="E92" s="42">
        <f>countif(Constants!F:F,F92)</f>
        <v>1</v>
      </c>
      <c r="F92" s="21" t="str">
        <f>ifna(VLOOKUP($A92,Constants!$D:$F,3,false),"")</f>
        <v>ElectronMassEnergyEquivalentInMeV</v>
      </c>
      <c r="G92" s="43" t="str">
        <f t="shared" si="1"/>
        <v>0.510998928</v>
      </c>
      <c r="H92" s="43">
        <f t="shared" si="2"/>
        <v>0.510998928</v>
      </c>
      <c r="I92" s="43" t="str">
        <f t="shared" si="3"/>
        <v>0.000000011</v>
      </c>
      <c r="J92" s="43">
        <f t="shared" si="4"/>
        <v>0.000000011</v>
      </c>
      <c r="K92" s="43" t="b">
        <f t="shared" si="5"/>
        <v>0</v>
      </c>
      <c r="L92" s="21" t="str">
        <f>IFERROR(__xludf.DUMMYFUNCTION("if(regexmatch(B92,""e(.*)$""),regexextract(B92,""e(.*)$""),"""")"),"")</f>
        <v/>
      </c>
      <c r="M92" s="21"/>
      <c r="N92" s="45">
        <f>countif(Constants!F:F,F92)</f>
        <v>1</v>
      </c>
      <c r="O92" s="21" t="str">
        <f>VLOOKUP(A92,Constants!D:D,1,false)</f>
        <v>electron mass energy equivalent in MeV</v>
      </c>
    </row>
    <row r="93">
      <c r="A93" s="6" t="s">
        <v>1011</v>
      </c>
      <c r="B93" s="6" t="s">
        <v>3852</v>
      </c>
      <c r="C93" s="6" t="s">
        <v>2394</v>
      </c>
      <c r="D93" s="6" t="s">
        <v>553</v>
      </c>
      <c r="E93" s="42">
        <f>countif(Constants!F:F,F93)</f>
        <v>1</v>
      </c>
      <c r="F93" s="21" t="str">
        <f>ifna(VLOOKUP($A93,Constants!$D:$F,3,false),"")</f>
        <v>ElectronMassInAtomicMassUnit</v>
      </c>
      <c r="G93" s="43" t="str">
        <f t="shared" si="1"/>
        <v>5.4857990946e-4</v>
      </c>
      <c r="H93" s="43">
        <f t="shared" si="2"/>
        <v>0.0005485799095</v>
      </c>
      <c r="I93" s="43" t="str">
        <f t="shared" si="3"/>
        <v>0.0000000022e-4</v>
      </c>
      <c r="J93" s="43">
        <f t="shared" si="4"/>
        <v>0</v>
      </c>
      <c r="K93" s="43" t="b">
        <f t="shared" si="5"/>
        <v>0</v>
      </c>
      <c r="L93" s="21" t="str">
        <f>IFERROR(__xludf.DUMMYFUNCTION("if(regexmatch(B93,""e(.*)$""),regexextract(B93,""e(.*)$""),"""")"),"-4")</f>
        <v>-4</v>
      </c>
      <c r="M93" s="21"/>
      <c r="N93" s="45">
        <f>countif(Constants!F:F,F93)</f>
        <v>1</v>
      </c>
      <c r="O93" s="21" t="str">
        <f>VLOOKUP(A93,Constants!D:D,1,false)</f>
        <v>electron mass in u</v>
      </c>
    </row>
    <row r="94">
      <c r="A94" s="6" t="s">
        <v>1014</v>
      </c>
      <c r="B94" s="6" t="s">
        <v>3853</v>
      </c>
      <c r="C94" s="6" t="s">
        <v>3854</v>
      </c>
      <c r="D94" s="6" t="s">
        <v>557</v>
      </c>
      <c r="E94" s="42">
        <f>countif(Constants!F:F,F94)</f>
        <v>1</v>
      </c>
      <c r="F94" s="21" t="str">
        <f>ifna(VLOOKUP($A94,Constants!$D:$F,3,false),"")</f>
        <v>ElectronMolarMass</v>
      </c>
      <c r="G94" s="43" t="str">
        <f t="shared" si="1"/>
        <v>5.4857990946e-7</v>
      </c>
      <c r="H94" s="43">
        <f t="shared" si="2"/>
        <v>0.0000005485799095</v>
      </c>
      <c r="I94" s="43" t="str">
        <f t="shared" si="3"/>
        <v>0.0000000022e-7</v>
      </c>
      <c r="J94" s="43">
        <f t="shared" si="4"/>
        <v>0</v>
      </c>
      <c r="K94" s="43" t="b">
        <f t="shared" si="5"/>
        <v>0</v>
      </c>
      <c r="L94" s="21" t="str">
        <f>IFERROR(__xludf.DUMMYFUNCTION("if(regexmatch(B94,""e(.*)$""),regexextract(B94,""e(.*)$""),"""")"),"-7")</f>
        <v>-7</v>
      </c>
      <c r="M94" s="21"/>
      <c r="N94" s="45">
        <f>countif(Constants!F:F,F94)</f>
        <v>1</v>
      </c>
      <c r="O94" s="21" t="str">
        <f>VLOOKUP(A94,Constants!D:D,1,false)</f>
        <v>electron molar mass</v>
      </c>
    </row>
    <row r="95">
      <c r="A95" s="6" t="s">
        <v>1018</v>
      </c>
      <c r="B95" s="6" t="s">
        <v>3855</v>
      </c>
      <c r="C95" s="6" t="s">
        <v>3856</v>
      </c>
      <c r="E95" s="42">
        <f>countif(Constants!F:F,F95)</f>
        <v>1</v>
      </c>
      <c r="F95" s="21" t="str">
        <f>ifna(VLOOKUP($A95,Constants!$D:$F,3,false),"")</f>
        <v>ElectronMuonMagneticMomentRatio</v>
      </c>
      <c r="G95" s="43" t="str">
        <f t="shared" si="1"/>
        <v>206.7669896</v>
      </c>
      <c r="H95" s="43">
        <f t="shared" si="2"/>
        <v>206.7669896</v>
      </c>
      <c r="I95" s="43" t="str">
        <f t="shared" si="3"/>
        <v>0.0000052</v>
      </c>
      <c r="J95" s="43">
        <f t="shared" si="4"/>
        <v>0.0000052</v>
      </c>
      <c r="K95" s="43" t="b">
        <f t="shared" si="5"/>
        <v>0</v>
      </c>
      <c r="L95" s="21" t="str">
        <f>IFERROR(__xludf.DUMMYFUNCTION("if(regexmatch(B95,""e(.*)$""),regexextract(B95,""e(.*)$""),"""")"),"")</f>
        <v/>
      </c>
      <c r="M95" s="21"/>
      <c r="N95" s="45">
        <f>countif(Constants!F:F,F95)</f>
        <v>1</v>
      </c>
      <c r="O95" s="21" t="str">
        <f>VLOOKUP(A95,Constants!D:D,1,false)</f>
        <v>electron-muon mag. mom. ratio</v>
      </c>
    </row>
    <row r="96">
      <c r="A96" s="6" t="s">
        <v>1023</v>
      </c>
      <c r="B96" s="6" t="s">
        <v>3857</v>
      </c>
      <c r="C96" s="6" t="s">
        <v>3858</v>
      </c>
      <c r="E96" s="42">
        <f>countif(Constants!F:F,F96)</f>
        <v>1</v>
      </c>
      <c r="F96" s="21" t="str">
        <f>ifna(VLOOKUP($A96,Constants!$D:$F,3,false),"")</f>
        <v>ElectronMuonMassRatio</v>
      </c>
      <c r="G96" s="43" t="str">
        <f t="shared" si="1"/>
        <v>4.83633166e-3</v>
      </c>
      <c r="H96" s="43">
        <f t="shared" si="2"/>
        <v>0.00483633166</v>
      </c>
      <c r="I96" s="43" t="str">
        <f t="shared" si="3"/>
        <v>0.00000012e-3</v>
      </c>
      <c r="J96" s="43">
        <f t="shared" si="4"/>
        <v>0.00000000012</v>
      </c>
      <c r="K96" s="43" t="b">
        <f t="shared" si="5"/>
        <v>0</v>
      </c>
      <c r="L96" s="21" t="str">
        <f>IFERROR(__xludf.DUMMYFUNCTION("if(regexmatch(B96,""e(.*)$""),regexextract(B96,""e(.*)$""),"""")"),"-3")</f>
        <v>-3</v>
      </c>
      <c r="M96" s="21"/>
      <c r="N96" s="45">
        <f>countif(Constants!F:F,F96)</f>
        <v>1</v>
      </c>
      <c r="O96" s="21" t="str">
        <f>VLOOKUP(A96,Constants!D:D,1,false)</f>
        <v>electron-muon mass ratio</v>
      </c>
    </row>
    <row r="97">
      <c r="A97" s="6" t="s">
        <v>1028</v>
      </c>
      <c r="B97" s="6" t="s">
        <v>2901</v>
      </c>
      <c r="C97" s="6" t="s">
        <v>2392</v>
      </c>
      <c r="E97" s="42">
        <f>countif(Constants!F:F,F97)</f>
        <v>1</v>
      </c>
      <c r="F97" s="21" t="str">
        <f>ifna(VLOOKUP($A97,Constants!$D:$F,3,false),"")</f>
        <v>ElectronNeutronMagneticMomentRatio</v>
      </c>
      <c r="G97" s="43" t="str">
        <f t="shared" si="1"/>
        <v>960.92050</v>
      </c>
      <c r="H97" s="43">
        <f t="shared" si="2"/>
        <v>960.9205</v>
      </c>
      <c r="I97" s="43" t="str">
        <f t="shared" si="3"/>
        <v>0.00023</v>
      </c>
      <c r="J97" s="43">
        <f t="shared" si="4"/>
        <v>0.00023</v>
      </c>
      <c r="K97" s="43" t="b">
        <f t="shared" si="5"/>
        <v>0</v>
      </c>
      <c r="L97" s="21" t="str">
        <f>IFERROR(__xludf.DUMMYFUNCTION("if(regexmatch(B97,""e(.*)$""),regexextract(B97,""e(.*)$""),"""")"),"")</f>
        <v/>
      </c>
      <c r="M97" s="21"/>
      <c r="N97" s="45">
        <f>countif(Constants!F:F,F97)</f>
        <v>1</v>
      </c>
      <c r="O97" s="21" t="str">
        <f>VLOOKUP(A97,Constants!D:D,1,false)</f>
        <v>electron-neutron mag. mom. ratio</v>
      </c>
    </row>
    <row r="98">
      <c r="A98" s="6" t="s">
        <v>1033</v>
      </c>
      <c r="B98" s="6" t="s">
        <v>3859</v>
      </c>
      <c r="C98" s="6" t="s">
        <v>3860</v>
      </c>
      <c r="E98" s="42">
        <f>countif(Constants!F:F,F98)</f>
        <v>1</v>
      </c>
      <c r="F98" s="21" t="str">
        <f>ifna(VLOOKUP($A98,Constants!$D:$F,3,false),"")</f>
        <v>ElectronNeutronMassRatio</v>
      </c>
      <c r="G98" s="43" t="str">
        <f t="shared" si="1"/>
        <v>5.4386734461e-4</v>
      </c>
      <c r="H98" s="43">
        <f t="shared" si="2"/>
        <v>0.0005438673446</v>
      </c>
      <c r="I98" s="43" t="str">
        <f t="shared" si="3"/>
        <v>0.0000000032e-4</v>
      </c>
      <c r="J98" s="43">
        <f t="shared" si="4"/>
        <v>0</v>
      </c>
      <c r="K98" s="43" t="b">
        <f t="shared" si="5"/>
        <v>0</v>
      </c>
      <c r="L98" s="21" t="str">
        <f>IFERROR(__xludf.DUMMYFUNCTION("if(regexmatch(B98,""e(.*)$""),regexextract(B98,""e(.*)$""),"""")"),"-4")</f>
        <v>-4</v>
      </c>
      <c r="M98" s="21"/>
      <c r="N98" s="45">
        <f>countif(Constants!F:F,F98)</f>
        <v>1</v>
      </c>
      <c r="O98" s="21" t="str">
        <f>VLOOKUP(A98,Constants!D:D,1,false)</f>
        <v>electron-neutron mass ratio</v>
      </c>
    </row>
    <row r="99">
      <c r="A99" s="6" t="s">
        <v>1038</v>
      </c>
      <c r="B99" s="6" t="s">
        <v>3861</v>
      </c>
      <c r="C99" s="6" t="s">
        <v>3862</v>
      </c>
      <c r="E99" s="42">
        <f>countif(Constants!F:F,F99)</f>
        <v>1</v>
      </c>
      <c r="F99" s="21" t="str">
        <f>ifna(VLOOKUP($A99,Constants!$D:$F,3,false),"")</f>
        <v>ElectronProtonMagneticMomentRatio</v>
      </c>
      <c r="G99" s="43" t="str">
        <f t="shared" si="1"/>
        <v>-658.2106848</v>
      </c>
      <c r="H99" s="43">
        <f t="shared" si="2"/>
        <v>-658.2106848</v>
      </c>
      <c r="I99" s="43" t="str">
        <f t="shared" si="3"/>
        <v>0.0000054</v>
      </c>
      <c r="J99" s="43">
        <f t="shared" si="4"/>
        <v>0.0000054</v>
      </c>
      <c r="K99" s="43" t="b">
        <f t="shared" si="5"/>
        <v>0</v>
      </c>
      <c r="L99" s="21" t="str">
        <f>IFERROR(__xludf.DUMMYFUNCTION("if(regexmatch(B99,""e(.*)$""),regexextract(B99,""e(.*)$""),"""")"),"")</f>
        <v/>
      </c>
      <c r="M99" s="21"/>
      <c r="N99" s="45">
        <f>countif(Constants!F:F,F99)</f>
        <v>1</v>
      </c>
      <c r="O99" s="21" t="str">
        <f>VLOOKUP(A99,Constants!D:D,1,false)</f>
        <v>electron-proton mag. mom. ratio</v>
      </c>
    </row>
    <row r="100">
      <c r="A100" s="6" t="s">
        <v>1043</v>
      </c>
      <c r="B100" s="6" t="s">
        <v>3863</v>
      </c>
      <c r="C100" s="6" t="s">
        <v>2394</v>
      </c>
      <c r="E100" s="42">
        <f>countif(Constants!F:F,F100)</f>
        <v>1</v>
      </c>
      <c r="F100" s="21" t="str">
        <f>ifna(VLOOKUP($A100,Constants!$D:$F,3,false),"")</f>
        <v>ElectronProtonMassRatio</v>
      </c>
      <c r="G100" s="43" t="str">
        <f t="shared" si="1"/>
        <v>5.4461702178e-4</v>
      </c>
      <c r="H100" s="43">
        <f t="shared" si="2"/>
        <v>0.0005446170218</v>
      </c>
      <c r="I100" s="43" t="str">
        <f t="shared" si="3"/>
        <v>0.0000000022e-4</v>
      </c>
      <c r="J100" s="43">
        <f t="shared" si="4"/>
        <v>0</v>
      </c>
      <c r="K100" s="43" t="b">
        <f t="shared" si="5"/>
        <v>0</v>
      </c>
      <c r="L100" s="21" t="str">
        <f>IFERROR(__xludf.DUMMYFUNCTION("if(regexmatch(B100,""e(.*)$""),regexextract(B100,""e(.*)$""),"""")"),"-4")</f>
        <v>-4</v>
      </c>
      <c r="M100" s="21"/>
      <c r="N100" s="45">
        <f>countif(Constants!F:F,F100)</f>
        <v>1</v>
      </c>
      <c r="O100" s="21" t="str">
        <f>VLOOKUP(A100,Constants!D:D,1,false)</f>
        <v>electron-proton mass ratio</v>
      </c>
    </row>
    <row r="101">
      <c r="A101" s="6" t="s">
        <v>1051</v>
      </c>
      <c r="B101" s="6" t="s">
        <v>3367</v>
      </c>
      <c r="C101" s="6" t="s">
        <v>3368</v>
      </c>
      <c r="E101" s="42">
        <f>countif(Constants!F:F,F101)</f>
        <v>1</v>
      </c>
      <c r="F101" s="21" t="str">
        <f>ifna(VLOOKUP($A101,Constants!$D:$F,3,false),"")</f>
        <v>ElectronTauMassRatio</v>
      </c>
      <c r="G101" s="43" t="str">
        <f t="shared" si="1"/>
        <v>2.87592e-4</v>
      </c>
      <c r="H101" s="43">
        <f t="shared" si="2"/>
        <v>0.000287592</v>
      </c>
      <c r="I101" s="43" t="str">
        <f t="shared" si="3"/>
        <v>0.00026e-4</v>
      </c>
      <c r="J101" s="43">
        <f t="shared" si="4"/>
        <v>0.000000026</v>
      </c>
      <c r="K101" s="43" t="b">
        <f t="shared" si="5"/>
        <v>0</v>
      </c>
      <c r="L101" s="21" t="str">
        <f>IFERROR(__xludf.DUMMYFUNCTION("if(regexmatch(B101,""e(.*)$""),regexextract(B101,""e(.*)$""),"""")"),"-4")</f>
        <v>-4</v>
      </c>
      <c r="M101" s="21"/>
      <c r="N101" s="45">
        <f>countif(Constants!F:F,F101)</f>
        <v>1</v>
      </c>
      <c r="O101" s="21" t="str">
        <f>VLOOKUP(A101,Constants!D:D,1,false)</f>
        <v>electron-tau mass ratio</v>
      </c>
    </row>
    <row r="102">
      <c r="A102" s="6" t="s">
        <v>1055</v>
      </c>
      <c r="B102" s="6" t="s">
        <v>3864</v>
      </c>
      <c r="C102" s="6" t="s">
        <v>3865</v>
      </c>
      <c r="E102" s="42">
        <f>countif(Constants!F:F,F102)</f>
        <v>1</v>
      </c>
      <c r="F102" s="21" t="str">
        <f>ifna(VLOOKUP($A102,Constants!$D:$F,3,false),"")</f>
        <v>ElectronToAlphaParticleMassRatio</v>
      </c>
      <c r="G102" s="43" t="str">
        <f t="shared" si="1"/>
        <v>1.37093355578e-4</v>
      </c>
      <c r="H102" s="43">
        <f t="shared" si="2"/>
        <v>0.0001370933556</v>
      </c>
      <c r="I102" s="43" t="str">
        <f t="shared" si="3"/>
        <v>0.00000000055e-4</v>
      </c>
      <c r="J102" s="43">
        <f t="shared" si="4"/>
        <v>0</v>
      </c>
      <c r="K102" s="43" t="b">
        <f t="shared" si="5"/>
        <v>0</v>
      </c>
      <c r="L102" s="21" t="str">
        <f>IFERROR(__xludf.DUMMYFUNCTION("if(regexmatch(B102,""e(.*)$""),regexextract(B102,""e(.*)$""),"""")"),"-4")</f>
        <v>-4</v>
      </c>
      <c r="M102" s="21"/>
      <c r="N102" s="45">
        <f>countif(Constants!F:F,F102)</f>
        <v>1</v>
      </c>
      <c r="O102" s="21" t="str">
        <f>VLOOKUP(A102,Constants!D:D,1,false)</f>
        <v>electron to alpha particle mass ratio</v>
      </c>
    </row>
    <row r="103">
      <c r="A103" s="6" t="s">
        <v>1059</v>
      </c>
      <c r="B103" s="6" t="s">
        <v>2910</v>
      </c>
      <c r="C103" s="6" t="s">
        <v>2911</v>
      </c>
      <c r="E103" s="42">
        <f>countif(Constants!F:F,F103)</f>
        <v>1</v>
      </c>
      <c r="F103" s="21" t="str">
        <f>ifna(VLOOKUP($A103,Constants!$D:$F,3,false),"")</f>
        <v>ElectronToShieldedHelionMagneticMomentRatio</v>
      </c>
      <c r="G103" s="43" t="str">
        <f t="shared" si="1"/>
        <v>864.058257</v>
      </c>
      <c r="H103" s="43">
        <f t="shared" si="2"/>
        <v>864.058257</v>
      </c>
      <c r="I103" s="43" t="str">
        <f t="shared" si="3"/>
        <v>0.000010</v>
      </c>
      <c r="J103" s="43">
        <f t="shared" si="4"/>
        <v>0.00001</v>
      </c>
      <c r="K103" s="43" t="b">
        <f t="shared" si="5"/>
        <v>0</v>
      </c>
      <c r="L103" s="21" t="str">
        <f>IFERROR(__xludf.DUMMYFUNCTION("if(regexmatch(B103,""e(.*)$""),regexextract(B103,""e(.*)$""),"""")"),"")</f>
        <v/>
      </c>
      <c r="M103" s="21"/>
      <c r="N103" s="45">
        <f>countif(Constants!F:F,F103)</f>
        <v>1</v>
      </c>
      <c r="O103" s="21" t="str">
        <f>VLOOKUP(A103,Constants!D:D,1,false)</f>
        <v>electron to shielded helion mag. mom. ratio</v>
      </c>
    </row>
    <row r="104">
      <c r="A104" s="6" t="s">
        <v>1064</v>
      </c>
      <c r="B104" s="6" t="s">
        <v>2912</v>
      </c>
      <c r="C104" s="6" t="s">
        <v>2913</v>
      </c>
      <c r="E104" s="42">
        <f>countif(Constants!F:F,F104)</f>
        <v>1</v>
      </c>
      <c r="F104" s="21" t="str">
        <f>ifna(VLOOKUP($A104,Constants!$D:$F,3,false),"")</f>
        <v>ElectronToShieldedProtonMagneticMomentRatio</v>
      </c>
      <c r="G104" s="43" t="str">
        <f t="shared" si="1"/>
        <v>-658.2275971</v>
      </c>
      <c r="H104" s="43">
        <f t="shared" si="2"/>
        <v>-658.2275971</v>
      </c>
      <c r="I104" s="43" t="str">
        <f t="shared" si="3"/>
        <v>0.0000072</v>
      </c>
      <c r="J104" s="43">
        <f t="shared" si="4"/>
        <v>0.0000072</v>
      </c>
      <c r="K104" s="43" t="b">
        <f t="shared" si="5"/>
        <v>0</v>
      </c>
      <c r="L104" s="21" t="str">
        <f>IFERROR(__xludf.DUMMYFUNCTION("if(regexmatch(B104,""e(.*)$""),regexextract(B104,""e(.*)$""),"""")"),"")</f>
        <v/>
      </c>
      <c r="M104" s="21"/>
      <c r="N104" s="45">
        <f>countif(Constants!F:F,F104)</f>
        <v>1</v>
      </c>
      <c r="O104" s="21" t="str">
        <f>VLOOKUP(A104,Constants!D:D,1,false)</f>
        <v>electron to shielded proton mag. mom. ratio</v>
      </c>
    </row>
    <row r="105">
      <c r="A105" s="6" t="s">
        <v>1069</v>
      </c>
      <c r="B105" s="6" t="s">
        <v>3866</v>
      </c>
      <c r="C105" s="6" t="s">
        <v>3630</v>
      </c>
      <c r="E105" s="42">
        <f>countif(Constants!F:F,F105)</f>
        <v>1</v>
      </c>
      <c r="F105" s="21" t="str">
        <f>ifna(VLOOKUP($A105,Constants!$D:$F,3,false),"")</f>
        <v>Electron-TritonMassRatio</v>
      </c>
      <c r="G105" s="43" t="str">
        <f t="shared" si="1"/>
        <v>1.8192000653e-4</v>
      </c>
      <c r="H105" s="43">
        <f t="shared" si="2"/>
        <v>0.0001819200065</v>
      </c>
      <c r="I105" s="43" t="str">
        <f t="shared" si="3"/>
        <v>0.0000000017e-4</v>
      </c>
      <c r="J105" s="43">
        <f t="shared" si="4"/>
        <v>0</v>
      </c>
      <c r="K105" s="43" t="b">
        <f t="shared" si="5"/>
        <v>0</v>
      </c>
      <c r="L105" s="21" t="str">
        <f>IFERROR(__xludf.DUMMYFUNCTION("if(regexmatch(B105,""e(.*)$""),regexextract(B105,""e(.*)$""),"""")"),"-4")</f>
        <v>-4</v>
      </c>
      <c r="M105" s="21"/>
      <c r="N105" s="45">
        <f>countif(Constants!F:F,F105)</f>
        <v>1</v>
      </c>
      <c r="O105" s="21" t="str">
        <f>VLOOKUP(A105,Constants!D:D,1,false)</f>
        <v>electron-triton mass ratio</v>
      </c>
    </row>
    <row r="106">
      <c r="A106" s="6" t="s">
        <v>1073</v>
      </c>
      <c r="B106" s="6" t="s">
        <v>3741</v>
      </c>
      <c r="C106" s="6" t="s">
        <v>3742</v>
      </c>
      <c r="D106" s="6" t="s">
        <v>543</v>
      </c>
      <c r="E106" s="42">
        <f>countif(Constants!F:F,F106)</f>
        <v>1</v>
      </c>
      <c r="F106" s="21" t="str">
        <f>ifna(VLOOKUP($A106,Constants!$D:$F,3,false),"")</f>
        <v>ElectronVolt</v>
      </c>
      <c r="G106" s="43" t="str">
        <f t="shared" si="1"/>
        <v>1.602176565e-19</v>
      </c>
      <c r="H106" s="43">
        <f t="shared" si="2"/>
        <v>0</v>
      </c>
      <c r="I106" s="43" t="str">
        <f t="shared" si="3"/>
        <v>0.000000035e-19</v>
      </c>
      <c r="J106" s="43">
        <f t="shared" si="4"/>
        <v>0</v>
      </c>
      <c r="K106" s="43" t="b">
        <f t="shared" si="5"/>
        <v>0</v>
      </c>
      <c r="L106" s="21" t="str">
        <f>IFERROR(__xludf.DUMMYFUNCTION("if(regexmatch(B106,""e(.*)$""),regexextract(B106,""e(.*)$""),"""")"),"-19")</f>
        <v>-19</v>
      </c>
      <c r="M106" s="21"/>
      <c r="N106" s="45">
        <f>countif(Constants!F:F,F106)</f>
        <v>1</v>
      </c>
      <c r="O106" s="21" t="str">
        <f>VLOOKUP(A106,Constants!D:D,1,false)</f>
        <v>electron volt</v>
      </c>
    </row>
    <row r="107">
      <c r="A107" s="6" t="s">
        <v>1078</v>
      </c>
      <c r="B107" s="6" t="s">
        <v>3867</v>
      </c>
      <c r="C107" s="6" t="s">
        <v>3868</v>
      </c>
      <c r="D107" s="6" t="s">
        <v>553</v>
      </c>
      <c r="E107" s="42">
        <f>countif(Constants!F:F,F107)</f>
        <v>1</v>
      </c>
      <c r="F107" s="21" t="str">
        <f>ifna(VLOOKUP($A107,Constants!$D:$F,3,false),"")</f>
        <v>ElectronVoltAtomicMassUnitRelationship</v>
      </c>
      <c r="G107" s="43" t="str">
        <f t="shared" si="1"/>
        <v>1.073544150e-9</v>
      </c>
      <c r="H107" s="43">
        <f t="shared" si="2"/>
        <v>0.00000000107354415</v>
      </c>
      <c r="I107" s="43" t="str">
        <f t="shared" si="3"/>
        <v>0.000000024e-9</v>
      </c>
      <c r="J107" s="43">
        <f t="shared" si="4"/>
        <v>0</v>
      </c>
      <c r="K107" s="43" t="b">
        <f t="shared" si="5"/>
        <v>0</v>
      </c>
      <c r="L107" s="21" t="str">
        <f>IFERROR(__xludf.DUMMYFUNCTION("if(regexmatch(B107,""e(.*)$""),regexextract(B107,""e(.*)$""),"""")"),"-9")</f>
        <v>-9</v>
      </c>
      <c r="M107" s="21"/>
      <c r="N107" s="45">
        <f>countif(Constants!F:F,F107)</f>
        <v>1</v>
      </c>
      <c r="O107" s="21" t="str">
        <f>VLOOKUP(A107,Constants!D:D,1,false)</f>
        <v>electron volt-atomic mass unit relationship</v>
      </c>
    </row>
    <row r="108">
      <c r="A108" s="6" t="s">
        <v>1084</v>
      </c>
      <c r="B108" s="6" t="s">
        <v>3869</v>
      </c>
      <c r="C108" s="6" t="s">
        <v>3870</v>
      </c>
      <c r="D108" s="6" t="s">
        <v>593</v>
      </c>
      <c r="E108" s="42">
        <f>countif(Constants!F:F,F108)</f>
        <v>1</v>
      </c>
      <c r="F108" s="21" t="str">
        <f>ifna(VLOOKUP($A108,Constants!$D:$F,3,false),"")</f>
        <v>ElectronVoltHartreeRelationship</v>
      </c>
      <c r="G108" s="43" t="str">
        <f t="shared" si="1"/>
        <v>3.674932379e-2</v>
      </c>
      <c r="H108" s="43">
        <f t="shared" si="2"/>
        <v>0.03674932379</v>
      </c>
      <c r="I108" s="43" t="str">
        <f t="shared" si="3"/>
        <v>0.000000081e-2</v>
      </c>
      <c r="J108" s="43">
        <f t="shared" si="4"/>
        <v>0.00000000081</v>
      </c>
      <c r="K108" s="43" t="b">
        <f t="shared" si="5"/>
        <v>0</v>
      </c>
      <c r="L108" s="21" t="str">
        <f>IFERROR(__xludf.DUMMYFUNCTION("if(regexmatch(B108,""e(.*)$""),regexextract(B108,""e(.*)$""),"""")"),"-2")</f>
        <v>-2</v>
      </c>
      <c r="M108" s="21"/>
      <c r="N108" s="45">
        <f>countif(Constants!F:F,F108)</f>
        <v>1</v>
      </c>
      <c r="O108" s="21" t="str">
        <f>VLOOKUP(A108,Constants!D:D,1,false)</f>
        <v>electron volt-hartree relationship</v>
      </c>
    </row>
    <row r="109">
      <c r="A109" s="6" t="s">
        <v>1090</v>
      </c>
      <c r="B109" s="6" t="s">
        <v>3871</v>
      </c>
      <c r="C109" s="6" t="s">
        <v>3872</v>
      </c>
      <c r="D109" s="6" t="s">
        <v>600</v>
      </c>
      <c r="E109" s="42">
        <f>countif(Constants!F:F,F109)</f>
        <v>1</v>
      </c>
      <c r="F109" s="21" t="str">
        <f>ifna(VLOOKUP($A109,Constants!$D:$F,3,false),"")</f>
        <v>ElectronVoltHertzRelationship</v>
      </c>
      <c r="G109" s="43" t="str">
        <f t="shared" si="1"/>
        <v>2.417989348e14</v>
      </c>
      <c r="H109" s="43">
        <f t="shared" si="2"/>
        <v>241798934800000</v>
      </c>
      <c r="I109" s="43" t="str">
        <f t="shared" si="3"/>
        <v>0.000000053e14</v>
      </c>
      <c r="J109" s="43">
        <f t="shared" si="4"/>
        <v>5300000</v>
      </c>
      <c r="K109" s="43" t="b">
        <f t="shared" si="5"/>
        <v>0</v>
      </c>
      <c r="L109" s="21" t="str">
        <f>IFERROR(__xludf.DUMMYFUNCTION("if(regexmatch(B109,""e(.*)$""),regexextract(B109,""e(.*)$""),"""")"),"14")</f>
        <v>14</v>
      </c>
      <c r="M109" s="21"/>
      <c r="N109" s="45">
        <f>countif(Constants!F:F,F109)</f>
        <v>1</v>
      </c>
      <c r="O109" s="21" t="str">
        <f>VLOOKUP(A109,Constants!D:D,1,false)</f>
        <v>electron volt-hertz relationship</v>
      </c>
    </row>
    <row r="110">
      <c r="A110" s="6" t="s">
        <v>1096</v>
      </c>
      <c r="B110" s="6" t="s">
        <v>3873</v>
      </c>
      <c r="C110" s="6" t="s">
        <v>3874</v>
      </c>
      <c r="D110" s="6" t="s">
        <v>606</v>
      </c>
      <c r="E110" s="42">
        <f>countif(Constants!F:F,F110)</f>
        <v>1</v>
      </c>
      <c r="F110" s="21" t="str">
        <f>ifna(VLOOKUP($A110,Constants!$D:$F,3,false),"")</f>
        <v>ElectronVoltInverseMeterRelationship</v>
      </c>
      <c r="G110" s="43" t="str">
        <f t="shared" si="1"/>
        <v>8.06554429e5</v>
      </c>
      <c r="H110" s="43">
        <f t="shared" si="2"/>
        <v>806554.429</v>
      </c>
      <c r="I110" s="43" t="str">
        <f t="shared" si="3"/>
        <v>0.00000018e5</v>
      </c>
      <c r="J110" s="43">
        <f t="shared" si="4"/>
        <v>0.018</v>
      </c>
      <c r="K110" s="43" t="b">
        <f t="shared" si="5"/>
        <v>0</v>
      </c>
      <c r="L110" s="21" t="str">
        <f>IFERROR(__xludf.DUMMYFUNCTION("if(regexmatch(B110,""e(.*)$""),regexextract(B110,""e(.*)$""),"""")"),"5")</f>
        <v>5</v>
      </c>
      <c r="M110" s="21"/>
      <c r="N110" s="45">
        <f>countif(Constants!F:F,F110)</f>
        <v>1</v>
      </c>
      <c r="O110" s="21" t="str">
        <f>VLOOKUP(A110,Constants!D:D,1,false)</f>
        <v>electron volt-inverse meter relationship</v>
      </c>
    </row>
    <row r="111">
      <c r="A111" s="6" t="s">
        <v>1102</v>
      </c>
      <c r="B111" s="6" t="s">
        <v>3741</v>
      </c>
      <c r="C111" s="6" t="s">
        <v>3742</v>
      </c>
      <c r="D111" s="6" t="s">
        <v>543</v>
      </c>
      <c r="E111" s="42">
        <f>countif(Constants!F:F,F111)</f>
        <v>1</v>
      </c>
      <c r="F111" s="21" t="str">
        <f>ifna(VLOOKUP($A111,Constants!$D:$F,3,false),"")</f>
        <v>ElectronVoltJouleRelationship</v>
      </c>
      <c r="G111" s="43" t="str">
        <f t="shared" si="1"/>
        <v>1.602176565e-19</v>
      </c>
      <c r="H111" s="43">
        <f t="shared" si="2"/>
        <v>0</v>
      </c>
      <c r="I111" s="43" t="str">
        <f t="shared" si="3"/>
        <v>0.000000035e-19</v>
      </c>
      <c r="J111" s="43">
        <f t="shared" si="4"/>
        <v>0</v>
      </c>
      <c r="K111" s="43" t="b">
        <f t="shared" si="5"/>
        <v>0</v>
      </c>
      <c r="L111" s="21" t="str">
        <f>IFERROR(__xludf.DUMMYFUNCTION("if(regexmatch(B111,""e(.*)$""),regexextract(B111,""e(.*)$""),"""")"),"-19")</f>
        <v>-19</v>
      </c>
      <c r="M111" s="21"/>
      <c r="N111" s="45">
        <f>countif(Constants!F:F,F111)</f>
        <v>1</v>
      </c>
      <c r="O111" s="21" t="str">
        <f>VLOOKUP(A111,Constants!D:D,1,false)</f>
        <v>electron volt-joule relationship</v>
      </c>
    </row>
    <row r="112">
      <c r="A112" s="6" t="s">
        <v>1108</v>
      </c>
      <c r="B112" s="6" t="s">
        <v>3875</v>
      </c>
      <c r="C112" s="6" t="s">
        <v>3876</v>
      </c>
      <c r="D112" s="6" t="s">
        <v>618</v>
      </c>
      <c r="E112" s="42">
        <f>countif(Constants!F:F,F112)</f>
        <v>1</v>
      </c>
      <c r="F112" s="21" t="str">
        <f>ifna(VLOOKUP($A112,Constants!$D:$F,3,false),"")</f>
        <v>ElectronVoltKelvinRelationship</v>
      </c>
      <c r="G112" s="43" t="str">
        <f t="shared" si="1"/>
        <v>1.1604519e4</v>
      </c>
      <c r="H112" s="43">
        <f t="shared" si="2"/>
        <v>11604.519</v>
      </c>
      <c r="I112" s="43" t="str">
        <f t="shared" si="3"/>
        <v>0.0000011e4</v>
      </c>
      <c r="J112" s="43">
        <f t="shared" si="4"/>
        <v>0.011</v>
      </c>
      <c r="K112" s="43" t="b">
        <f t="shared" si="5"/>
        <v>0</v>
      </c>
      <c r="L112" s="21" t="str">
        <f>IFERROR(__xludf.DUMMYFUNCTION("if(regexmatch(B112,""e(.*)$""),regexextract(B112,""e(.*)$""),"""")"),"4")</f>
        <v>4</v>
      </c>
      <c r="M112" s="21"/>
      <c r="N112" s="45">
        <f>countif(Constants!F:F,F112)</f>
        <v>1</v>
      </c>
      <c r="O112" s="21" t="str">
        <f>VLOOKUP(A112,Constants!D:D,1,false)</f>
        <v>electron volt-kelvin relationship</v>
      </c>
    </row>
    <row r="113">
      <c r="A113" s="6" t="s">
        <v>1114</v>
      </c>
      <c r="B113" s="6" t="s">
        <v>3877</v>
      </c>
      <c r="C113" s="6" t="s">
        <v>3878</v>
      </c>
      <c r="D113" s="6" t="s">
        <v>538</v>
      </c>
      <c r="E113" s="42">
        <f>countif(Constants!F:F,F113)</f>
        <v>1</v>
      </c>
      <c r="F113" s="21" t="str">
        <f>ifna(VLOOKUP($A113,Constants!$D:$F,3,false),"")</f>
        <v>ElectronVoltKilogramRelationship</v>
      </c>
      <c r="G113" s="43" t="str">
        <f t="shared" si="1"/>
        <v>1.782661845e-36</v>
      </c>
      <c r="H113" s="43">
        <f t="shared" si="2"/>
        <v>0</v>
      </c>
      <c r="I113" s="43" t="str">
        <f t="shared" si="3"/>
        <v>0.000000039e-36</v>
      </c>
      <c r="J113" s="43">
        <f t="shared" si="4"/>
        <v>0</v>
      </c>
      <c r="K113" s="43" t="b">
        <f t="shared" si="5"/>
        <v>0</v>
      </c>
      <c r="L113" s="21" t="str">
        <f>IFERROR(__xludf.DUMMYFUNCTION("if(regexmatch(B113,""e(.*)$""),regexextract(B113,""e(.*)$""),"""")"),"-36")</f>
        <v>-36</v>
      </c>
      <c r="M113" s="21"/>
      <c r="N113" s="45">
        <f>countif(Constants!F:F,F113)</f>
        <v>1</v>
      </c>
      <c r="O113" s="21" t="str">
        <f>VLOOKUP(A113,Constants!D:D,1,false)</f>
        <v>electron volt-kilogram relationship</v>
      </c>
    </row>
    <row r="114">
      <c r="A114" s="6" t="s">
        <v>1118</v>
      </c>
      <c r="B114" s="6" t="s">
        <v>3741</v>
      </c>
      <c r="C114" s="6" t="s">
        <v>3742</v>
      </c>
      <c r="D114" s="6" t="s">
        <v>649</v>
      </c>
      <c r="E114" s="42">
        <f>countif(Constants!F:F,F114)</f>
        <v>1</v>
      </c>
      <c r="F114" s="21" t="str">
        <f>ifna(VLOOKUP($A114,Constants!$D:$F,3,false),"")</f>
        <v>ElementaryCharge</v>
      </c>
      <c r="G114" s="43" t="str">
        <f t="shared" si="1"/>
        <v>1.602176565e-19</v>
      </c>
      <c r="H114" s="43">
        <f t="shared" si="2"/>
        <v>0</v>
      </c>
      <c r="I114" s="43" t="str">
        <f t="shared" si="3"/>
        <v>0.000000035e-19</v>
      </c>
      <c r="J114" s="43">
        <f t="shared" si="4"/>
        <v>0</v>
      </c>
      <c r="K114" s="43" t="b">
        <f t="shared" si="5"/>
        <v>0</v>
      </c>
      <c r="L114" s="21" t="str">
        <f>IFERROR(__xludf.DUMMYFUNCTION("if(regexmatch(B114,""e(.*)$""),regexextract(B114,""e(.*)$""),"""")"),"-19")</f>
        <v>-19</v>
      </c>
      <c r="M114" s="21"/>
      <c r="N114" s="45">
        <f>countif(Constants!F:F,F114)</f>
        <v>1</v>
      </c>
      <c r="O114" s="21" t="str">
        <f>VLOOKUP(A114,Constants!D:D,1,false)</f>
        <v>elementary charge</v>
      </c>
    </row>
    <row r="115">
      <c r="A115" s="6" t="s">
        <v>3384</v>
      </c>
      <c r="B115" s="6" t="s">
        <v>3871</v>
      </c>
      <c r="C115" s="6" t="s">
        <v>3872</v>
      </c>
      <c r="D115" s="6" t="s">
        <v>1124</v>
      </c>
      <c r="E115" s="42">
        <f>countif(Constants!F:F,F115)</f>
        <v>1</v>
      </c>
      <c r="F115" s="6" t="s">
        <v>317</v>
      </c>
      <c r="G115" s="43" t="str">
        <f t="shared" si="1"/>
        <v>2.417989348e14</v>
      </c>
      <c r="H115" s="43">
        <f t="shared" si="2"/>
        <v>241798934800000</v>
      </c>
      <c r="I115" s="43" t="str">
        <f t="shared" si="3"/>
        <v>0.000000053e14</v>
      </c>
      <c r="J115" s="43">
        <f t="shared" si="4"/>
        <v>5300000</v>
      </c>
      <c r="K115" s="43" t="b">
        <f t="shared" si="5"/>
        <v>0</v>
      </c>
      <c r="L115" s="21" t="str">
        <f>IFERROR(__xludf.DUMMYFUNCTION("if(regexmatch(B115,""e(.*)$""),regexextract(B115,""e(.*)$""),"""")"),"14")</f>
        <v>14</v>
      </c>
      <c r="M115" s="21"/>
      <c r="N115" s="45">
        <f>countif(Constants!F:F,F115)</f>
        <v>1</v>
      </c>
      <c r="O115" s="21" t="str">
        <f>VLOOKUP(A115,Constants!D:D,1,false)</f>
        <v>#N/A</v>
      </c>
    </row>
    <row r="116">
      <c r="A116" s="6" t="s">
        <v>1129</v>
      </c>
      <c r="B116" s="6" t="s">
        <v>3879</v>
      </c>
      <c r="C116" s="46" t="s">
        <v>3704</v>
      </c>
      <c r="D116" s="6" t="s">
        <v>1130</v>
      </c>
      <c r="E116" s="42">
        <f>countif(Constants!F:F,F116)</f>
        <v>1</v>
      </c>
      <c r="F116" s="21" t="str">
        <f>ifna(VLOOKUP($A116,Constants!$D:$F,3,false),"")</f>
        <v>FaradayConstant</v>
      </c>
      <c r="G116" s="43" t="str">
        <f t="shared" si="1"/>
        <v>96485.3365</v>
      </c>
      <c r="H116" s="43">
        <f t="shared" si="2"/>
        <v>96485.3365</v>
      </c>
      <c r="I116" s="43" t="str">
        <f t="shared" si="3"/>
        <v>0.0021</v>
      </c>
      <c r="J116" s="43">
        <f t="shared" si="4"/>
        <v>0.0021</v>
      </c>
      <c r="K116" s="43" t="b">
        <f t="shared" si="5"/>
        <v>0</v>
      </c>
      <c r="L116" s="21" t="str">
        <f>IFERROR(__xludf.DUMMYFUNCTION("if(regexmatch(B116,""e(.*)$""),regexextract(B116,""e(.*)$""),"""")"),"")</f>
        <v/>
      </c>
      <c r="M116" s="21"/>
      <c r="N116" s="45">
        <f>countif(Constants!F:F,F116)</f>
        <v>1</v>
      </c>
      <c r="O116" s="21" t="str">
        <f>VLOOKUP(A116,Constants!D:D,1,false)</f>
        <v>Faraday constant</v>
      </c>
    </row>
    <row r="117">
      <c r="A117" s="6" t="s">
        <v>1135</v>
      </c>
      <c r="B117" s="6" t="s">
        <v>3880</v>
      </c>
      <c r="C117" s="46" t="s">
        <v>3881</v>
      </c>
      <c r="D117" s="6" t="s">
        <v>1136</v>
      </c>
      <c r="E117" s="42">
        <f>countif(Constants!F:F,F117)</f>
        <v>1</v>
      </c>
      <c r="F117" s="6" t="s">
        <v>1137</v>
      </c>
      <c r="G117" s="43" t="str">
        <f t="shared" si="1"/>
        <v>96485.3321</v>
      </c>
      <c r="H117" s="43">
        <f t="shared" si="2"/>
        <v>96485.3321</v>
      </c>
      <c r="I117" s="43" t="str">
        <f t="shared" si="3"/>
        <v>0.0043</v>
      </c>
      <c r="J117" s="43">
        <f t="shared" si="4"/>
        <v>0.0043</v>
      </c>
      <c r="K117" s="43" t="b">
        <f t="shared" si="5"/>
        <v>0</v>
      </c>
      <c r="L117" s="21" t="str">
        <f>IFERROR(__xludf.DUMMYFUNCTION("if(regexmatch(B117,""e(.*)$""),regexextract(B117,""e(.*)$""),"""")"),"")</f>
        <v/>
      </c>
      <c r="M117" s="21"/>
      <c r="N117" s="45">
        <f>countif(Constants!F:F,F117)</f>
        <v>1</v>
      </c>
      <c r="O117" s="21" t="str">
        <f>VLOOKUP(A117,Constants!D:D,1,false)</f>
        <v>Faraday constant for conventional electric current</v>
      </c>
    </row>
    <row r="118">
      <c r="A118" s="6" t="s">
        <v>1140</v>
      </c>
      <c r="B118" s="6" t="s">
        <v>3882</v>
      </c>
      <c r="C118" s="6" t="s">
        <v>3883</v>
      </c>
      <c r="D118" s="6" t="s">
        <v>1141</v>
      </c>
      <c r="E118" s="42">
        <f>countif(Constants!F:F,F118)</f>
        <v>1</v>
      </c>
      <c r="F118" s="21" t="str">
        <f>ifna(VLOOKUP($A118,Constants!$D:$F,3,false),"")</f>
        <v>FermiCouplingConstant</v>
      </c>
      <c r="G118" s="43" t="str">
        <f t="shared" si="1"/>
        <v>1.166364e-5</v>
      </c>
      <c r="H118" s="43">
        <f t="shared" si="2"/>
        <v>0.00001166364</v>
      </c>
      <c r="I118" s="43" t="str">
        <f t="shared" si="3"/>
        <v>0.000005e-5</v>
      </c>
      <c r="J118" s="43">
        <f t="shared" si="4"/>
        <v>0</v>
      </c>
      <c r="K118" s="43" t="b">
        <f t="shared" si="5"/>
        <v>0</v>
      </c>
      <c r="L118" s="21" t="str">
        <f>IFERROR(__xludf.DUMMYFUNCTION("if(regexmatch(B118,""e(.*)$""),regexextract(B118,""e(.*)$""),"""")"),"-5")</f>
        <v>-5</v>
      </c>
      <c r="M118" s="21"/>
      <c r="N118" s="45">
        <f>countif(Constants!F:F,F118)</f>
        <v>1</v>
      </c>
      <c r="O118" s="21" t="str">
        <f>VLOOKUP(A118,Constants!D:D,1,false)</f>
        <v>Fermi coupling constant</v>
      </c>
    </row>
    <row r="119">
      <c r="A119" s="6" t="s">
        <v>1146</v>
      </c>
      <c r="B119" s="6" t="s">
        <v>3884</v>
      </c>
      <c r="C119" s="6" t="s">
        <v>3885</v>
      </c>
      <c r="E119" s="42">
        <f>countif(Constants!F:F,F119)</f>
        <v>1</v>
      </c>
      <c r="F119" s="21" t="str">
        <f>ifna(VLOOKUP($A119,Constants!$D:$F,3,false),"")</f>
        <v>FineStructureConstant</v>
      </c>
      <c r="G119" s="43" t="str">
        <f t="shared" si="1"/>
        <v>7.2973525698e-3</v>
      </c>
      <c r="H119" s="43">
        <f t="shared" si="2"/>
        <v>0.00729735257</v>
      </c>
      <c r="I119" s="43" t="str">
        <f t="shared" si="3"/>
        <v>0.0000000024e-3</v>
      </c>
      <c r="J119" s="43">
        <f t="shared" si="4"/>
        <v>0</v>
      </c>
      <c r="K119" s="43" t="b">
        <f t="shared" si="5"/>
        <v>0</v>
      </c>
      <c r="L119" s="21" t="str">
        <f>IFERROR(__xludf.DUMMYFUNCTION("if(regexmatch(B119,""e(.*)$""),regexextract(B119,""e(.*)$""),"""")"),"-3")</f>
        <v>-3</v>
      </c>
      <c r="M119" s="21"/>
      <c r="N119" s="45">
        <f>countif(Constants!F:F,F119)</f>
        <v>1</v>
      </c>
      <c r="O119" s="21" t="str">
        <f>VLOOKUP(A119,Constants!D:D,1,false)</f>
        <v>fine-structure constant</v>
      </c>
    </row>
    <row r="120">
      <c r="A120" s="6" t="s">
        <v>1150</v>
      </c>
      <c r="B120" s="6" t="s">
        <v>3886</v>
      </c>
      <c r="C120" s="6" t="s">
        <v>3887</v>
      </c>
      <c r="D120" s="6" t="s">
        <v>1151</v>
      </c>
      <c r="E120" s="42">
        <f>countif(Constants!F:F,F120)</f>
        <v>1</v>
      </c>
      <c r="F120" s="21" t="str">
        <f>ifna(VLOOKUP($A120,Constants!$D:$F,3,false),"")</f>
        <v>FirstRadiationConstant</v>
      </c>
      <c r="G120" s="43" t="str">
        <f t="shared" si="1"/>
        <v>3.74177153e-16</v>
      </c>
      <c r="H120" s="43">
        <f t="shared" si="2"/>
        <v>0</v>
      </c>
      <c r="I120" s="43" t="str">
        <f t="shared" si="3"/>
        <v>0.00000017e-16</v>
      </c>
      <c r="J120" s="43">
        <f t="shared" si="4"/>
        <v>0</v>
      </c>
      <c r="K120" s="43" t="b">
        <f t="shared" si="5"/>
        <v>0</v>
      </c>
      <c r="L120" s="21" t="str">
        <f>IFERROR(__xludf.DUMMYFUNCTION("if(regexmatch(B120,""e(.*)$""),regexextract(B120,""e(.*)$""),"""")"),"-16")</f>
        <v>-16</v>
      </c>
      <c r="M120" s="21"/>
      <c r="N120" s="45">
        <f>countif(Constants!F:F,F120)</f>
        <v>1</v>
      </c>
      <c r="O120" s="21" t="str">
        <f>VLOOKUP(A120,Constants!D:D,1,false)</f>
        <v>first radiation constant</v>
      </c>
    </row>
    <row r="121">
      <c r="A121" s="6" t="s">
        <v>1156</v>
      </c>
      <c r="B121" s="6" t="s">
        <v>3888</v>
      </c>
      <c r="C121" s="6" t="s">
        <v>3889</v>
      </c>
      <c r="D121" s="6" t="s">
        <v>1157</v>
      </c>
      <c r="E121" s="42">
        <f>countif(Constants!F:F,F121)</f>
        <v>1</v>
      </c>
      <c r="F121" s="21" t="str">
        <f>ifna(VLOOKUP($A121,Constants!$D:$F,3,false),"")</f>
        <v>FirstRadiationConstantForSpectralRadiance</v>
      </c>
      <c r="G121" s="43" t="str">
        <f t="shared" si="1"/>
        <v>1.191042869e-16</v>
      </c>
      <c r="H121" s="43">
        <f t="shared" si="2"/>
        <v>0</v>
      </c>
      <c r="I121" s="43" t="str">
        <f t="shared" si="3"/>
        <v>0.000000053e-16</v>
      </c>
      <c r="J121" s="43">
        <f t="shared" si="4"/>
        <v>0</v>
      </c>
      <c r="K121" s="43" t="b">
        <f t="shared" si="5"/>
        <v>0</v>
      </c>
      <c r="L121" s="21" t="str">
        <f>IFERROR(__xludf.DUMMYFUNCTION("if(regexmatch(B121,""e(.*)$""),regexextract(B121,""e(.*)$""),"""")"),"-16")</f>
        <v>-16</v>
      </c>
      <c r="M121" s="21"/>
      <c r="N121" s="45">
        <f>countif(Constants!F:F,F121)</f>
        <v>1</v>
      </c>
      <c r="O121" s="21" t="str">
        <f>VLOOKUP(A121,Constants!D:D,1,false)</f>
        <v>first radiation constant for spectral radiance</v>
      </c>
    </row>
    <row r="122">
      <c r="A122" s="6" t="s">
        <v>1162</v>
      </c>
      <c r="B122" s="6" t="s">
        <v>3890</v>
      </c>
      <c r="C122" s="6" t="s">
        <v>3891</v>
      </c>
      <c r="D122" s="6" t="s">
        <v>553</v>
      </c>
      <c r="E122" s="42">
        <f>countif(Constants!F:F,F122)</f>
        <v>1</v>
      </c>
      <c r="F122" s="21" t="str">
        <f>ifna(VLOOKUP($A122,Constants!$D:$F,3,false),"")</f>
        <v>HartreeAtomicMassUnitRelationship</v>
      </c>
      <c r="G122" s="43" t="str">
        <f t="shared" si="1"/>
        <v>2.9212623246e-8</v>
      </c>
      <c r="H122" s="43">
        <f t="shared" si="2"/>
        <v>0.00000002921262325</v>
      </c>
      <c r="I122" s="43" t="str">
        <f t="shared" si="3"/>
        <v>0.0000000021e-8</v>
      </c>
      <c r="J122" s="43">
        <f t="shared" si="4"/>
        <v>0</v>
      </c>
      <c r="K122" s="43" t="b">
        <f t="shared" si="5"/>
        <v>0</v>
      </c>
      <c r="L122" s="21" t="str">
        <f>IFERROR(__xludf.DUMMYFUNCTION("if(regexmatch(B122,""e(.*)$""),regexextract(B122,""e(.*)$""),"""")"),"-8")</f>
        <v>-8</v>
      </c>
      <c r="M122" s="21"/>
      <c r="N122" s="45">
        <f>countif(Constants!F:F,F122)</f>
        <v>1</v>
      </c>
      <c r="O122" s="21" t="str">
        <f>VLOOKUP(A122,Constants!D:D,1,false)</f>
        <v>hartree-atomic mass unit relationship</v>
      </c>
    </row>
    <row r="123">
      <c r="A123" s="6" t="s">
        <v>1168</v>
      </c>
      <c r="B123" s="6" t="s">
        <v>3755</v>
      </c>
      <c r="C123" s="6" t="s">
        <v>3756</v>
      </c>
      <c r="D123" s="6" t="s">
        <v>175</v>
      </c>
      <c r="E123" s="42">
        <f>countif(Constants!F:F,F123)</f>
        <v>1</v>
      </c>
      <c r="F123" s="21" t="str">
        <f>ifna(VLOOKUP($A123,Constants!$D:$F,3,false),"")</f>
        <v>HartreeElectronVoltRelationship</v>
      </c>
      <c r="G123" s="43" t="str">
        <f t="shared" si="1"/>
        <v>27.21138505</v>
      </c>
      <c r="H123" s="43">
        <f t="shared" si="2"/>
        <v>27.21138505</v>
      </c>
      <c r="I123" s="43" t="str">
        <f t="shared" si="3"/>
        <v>0.00000060</v>
      </c>
      <c r="J123" s="43">
        <f t="shared" si="4"/>
        <v>0.0000006</v>
      </c>
      <c r="K123" s="43" t="b">
        <f t="shared" si="5"/>
        <v>0</v>
      </c>
      <c r="L123" s="21" t="str">
        <f>IFERROR(__xludf.DUMMYFUNCTION("if(regexmatch(B123,""e(.*)$""),regexextract(B123,""e(.*)$""),"""")"),"")</f>
        <v/>
      </c>
      <c r="M123" s="21"/>
      <c r="N123" s="45">
        <f>countif(Constants!F:F,F123)</f>
        <v>1</v>
      </c>
      <c r="O123" s="21" t="str">
        <f>VLOOKUP(A123,Constants!D:D,1,false)</f>
        <v>hartree-electron volt relationship</v>
      </c>
    </row>
    <row r="124">
      <c r="A124" s="6" t="s">
        <v>1173</v>
      </c>
      <c r="B124" s="6" t="s">
        <v>3759</v>
      </c>
      <c r="C124" s="6" t="s">
        <v>3760</v>
      </c>
      <c r="D124" s="6" t="s">
        <v>543</v>
      </c>
      <c r="E124" s="42">
        <f>countif(Constants!F:F,F124)</f>
        <v>1</v>
      </c>
      <c r="F124" s="21" t="str">
        <f>ifna(VLOOKUP($A124,Constants!$D:$F,3,false),"")</f>
        <v>HartreeEnergy</v>
      </c>
      <c r="G124" s="43" t="str">
        <f t="shared" si="1"/>
        <v>4.35974434e-18</v>
      </c>
      <c r="H124" s="43">
        <f t="shared" si="2"/>
        <v>0</v>
      </c>
      <c r="I124" s="43" t="str">
        <f t="shared" si="3"/>
        <v>0.00000019e-18</v>
      </c>
      <c r="J124" s="43">
        <f t="shared" si="4"/>
        <v>0</v>
      </c>
      <c r="K124" s="43" t="b">
        <f t="shared" si="5"/>
        <v>0</v>
      </c>
      <c r="L124" s="21" t="str">
        <f>IFERROR(__xludf.DUMMYFUNCTION("if(regexmatch(B124,""e(.*)$""),regexextract(B124,""e(.*)$""),"""")"),"-18")</f>
        <v>-18</v>
      </c>
      <c r="M124" s="21"/>
      <c r="N124" s="45">
        <f>countif(Constants!F:F,F124)</f>
        <v>1</v>
      </c>
      <c r="O124" s="21" t="str">
        <f>VLOOKUP(A124,Constants!D:D,1,false)</f>
        <v>Hartree energy</v>
      </c>
    </row>
    <row r="125">
      <c r="A125" s="6" t="s">
        <v>1177</v>
      </c>
      <c r="B125" s="6" t="s">
        <v>3755</v>
      </c>
      <c r="C125" s="6" t="s">
        <v>3756</v>
      </c>
      <c r="D125" s="6" t="s">
        <v>175</v>
      </c>
      <c r="E125" s="42">
        <f>countif(Constants!F:F,F125)</f>
        <v>1</v>
      </c>
      <c r="F125" s="21" t="str">
        <f>ifna(VLOOKUP($A125,Constants!$D:$F,3,false),"")</f>
        <v>HartreeEnergyInEV</v>
      </c>
      <c r="G125" s="43" t="str">
        <f t="shared" si="1"/>
        <v>27.21138505</v>
      </c>
      <c r="H125" s="43">
        <f t="shared" si="2"/>
        <v>27.21138505</v>
      </c>
      <c r="I125" s="43" t="str">
        <f t="shared" si="3"/>
        <v>0.00000060</v>
      </c>
      <c r="J125" s="43">
        <f t="shared" si="4"/>
        <v>0.0000006</v>
      </c>
      <c r="K125" s="43" t="b">
        <f t="shared" si="5"/>
        <v>0</v>
      </c>
      <c r="L125" s="21" t="str">
        <f>IFERROR(__xludf.DUMMYFUNCTION("if(regexmatch(B125,""e(.*)$""),regexextract(B125,""e(.*)$""),"""")"),"")</f>
        <v/>
      </c>
      <c r="M125" s="21"/>
      <c r="N125" s="45">
        <f>countif(Constants!F:F,F125)</f>
        <v>1</v>
      </c>
      <c r="O125" s="21" t="str">
        <f>VLOOKUP(A125,Constants!D:D,1,false)</f>
        <v>Hartree energy in eV</v>
      </c>
    </row>
    <row r="126">
      <c r="A126" s="6" t="s">
        <v>1180</v>
      </c>
      <c r="B126" s="6" t="s">
        <v>3892</v>
      </c>
      <c r="C126" s="6" t="s">
        <v>3893</v>
      </c>
      <c r="D126" s="6" t="s">
        <v>600</v>
      </c>
      <c r="E126" s="42">
        <f>countif(Constants!F:F,F126)</f>
        <v>1</v>
      </c>
      <c r="F126" s="21" t="str">
        <f>ifna(VLOOKUP($A126,Constants!$D:$F,3,false),"")</f>
        <v>HartreeHertzRelationship</v>
      </c>
      <c r="G126" s="43" t="str">
        <f t="shared" si="1"/>
        <v>6.579683920729e15</v>
      </c>
      <c r="H126" s="43">
        <f t="shared" si="2"/>
        <v>6.57968E+15</v>
      </c>
      <c r="I126" s="43" t="str">
        <f t="shared" si="3"/>
        <v>0.000000000033e15</v>
      </c>
      <c r="J126" s="43">
        <f t="shared" si="4"/>
        <v>33000</v>
      </c>
      <c r="K126" s="43" t="b">
        <f t="shared" si="5"/>
        <v>0</v>
      </c>
      <c r="L126" s="21" t="str">
        <f>IFERROR(__xludf.DUMMYFUNCTION("if(regexmatch(B126,""e(.*)$""),regexextract(B126,""e(.*)$""),"""")"),"15")</f>
        <v>15</v>
      </c>
      <c r="M126" s="21"/>
      <c r="N126" s="45">
        <f>countif(Constants!F:F,F126)</f>
        <v>1</v>
      </c>
      <c r="O126" s="21" t="str">
        <f>VLOOKUP(A126,Constants!D:D,1,false)</f>
        <v>hartree-hertz relationship</v>
      </c>
    </row>
    <row r="127">
      <c r="A127" s="6" t="s">
        <v>1185</v>
      </c>
      <c r="B127" s="6" t="s">
        <v>3894</v>
      </c>
      <c r="C127" s="6" t="s">
        <v>3895</v>
      </c>
      <c r="D127" s="6" t="s">
        <v>606</v>
      </c>
      <c r="E127" s="42">
        <f>countif(Constants!F:F,F127)</f>
        <v>1</v>
      </c>
      <c r="F127" s="21" t="str">
        <f>ifna(VLOOKUP($A127,Constants!$D:$F,3,false),"")</f>
        <v>HartreeInverseMeterRelationship</v>
      </c>
      <c r="G127" s="43" t="str">
        <f t="shared" si="1"/>
        <v>2.194746313708e7</v>
      </c>
      <c r="H127" s="43">
        <f t="shared" si="2"/>
        <v>21947463.14</v>
      </c>
      <c r="I127" s="43" t="str">
        <f t="shared" si="3"/>
        <v>0.000000000011e7</v>
      </c>
      <c r="J127" s="43">
        <f t="shared" si="4"/>
        <v>0.00011</v>
      </c>
      <c r="K127" s="43" t="b">
        <f t="shared" si="5"/>
        <v>0</v>
      </c>
      <c r="L127" s="21" t="str">
        <f>IFERROR(__xludf.DUMMYFUNCTION("if(regexmatch(B127,""e(.*)$""),regexextract(B127,""e(.*)$""),"""")"),"7")</f>
        <v>7</v>
      </c>
      <c r="M127" s="21"/>
      <c r="N127" s="45">
        <f>countif(Constants!F:F,F127)</f>
        <v>1</v>
      </c>
      <c r="O127" s="21" t="str">
        <f>VLOOKUP(A127,Constants!D:D,1,false)</f>
        <v>hartree-inverse meter relationship</v>
      </c>
    </row>
    <row r="128">
      <c r="A128" s="6" t="s">
        <v>1190</v>
      </c>
      <c r="B128" s="6" t="s">
        <v>3759</v>
      </c>
      <c r="C128" s="6" t="s">
        <v>3760</v>
      </c>
      <c r="D128" s="6" t="s">
        <v>543</v>
      </c>
      <c r="E128" s="42">
        <f>countif(Constants!F:F,F128)</f>
        <v>1</v>
      </c>
      <c r="F128" s="21" t="str">
        <f>ifna(VLOOKUP($A128,Constants!$D:$F,3,false),"")</f>
        <v>HartreeJouleRelationship</v>
      </c>
      <c r="G128" s="43" t="str">
        <f t="shared" si="1"/>
        <v>4.35974434e-18</v>
      </c>
      <c r="H128" s="43">
        <f t="shared" si="2"/>
        <v>0</v>
      </c>
      <c r="I128" s="43" t="str">
        <f t="shared" si="3"/>
        <v>0.00000019e-18</v>
      </c>
      <c r="J128" s="43">
        <f t="shared" si="4"/>
        <v>0</v>
      </c>
      <c r="K128" s="43" t="b">
        <f t="shared" si="5"/>
        <v>0</v>
      </c>
      <c r="L128" s="21" t="str">
        <f>IFERROR(__xludf.DUMMYFUNCTION("if(regexmatch(B128,""e(.*)$""),regexextract(B128,""e(.*)$""),"""")"),"-18")</f>
        <v>-18</v>
      </c>
      <c r="M128" s="21"/>
      <c r="N128" s="45">
        <f>countif(Constants!F:F,F128)</f>
        <v>1</v>
      </c>
      <c r="O128" s="21" t="str">
        <f>VLOOKUP(A128,Constants!D:D,1,false)</f>
        <v>hartree-joule relationship</v>
      </c>
    </row>
    <row r="129">
      <c r="A129" s="6" t="s">
        <v>1195</v>
      </c>
      <c r="B129" s="6" t="s">
        <v>3896</v>
      </c>
      <c r="C129" s="6" t="s">
        <v>3897</v>
      </c>
      <c r="D129" s="6" t="s">
        <v>618</v>
      </c>
      <c r="E129" s="42">
        <f>countif(Constants!F:F,F129)</f>
        <v>1</v>
      </c>
      <c r="F129" s="21" t="str">
        <f>ifna(VLOOKUP($A129,Constants!$D:$F,3,false),"")</f>
        <v>HartreeKelvinRelationship</v>
      </c>
      <c r="G129" s="43" t="str">
        <f t="shared" si="1"/>
        <v>3.1577504e5</v>
      </c>
      <c r="H129" s="43">
        <f t="shared" si="2"/>
        <v>315775.04</v>
      </c>
      <c r="I129" s="43" t="str">
        <f t="shared" si="3"/>
        <v>0.0000029e5</v>
      </c>
      <c r="J129" s="43">
        <f t="shared" si="4"/>
        <v>0.29</v>
      </c>
      <c r="K129" s="43" t="b">
        <f t="shared" si="5"/>
        <v>0</v>
      </c>
      <c r="L129" s="21" t="str">
        <f>IFERROR(__xludf.DUMMYFUNCTION("if(regexmatch(B129,""e(.*)$""),regexextract(B129,""e(.*)$""),"""")"),"5")</f>
        <v>5</v>
      </c>
      <c r="M129" s="21"/>
      <c r="N129" s="45">
        <f>countif(Constants!F:F,F129)</f>
        <v>1</v>
      </c>
      <c r="O129" s="21" t="str">
        <f>VLOOKUP(A129,Constants!D:D,1,false)</f>
        <v>hartree-kelvin relationship</v>
      </c>
    </row>
    <row r="130">
      <c r="A130" s="6" t="s">
        <v>1200</v>
      </c>
      <c r="B130" s="6" t="s">
        <v>3898</v>
      </c>
      <c r="C130" s="6" t="s">
        <v>3899</v>
      </c>
      <c r="D130" s="6" t="s">
        <v>538</v>
      </c>
      <c r="E130" s="42">
        <f>countif(Constants!F:F,F130)</f>
        <v>1</v>
      </c>
      <c r="F130" s="21" t="str">
        <f>ifna(VLOOKUP($A130,Constants!$D:$F,3,false),"")</f>
        <v>HartreeKilogramRelationship</v>
      </c>
      <c r="G130" s="43" t="str">
        <f t="shared" si="1"/>
        <v>4.85086979e-35</v>
      </c>
      <c r="H130" s="43">
        <f t="shared" si="2"/>
        <v>0</v>
      </c>
      <c r="I130" s="43" t="str">
        <f t="shared" si="3"/>
        <v>0.00000021e-35</v>
      </c>
      <c r="J130" s="43">
        <f t="shared" si="4"/>
        <v>0</v>
      </c>
      <c r="K130" s="43" t="b">
        <f t="shared" si="5"/>
        <v>0</v>
      </c>
      <c r="L130" s="21" t="str">
        <f>IFERROR(__xludf.DUMMYFUNCTION("if(regexmatch(B130,""e(.*)$""),regexextract(B130,""e(.*)$""),"""")"),"-35")</f>
        <v>-35</v>
      </c>
      <c r="M130" s="21"/>
      <c r="N130" s="45">
        <f>countif(Constants!F:F,F130)</f>
        <v>1</v>
      </c>
      <c r="O130" s="21" t="str">
        <f>VLOOKUP(A130,Constants!D:D,1,false)</f>
        <v>hartree-kilogram relationship</v>
      </c>
    </row>
    <row r="131">
      <c r="A131" s="6" t="s">
        <v>1205</v>
      </c>
      <c r="B131" s="6" t="s">
        <v>3900</v>
      </c>
      <c r="C131" s="6" t="s">
        <v>3901</v>
      </c>
      <c r="E131" s="42">
        <f>countif(Constants!F:F,F131)</f>
        <v>1</v>
      </c>
      <c r="F131" s="21" t="str">
        <f>ifna(VLOOKUP($A131,Constants!$D:$F,3,false),"")</f>
        <v>HelionElectronMassRatio</v>
      </c>
      <c r="G131" s="43" t="str">
        <f t="shared" si="1"/>
        <v>5495.8852754</v>
      </c>
      <c r="H131" s="43">
        <f t="shared" si="2"/>
        <v>5495.885275</v>
      </c>
      <c r="I131" s="43" t="str">
        <f t="shared" si="3"/>
        <v>0.0000050</v>
      </c>
      <c r="J131" s="43">
        <f t="shared" si="4"/>
        <v>0.000005</v>
      </c>
      <c r="K131" s="43" t="b">
        <f t="shared" si="5"/>
        <v>0</v>
      </c>
      <c r="L131" s="21" t="str">
        <f>IFERROR(__xludf.DUMMYFUNCTION("if(regexmatch(B131,""e(.*)$""),regexextract(B131,""e(.*)$""),"""")"),"")</f>
        <v/>
      </c>
      <c r="M131" s="21"/>
      <c r="N131" s="45">
        <f>countif(Constants!F:F,F131)</f>
        <v>1</v>
      </c>
      <c r="O131" s="21" t="str">
        <f>VLOOKUP(A131,Constants!D:D,1,false)</f>
        <v>helion-electron mass ratio</v>
      </c>
    </row>
    <row r="132">
      <c r="A132" s="6" t="s">
        <v>1208</v>
      </c>
      <c r="B132" s="6" t="s">
        <v>3902</v>
      </c>
      <c r="C132" s="6" t="s">
        <v>2942</v>
      </c>
      <c r="E132" s="42">
        <f>countif(Constants!F:F,F132)</f>
        <v>1</v>
      </c>
      <c r="F132" s="21" t="str">
        <f>ifna(VLOOKUP($A132,Constants!$D:$F,3,false),"")</f>
        <v>HelionGFactor</v>
      </c>
      <c r="G132" s="43" t="str">
        <f t="shared" si="1"/>
        <v>-4.255250613</v>
      </c>
      <c r="H132" s="43">
        <f t="shared" si="2"/>
        <v>-4.255250613</v>
      </c>
      <c r="I132" s="43" t="str">
        <f t="shared" si="3"/>
        <v>0.000000050</v>
      </c>
      <c r="J132" s="43">
        <f t="shared" si="4"/>
        <v>0.00000005</v>
      </c>
      <c r="K132" s="43" t="b">
        <f t="shared" si="5"/>
        <v>0</v>
      </c>
      <c r="L132" s="21" t="str">
        <f>IFERROR(__xludf.DUMMYFUNCTION("if(regexmatch(B132,""e(.*)$""),regexextract(B132,""e(.*)$""),"""")"),"")</f>
        <v/>
      </c>
      <c r="M132" s="21"/>
      <c r="N132" s="45">
        <f>countif(Constants!F:F,F132)</f>
        <v>1</v>
      </c>
      <c r="O132" s="21" t="str">
        <f>VLOOKUP(A132,Constants!D:D,1,false)</f>
        <v>helion g factor</v>
      </c>
    </row>
    <row r="133">
      <c r="A133" s="6" t="s">
        <v>1211</v>
      </c>
      <c r="B133" s="6" t="s">
        <v>3903</v>
      </c>
      <c r="C133" s="6" t="s">
        <v>3904</v>
      </c>
      <c r="D133" s="6" t="s">
        <v>714</v>
      </c>
      <c r="E133" s="42">
        <f>countif(Constants!F:F,F133)</f>
        <v>1</v>
      </c>
      <c r="F133" s="21" t="str">
        <f>ifna(VLOOKUP($A133,Constants!$D:$F,3,false),"")</f>
        <v>HelionMag.Mom.</v>
      </c>
      <c r="G133" s="43" t="str">
        <f t="shared" si="1"/>
        <v>-1.074617486e-26</v>
      </c>
      <c r="H133" s="43">
        <f t="shared" si="2"/>
        <v>0</v>
      </c>
      <c r="I133" s="43" t="str">
        <f t="shared" si="3"/>
        <v>0.000000027e-26</v>
      </c>
      <c r="J133" s="43">
        <f t="shared" si="4"/>
        <v>0</v>
      </c>
      <c r="K133" s="43" t="b">
        <f t="shared" si="5"/>
        <v>0</v>
      </c>
      <c r="L133" s="21" t="str">
        <f>IFERROR(__xludf.DUMMYFUNCTION("if(regexmatch(B133,""e(.*)$""),regexextract(B133,""e(.*)$""),"""")"),"-26")</f>
        <v>-26</v>
      </c>
      <c r="M133" s="21"/>
      <c r="N133" s="45">
        <f>countif(Constants!F:F,F133)</f>
        <v>1</v>
      </c>
      <c r="O133" s="21" t="str">
        <f>VLOOKUP(A133,Constants!D:D,1,false)</f>
        <v>helion mag. mom.</v>
      </c>
    </row>
    <row r="134">
      <c r="A134" s="6" t="s">
        <v>1215</v>
      </c>
      <c r="B134" s="6" t="s">
        <v>2945</v>
      </c>
      <c r="C134" s="6" t="s">
        <v>2946</v>
      </c>
      <c r="E134" s="42">
        <f>countif(Constants!F:F,F134)</f>
        <v>1</v>
      </c>
      <c r="F134" s="21" t="str">
        <f>ifna(VLOOKUP($A134,Constants!$D:$F,3,false),"")</f>
        <v>HelionMag.Mom.ToBohrMagnetonRatio</v>
      </c>
      <c r="G134" s="43" t="str">
        <f t="shared" si="1"/>
        <v>-1.158740958e-3</v>
      </c>
      <c r="H134" s="43">
        <f t="shared" si="2"/>
        <v>-0.001158740958</v>
      </c>
      <c r="I134" s="43" t="str">
        <f t="shared" si="3"/>
        <v>0.000000014e-3</v>
      </c>
      <c r="J134" s="43">
        <f t="shared" si="4"/>
        <v>0</v>
      </c>
      <c r="K134" s="43" t="b">
        <f t="shared" si="5"/>
        <v>0</v>
      </c>
      <c r="L134" s="21" t="str">
        <f>IFERROR(__xludf.DUMMYFUNCTION("if(regexmatch(B134,""e(.*)$""),regexextract(B134,""e(.*)$""),"""")"),"-3")</f>
        <v>-3</v>
      </c>
      <c r="M134" s="21"/>
      <c r="N134" s="45">
        <f>countif(Constants!F:F,F134)</f>
        <v>1</v>
      </c>
      <c r="O134" s="21" t="str">
        <f>VLOOKUP(A134,Constants!D:D,1,false)</f>
        <v>helion mag. mom. to Bohr magneton ratio</v>
      </c>
    </row>
    <row r="135">
      <c r="A135" s="6" t="s">
        <v>1219</v>
      </c>
      <c r="B135" s="6" t="s">
        <v>3905</v>
      </c>
      <c r="C135" s="6" t="s">
        <v>2948</v>
      </c>
      <c r="E135" s="42">
        <f>countif(Constants!F:F,F135)</f>
        <v>1</v>
      </c>
      <c r="F135" s="21" t="str">
        <f>ifna(VLOOKUP($A135,Constants!$D:$F,3,false),"")</f>
        <v>HelionMag.Mom.ToNuclearMagnetonRatio</v>
      </c>
      <c r="G135" s="43" t="str">
        <f t="shared" si="1"/>
        <v>-2.127625306</v>
      </c>
      <c r="H135" s="43">
        <f t="shared" si="2"/>
        <v>-2.127625306</v>
      </c>
      <c r="I135" s="43" t="str">
        <f t="shared" si="3"/>
        <v>0.000000025</v>
      </c>
      <c r="J135" s="43">
        <f t="shared" si="4"/>
        <v>0.000000025</v>
      </c>
      <c r="K135" s="43" t="b">
        <f t="shared" si="5"/>
        <v>0</v>
      </c>
      <c r="L135" s="21" t="str">
        <f>IFERROR(__xludf.DUMMYFUNCTION("if(regexmatch(B135,""e(.*)$""),regexextract(B135,""e(.*)$""),"""")"),"")</f>
        <v/>
      </c>
      <c r="M135" s="21"/>
      <c r="N135" s="45">
        <f>countif(Constants!F:F,F135)</f>
        <v>1</v>
      </c>
      <c r="O135" s="21" t="str">
        <f>VLOOKUP(A135,Constants!D:D,1,false)</f>
        <v>helion mag. mom. to nuclear magneton ratio</v>
      </c>
    </row>
    <row r="136">
      <c r="A136" s="6" t="s">
        <v>1223</v>
      </c>
      <c r="B136" s="6" t="s">
        <v>3906</v>
      </c>
      <c r="C136" s="6" t="s">
        <v>3907</v>
      </c>
      <c r="D136" s="6" t="s">
        <v>538</v>
      </c>
      <c r="E136" s="42">
        <f>countif(Constants!F:F,F136)</f>
        <v>1</v>
      </c>
      <c r="F136" s="21" t="str">
        <f>ifna(VLOOKUP($A136,Constants!$D:$F,3,false),"")</f>
        <v>HelionMass</v>
      </c>
      <c r="G136" s="43" t="str">
        <f t="shared" si="1"/>
        <v>5.00641234e-27</v>
      </c>
      <c r="H136" s="43">
        <f t="shared" si="2"/>
        <v>0</v>
      </c>
      <c r="I136" s="43" t="str">
        <f t="shared" si="3"/>
        <v>0.00000022e-27</v>
      </c>
      <c r="J136" s="43">
        <f t="shared" si="4"/>
        <v>0</v>
      </c>
      <c r="K136" s="43" t="b">
        <f t="shared" si="5"/>
        <v>0</v>
      </c>
      <c r="L136" s="21" t="str">
        <f>IFERROR(__xludf.DUMMYFUNCTION("if(regexmatch(B136,""e(.*)$""),regexextract(B136,""e(.*)$""),"""")"),"-27")</f>
        <v>-27</v>
      </c>
      <c r="M136" s="21"/>
      <c r="N136" s="45">
        <f>countif(Constants!F:F,F136)</f>
        <v>1</v>
      </c>
      <c r="O136" s="21" t="str">
        <f>VLOOKUP(A136,Constants!D:D,1,false)</f>
        <v>helion mass</v>
      </c>
    </row>
    <row r="137">
      <c r="A137" s="6" t="s">
        <v>1227</v>
      </c>
      <c r="B137" s="6" t="s">
        <v>3908</v>
      </c>
      <c r="C137" s="6" t="s">
        <v>3909</v>
      </c>
      <c r="D137" s="6" t="s">
        <v>543</v>
      </c>
      <c r="E137" s="42">
        <f>countif(Constants!F:F,F137)</f>
        <v>1</v>
      </c>
      <c r="F137" s="21" t="str">
        <f>ifna(VLOOKUP($A137,Constants!$D:$F,3,false),"")</f>
        <v>HelionMassEnergyEquivalent</v>
      </c>
      <c r="G137" s="43" t="str">
        <f t="shared" si="1"/>
        <v>4.49953902e-10</v>
      </c>
      <c r="H137" s="43">
        <f t="shared" si="2"/>
        <v>0.000000000449953902</v>
      </c>
      <c r="I137" s="43" t="str">
        <f t="shared" si="3"/>
        <v>0.00000020e-10</v>
      </c>
      <c r="J137" s="43">
        <f t="shared" si="4"/>
        <v>0</v>
      </c>
      <c r="K137" s="43" t="b">
        <f t="shared" si="5"/>
        <v>0</v>
      </c>
      <c r="L137" s="21" t="str">
        <f>IFERROR(__xludf.DUMMYFUNCTION("if(regexmatch(B137,""e(.*)$""),regexextract(B137,""e(.*)$""),"""")"),"-10")</f>
        <v>-10</v>
      </c>
      <c r="M137" s="21"/>
      <c r="N137" s="45">
        <f>countif(Constants!F:F,F137)</f>
        <v>1</v>
      </c>
      <c r="O137" s="21" t="str">
        <f>VLOOKUP(A137,Constants!D:D,1,false)</f>
        <v>helion mass energy equivalent</v>
      </c>
    </row>
    <row r="138">
      <c r="A138" s="6" t="s">
        <v>1231</v>
      </c>
      <c r="B138" s="6" t="s">
        <v>3910</v>
      </c>
      <c r="C138" s="6" t="s">
        <v>3911</v>
      </c>
      <c r="D138" s="6" t="s">
        <v>548</v>
      </c>
      <c r="E138" s="42">
        <f>countif(Constants!F:F,F138)</f>
        <v>1</v>
      </c>
      <c r="F138" s="21" t="str">
        <f>ifna(VLOOKUP($A138,Constants!$D:$F,3,false),"")</f>
        <v>HelionMassEnergyEquivalentInMeV</v>
      </c>
      <c r="G138" s="43" t="str">
        <f t="shared" si="1"/>
        <v>2808.391482</v>
      </c>
      <c r="H138" s="43">
        <f t="shared" si="2"/>
        <v>2808.391482</v>
      </c>
      <c r="I138" s="43" t="str">
        <f t="shared" si="3"/>
        <v>0.000062</v>
      </c>
      <c r="J138" s="43">
        <f t="shared" si="4"/>
        <v>0.000062</v>
      </c>
      <c r="K138" s="43" t="b">
        <f t="shared" si="5"/>
        <v>0</v>
      </c>
      <c r="L138" s="21" t="str">
        <f>IFERROR(__xludf.DUMMYFUNCTION("if(regexmatch(B138,""e(.*)$""),regexextract(B138,""e(.*)$""),"""")"),"")</f>
        <v/>
      </c>
      <c r="M138" s="21"/>
      <c r="N138" s="45">
        <f>countif(Constants!F:F,F138)</f>
        <v>1</v>
      </c>
      <c r="O138" s="21" t="str">
        <f>VLOOKUP(A138,Constants!D:D,1,false)</f>
        <v>helion mass energy equivalent in MeV</v>
      </c>
    </row>
    <row r="139">
      <c r="A139" s="6" t="s">
        <v>1234</v>
      </c>
      <c r="B139" s="6" t="s">
        <v>3912</v>
      </c>
      <c r="C139" s="6" t="s">
        <v>2542</v>
      </c>
      <c r="D139" s="6" t="s">
        <v>553</v>
      </c>
      <c r="E139" s="42">
        <f>countif(Constants!F:F,F139)</f>
        <v>1</v>
      </c>
      <c r="F139" s="21" t="str">
        <f>ifna(VLOOKUP($A139,Constants!$D:$F,3,false),"")</f>
        <v>HelionMassInAtomicMassUnit</v>
      </c>
      <c r="G139" s="43" t="str">
        <f t="shared" si="1"/>
        <v>3.0149322468</v>
      </c>
      <c r="H139" s="43">
        <f t="shared" si="2"/>
        <v>3.014932247</v>
      </c>
      <c r="I139" s="43" t="str">
        <f t="shared" si="3"/>
        <v>0.0000000025</v>
      </c>
      <c r="J139" s="43">
        <f t="shared" si="4"/>
        <v>0.0000000025</v>
      </c>
      <c r="K139" s="43" t="b">
        <f t="shared" si="5"/>
        <v>0</v>
      </c>
      <c r="L139" s="21" t="str">
        <f>IFERROR(__xludf.DUMMYFUNCTION("if(regexmatch(B139,""e(.*)$""),regexextract(B139,""e(.*)$""),"""")"),"")</f>
        <v/>
      </c>
      <c r="M139" s="21"/>
      <c r="N139" s="45">
        <f>countif(Constants!F:F,F139)</f>
        <v>1</v>
      </c>
      <c r="O139" s="21" t="str">
        <f>VLOOKUP(A139,Constants!D:D,1,false)</f>
        <v>helion mass in u</v>
      </c>
    </row>
    <row r="140">
      <c r="A140" s="6" t="s">
        <v>1237</v>
      </c>
      <c r="B140" s="6" t="s">
        <v>3913</v>
      </c>
      <c r="C140" s="6" t="s">
        <v>3519</v>
      </c>
      <c r="D140" s="6" t="s">
        <v>557</v>
      </c>
      <c r="E140" s="42">
        <f>countif(Constants!F:F,F140)</f>
        <v>1</v>
      </c>
      <c r="F140" s="21" t="str">
        <f>ifna(VLOOKUP($A140,Constants!$D:$F,3,false),"")</f>
        <v>HelionMolarMass</v>
      </c>
      <c r="G140" s="43" t="str">
        <f t="shared" si="1"/>
        <v>3.0149322468e-3</v>
      </c>
      <c r="H140" s="43">
        <f t="shared" si="2"/>
        <v>0.003014932247</v>
      </c>
      <c r="I140" s="43" t="str">
        <f t="shared" si="3"/>
        <v>0.0000000025e-3</v>
      </c>
      <c r="J140" s="43">
        <f t="shared" si="4"/>
        <v>0</v>
      </c>
      <c r="K140" s="43" t="b">
        <f t="shared" si="5"/>
        <v>0</v>
      </c>
      <c r="L140" s="21" t="str">
        <f>IFERROR(__xludf.DUMMYFUNCTION("if(regexmatch(B140,""e(.*)$""),regexextract(B140,""e(.*)$""),"""")"),"-3")</f>
        <v>-3</v>
      </c>
      <c r="M140" s="21"/>
      <c r="N140" s="45">
        <f>countif(Constants!F:F,F140)</f>
        <v>1</v>
      </c>
      <c r="O140" s="21" t="str">
        <f>VLOOKUP(A140,Constants!D:D,1,false)</f>
        <v>helion molar mass</v>
      </c>
    </row>
    <row r="141">
      <c r="A141" s="6" t="s">
        <v>1241</v>
      </c>
      <c r="B141" s="6" t="s">
        <v>3914</v>
      </c>
      <c r="C141" s="6" t="s">
        <v>2542</v>
      </c>
      <c r="E141" s="42">
        <f>countif(Constants!F:F,F141)</f>
        <v>1</v>
      </c>
      <c r="F141" s="21" t="str">
        <f>ifna(VLOOKUP($A141,Constants!$D:$F,3,false),"")</f>
        <v>HelionProtonMassRatio</v>
      </c>
      <c r="G141" s="43" t="str">
        <f t="shared" si="1"/>
        <v>2.9931526707</v>
      </c>
      <c r="H141" s="43">
        <f t="shared" si="2"/>
        <v>2.993152671</v>
      </c>
      <c r="I141" s="43" t="str">
        <f t="shared" si="3"/>
        <v>0.0000000025</v>
      </c>
      <c r="J141" s="43">
        <f t="shared" si="4"/>
        <v>0.0000000025</v>
      </c>
      <c r="K141" s="43" t="b">
        <f t="shared" si="5"/>
        <v>0</v>
      </c>
      <c r="L141" s="21" t="str">
        <f>IFERROR(__xludf.DUMMYFUNCTION("if(regexmatch(B141,""e(.*)$""),regexextract(B141,""e(.*)$""),"""")"),"")</f>
        <v/>
      </c>
      <c r="M141" s="21"/>
      <c r="N141" s="45">
        <f>countif(Constants!F:F,F141)</f>
        <v>1</v>
      </c>
      <c r="O141" s="21" t="str">
        <f>VLOOKUP(A141,Constants!D:D,1,false)</f>
        <v>helion-proton mass ratio</v>
      </c>
    </row>
    <row r="142">
      <c r="A142" s="6" t="s">
        <v>1251</v>
      </c>
      <c r="B142" s="6" t="s">
        <v>3915</v>
      </c>
      <c r="C142" s="6" t="s">
        <v>3916</v>
      </c>
      <c r="D142" s="6" t="s">
        <v>553</v>
      </c>
      <c r="E142" s="42">
        <f>countif(Constants!F:F,F142)</f>
        <v>1</v>
      </c>
      <c r="F142" s="21" t="str">
        <f>ifna(VLOOKUP($A142,Constants!$D:$F,3,false),"")</f>
        <v>HertzAtomicMassUnitRelationship</v>
      </c>
      <c r="G142" s="43" t="str">
        <f t="shared" si="1"/>
        <v>4.4398216689e-24</v>
      </c>
      <c r="H142" s="43">
        <f t="shared" si="2"/>
        <v>0</v>
      </c>
      <c r="I142" s="43" t="str">
        <f t="shared" si="3"/>
        <v>0.0000000031e-24</v>
      </c>
      <c r="J142" s="43">
        <f t="shared" si="4"/>
        <v>0</v>
      </c>
      <c r="K142" s="43" t="b">
        <f t="shared" si="5"/>
        <v>0</v>
      </c>
      <c r="L142" s="21" t="str">
        <f>IFERROR(__xludf.DUMMYFUNCTION("if(regexmatch(B142,""e(.*)$""),regexextract(B142,""e(.*)$""),"""")"),"-24")</f>
        <v>-24</v>
      </c>
      <c r="M142" s="21"/>
      <c r="N142" s="45">
        <f>countif(Constants!F:F,F142)</f>
        <v>1</v>
      </c>
      <c r="O142" s="21" t="str">
        <f>VLOOKUP(A142,Constants!D:D,1,false)</f>
        <v>hertz-atomic mass unit relationship</v>
      </c>
    </row>
    <row r="143">
      <c r="A143" s="6" t="s">
        <v>1257</v>
      </c>
      <c r="B143" s="6" t="s">
        <v>3917</v>
      </c>
      <c r="C143" s="6" t="s">
        <v>3918</v>
      </c>
      <c r="D143" s="6" t="s">
        <v>175</v>
      </c>
      <c r="E143" s="42">
        <f>countif(Constants!F:F,F143)</f>
        <v>1</v>
      </c>
      <c r="F143" s="21" t="str">
        <f>ifna(VLOOKUP($A143,Constants!$D:$F,3,false),"")</f>
        <v>HertzElectronVoltRelationship</v>
      </c>
      <c r="G143" s="43" t="str">
        <f t="shared" si="1"/>
        <v>4.135667516e-15</v>
      </c>
      <c r="H143" s="43">
        <f t="shared" si="2"/>
        <v>0</v>
      </c>
      <c r="I143" s="43" t="str">
        <f t="shared" si="3"/>
        <v>0.000000091e-15</v>
      </c>
      <c r="J143" s="43">
        <f t="shared" si="4"/>
        <v>0</v>
      </c>
      <c r="K143" s="43" t="b">
        <f t="shared" si="5"/>
        <v>0</v>
      </c>
      <c r="L143" s="21" t="str">
        <f>IFERROR(__xludf.DUMMYFUNCTION("if(regexmatch(B143,""e(.*)$""),regexextract(B143,""e(.*)$""),"""")"),"-15")</f>
        <v>-15</v>
      </c>
      <c r="M143" s="21"/>
      <c r="N143" s="45">
        <f>countif(Constants!F:F,F143)</f>
        <v>1</v>
      </c>
      <c r="O143" s="21" t="str">
        <f>VLOOKUP(A143,Constants!D:D,1,false)</f>
        <v>hertz-electron volt relationship</v>
      </c>
    </row>
    <row r="144">
      <c r="A144" s="6" t="s">
        <v>1262</v>
      </c>
      <c r="B144" s="6" t="s">
        <v>3919</v>
      </c>
      <c r="C144" s="6" t="s">
        <v>3920</v>
      </c>
      <c r="D144" s="6" t="s">
        <v>593</v>
      </c>
      <c r="E144" s="42">
        <f>countif(Constants!F:F,F144)</f>
        <v>1</v>
      </c>
      <c r="F144" s="21" t="str">
        <f>ifna(VLOOKUP($A144,Constants!$D:$F,3,false),"")</f>
        <v>HertzHartreeRelationship</v>
      </c>
      <c r="G144" s="43" t="str">
        <f t="shared" si="1"/>
        <v>1.5198298460045e-16</v>
      </c>
      <c r="H144" s="43">
        <f t="shared" si="2"/>
        <v>0</v>
      </c>
      <c r="I144" s="43" t="str">
        <f t="shared" si="3"/>
        <v>0.0000000000076e-16</v>
      </c>
      <c r="J144" s="43">
        <f t="shared" si="4"/>
        <v>0</v>
      </c>
      <c r="K144" s="43" t="b">
        <f t="shared" si="5"/>
        <v>0</v>
      </c>
      <c r="L144" s="21" t="str">
        <f>IFERROR(__xludf.DUMMYFUNCTION("if(regexmatch(B144,""e(.*)$""),regexextract(B144,""e(.*)$""),"""")"),"-16")</f>
        <v>-16</v>
      </c>
      <c r="M144" s="21"/>
      <c r="N144" s="45">
        <f>countif(Constants!F:F,F144)</f>
        <v>1</v>
      </c>
      <c r="O144" s="21" t="str">
        <f>VLOOKUP(A144,Constants!D:D,1,false)</f>
        <v>hertz-hartree relationship</v>
      </c>
    </row>
    <row r="145">
      <c r="A145" s="6" t="s">
        <v>1267</v>
      </c>
      <c r="B145" s="6" t="s">
        <v>2967</v>
      </c>
      <c r="C145" s="6" t="s">
        <v>2261</v>
      </c>
      <c r="D145" s="6" t="s">
        <v>606</v>
      </c>
      <c r="E145" s="42">
        <f>countif(Constants!F:F,F145)</f>
        <v>1</v>
      </c>
      <c r="F145" s="21" t="str">
        <f>ifna(VLOOKUP($A145,Constants!$D:$F,3,false),"")</f>
        <v>HertzInverseMeterRelationship</v>
      </c>
      <c r="G145" s="43" t="str">
        <f t="shared" si="1"/>
        <v>3.335640951e-9</v>
      </c>
      <c r="H145" s="43">
        <f t="shared" si="2"/>
        <v>0.000000003335640951</v>
      </c>
      <c r="I145" s="43" t="str">
        <f t="shared" si="3"/>
        <v>(exact)</v>
      </c>
      <c r="J145" s="43" t="str">
        <f t="shared" si="4"/>
        <v/>
      </c>
      <c r="K145" s="43" t="b">
        <f t="shared" si="5"/>
        <v>1</v>
      </c>
      <c r="L145" s="21" t="str">
        <f>IFERROR(__xludf.DUMMYFUNCTION("if(regexmatch(B145,""e(.*)$""),regexextract(B145,""e(.*)$""),"""")"),"-9")</f>
        <v>-9</v>
      </c>
      <c r="M145" s="21"/>
      <c r="N145" s="45">
        <f>countif(Constants!F:F,F145)</f>
        <v>1</v>
      </c>
      <c r="O145" s="21" t="str">
        <f>VLOOKUP(A145,Constants!D:D,1,false)</f>
        <v>hertz-inverse meter relationship</v>
      </c>
    </row>
    <row r="146">
      <c r="A146" s="6" t="s">
        <v>1272</v>
      </c>
      <c r="B146" s="6" t="s">
        <v>3921</v>
      </c>
      <c r="C146" s="6" t="s">
        <v>3922</v>
      </c>
      <c r="D146" s="6" t="s">
        <v>543</v>
      </c>
      <c r="E146" s="42">
        <f>countif(Constants!F:F,F146)</f>
        <v>1</v>
      </c>
      <c r="F146" s="21" t="str">
        <f>ifna(VLOOKUP($A146,Constants!$D:$F,3,false),"")</f>
        <v>HertzJouleRelationship</v>
      </c>
      <c r="G146" s="43" t="str">
        <f t="shared" si="1"/>
        <v>6.62606957e-34</v>
      </c>
      <c r="H146" s="43">
        <f t="shared" si="2"/>
        <v>0</v>
      </c>
      <c r="I146" s="43" t="str">
        <f t="shared" si="3"/>
        <v>0.00000029e-34</v>
      </c>
      <c r="J146" s="43">
        <f t="shared" si="4"/>
        <v>0</v>
      </c>
      <c r="K146" s="43" t="b">
        <f t="shared" si="5"/>
        <v>0</v>
      </c>
      <c r="L146" s="21" t="str">
        <f>IFERROR(__xludf.DUMMYFUNCTION("if(regexmatch(B146,""e(.*)$""),regexextract(B146,""e(.*)$""),"""")"),"-34")</f>
        <v>-34</v>
      </c>
      <c r="M146" s="21"/>
      <c r="N146" s="45">
        <f>countif(Constants!F:F,F146)</f>
        <v>1</v>
      </c>
      <c r="O146" s="21" t="str">
        <f>VLOOKUP(A146,Constants!D:D,1,false)</f>
        <v>hertz-joule relationship</v>
      </c>
    </row>
    <row r="147">
      <c r="A147" s="6" t="s">
        <v>1277</v>
      </c>
      <c r="B147" s="6" t="s">
        <v>3923</v>
      </c>
      <c r="C147" s="6" t="s">
        <v>3924</v>
      </c>
      <c r="D147" s="6" t="s">
        <v>618</v>
      </c>
      <c r="E147" s="42">
        <f>countif(Constants!F:F,F147)</f>
        <v>1</v>
      </c>
      <c r="F147" s="21" t="str">
        <f>ifna(VLOOKUP($A147,Constants!$D:$F,3,false),"")</f>
        <v>HertzKelvinRelationship</v>
      </c>
      <c r="G147" s="43" t="str">
        <f t="shared" si="1"/>
        <v>4.7992434e-11</v>
      </c>
      <c r="H147" s="43">
        <f t="shared" si="2"/>
        <v>0</v>
      </c>
      <c r="I147" s="43" t="str">
        <f t="shared" si="3"/>
        <v>0.0000044e-11</v>
      </c>
      <c r="J147" s="43">
        <f t="shared" si="4"/>
        <v>0</v>
      </c>
      <c r="K147" s="43" t="b">
        <f t="shared" si="5"/>
        <v>0</v>
      </c>
      <c r="L147" s="21" t="str">
        <f>IFERROR(__xludf.DUMMYFUNCTION("if(regexmatch(B147,""e(.*)$""),regexextract(B147,""e(.*)$""),"""")"),"-11")</f>
        <v>-11</v>
      </c>
      <c r="M147" s="21"/>
      <c r="N147" s="45">
        <f>countif(Constants!F:F,F147)</f>
        <v>1</v>
      </c>
      <c r="O147" s="21" t="str">
        <f>VLOOKUP(A147,Constants!D:D,1,false)</f>
        <v>hertz-kelvin relationship</v>
      </c>
    </row>
    <row r="148">
      <c r="A148" s="6" t="s">
        <v>1282</v>
      </c>
      <c r="B148" s="6" t="s">
        <v>3925</v>
      </c>
      <c r="C148" s="6" t="s">
        <v>3926</v>
      </c>
      <c r="D148" s="6" t="s">
        <v>538</v>
      </c>
      <c r="E148" s="42">
        <f>countif(Constants!F:F,F148)</f>
        <v>1</v>
      </c>
      <c r="F148" s="21" t="str">
        <f>ifna(VLOOKUP($A148,Constants!$D:$F,3,false),"")</f>
        <v>HertzKilogramRelationship</v>
      </c>
      <c r="G148" s="43" t="str">
        <f t="shared" si="1"/>
        <v>7.37249668e-51</v>
      </c>
      <c r="H148" s="43">
        <f t="shared" si="2"/>
        <v>0</v>
      </c>
      <c r="I148" s="43" t="str">
        <f t="shared" si="3"/>
        <v>0.00000033e-51</v>
      </c>
      <c r="J148" s="43">
        <f t="shared" si="4"/>
        <v>0</v>
      </c>
      <c r="K148" s="43" t="b">
        <f t="shared" si="5"/>
        <v>0</v>
      </c>
      <c r="L148" s="21" t="str">
        <f>IFERROR(__xludf.DUMMYFUNCTION("if(regexmatch(B148,""e(.*)$""),regexextract(B148,""e(.*)$""),"""")"),"-51")</f>
        <v>-51</v>
      </c>
      <c r="M148" s="21"/>
      <c r="N148" s="45">
        <f>countif(Constants!F:F,F148)</f>
        <v>1</v>
      </c>
      <c r="O148" s="21" t="str">
        <f>VLOOKUP(A148,Constants!D:D,1,false)</f>
        <v>hertz-kilogram relationship</v>
      </c>
    </row>
    <row r="149">
      <c r="A149" s="6" t="s">
        <v>1290</v>
      </c>
      <c r="B149" s="6" t="s">
        <v>3927</v>
      </c>
      <c r="C149" s="6" t="s">
        <v>3928</v>
      </c>
      <c r="E149" s="42">
        <f>countif(Constants!F:F,F149)</f>
        <v>1</v>
      </c>
      <c r="F149" s="21" t="str">
        <f>ifna(VLOOKUP($A149,Constants!$D:$F,3,false),"")</f>
        <v>InverseFineStructureConstant</v>
      </c>
      <c r="G149" s="43" t="str">
        <f t="shared" si="1"/>
        <v>137.035999074</v>
      </c>
      <c r="H149" s="43">
        <f t="shared" si="2"/>
        <v>137.0359991</v>
      </c>
      <c r="I149" s="43" t="str">
        <f t="shared" si="3"/>
        <v>0.000000044</v>
      </c>
      <c r="J149" s="43">
        <f t="shared" si="4"/>
        <v>0.000000044</v>
      </c>
      <c r="K149" s="43" t="b">
        <f t="shared" si="5"/>
        <v>0</v>
      </c>
      <c r="L149" s="21" t="str">
        <f>IFERROR(__xludf.DUMMYFUNCTION("if(regexmatch(B149,""e(.*)$""),regexextract(B149,""e(.*)$""),"""")"),"")</f>
        <v/>
      </c>
      <c r="M149" s="21"/>
      <c r="N149" s="45">
        <f>countif(Constants!F:F,F149)</f>
        <v>1</v>
      </c>
      <c r="O149" s="21" t="str">
        <f>VLOOKUP(A149,Constants!D:D,1,false)</f>
        <v>inverse fine-structure constant</v>
      </c>
    </row>
    <row r="150">
      <c r="A150" s="6" t="s">
        <v>1294</v>
      </c>
      <c r="B150" s="6" t="s">
        <v>3929</v>
      </c>
      <c r="C150" s="6" t="s">
        <v>3930</v>
      </c>
      <c r="D150" s="6" t="s">
        <v>553</v>
      </c>
      <c r="E150" s="42">
        <f>countif(Constants!F:F,F150)</f>
        <v>1</v>
      </c>
      <c r="F150" s="21" t="str">
        <f>ifna(VLOOKUP($A150,Constants!$D:$F,3,false),"")</f>
        <v>InverseMeterAtomicMassUnitRelationship</v>
      </c>
      <c r="G150" s="43" t="str">
        <f t="shared" si="1"/>
        <v>1.33102505120e-15</v>
      </c>
      <c r="H150" s="43">
        <f t="shared" si="2"/>
        <v>0</v>
      </c>
      <c r="I150" s="43" t="str">
        <f t="shared" si="3"/>
        <v>0.00000000094e-15</v>
      </c>
      <c r="J150" s="43">
        <f t="shared" si="4"/>
        <v>0</v>
      </c>
      <c r="K150" s="43" t="b">
        <f t="shared" si="5"/>
        <v>0</v>
      </c>
      <c r="L150" s="21" t="str">
        <f>IFERROR(__xludf.DUMMYFUNCTION("if(regexmatch(B150,""e(.*)$""),regexextract(B150,""e(.*)$""),"""")"),"-15")</f>
        <v>-15</v>
      </c>
      <c r="M150" s="21"/>
      <c r="N150" s="45">
        <f>countif(Constants!F:F,F150)</f>
        <v>1</v>
      </c>
      <c r="O150" s="21" t="str">
        <f>VLOOKUP(A150,Constants!D:D,1,false)</f>
        <v>inverse meter-atomic mass unit relationship</v>
      </c>
    </row>
    <row r="151">
      <c r="A151" s="6" t="s">
        <v>1300</v>
      </c>
      <c r="B151" s="6" t="s">
        <v>3931</v>
      </c>
      <c r="C151" s="6" t="s">
        <v>3932</v>
      </c>
      <c r="D151" s="6" t="s">
        <v>175</v>
      </c>
      <c r="E151" s="42">
        <f>countif(Constants!F:F,F151)</f>
        <v>1</v>
      </c>
      <c r="F151" s="21" t="str">
        <f>ifna(VLOOKUP($A151,Constants!$D:$F,3,false),"")</f>
        <v>InverseMeterElectronVoltRelationship</v>
      </c>
      <c r="G151" s="43" t="str">
        <f t="shared" si="1"/>
        <v>1.239841930e-6</v>
      </c>
      <c r="H151" s="43">
        <f t="shared" si="2"/>
        <v>0.00000123984193</v>
      </c>
      <c r="I151" s="43" t="str">
        <f t="shared" si="3"/>
        <v>0.000000027e-6</v>
      </c>
      <c r="J151" s="43">
        <f t="shared" si="4"/>
        <v>0</v>
      </c>
      <c r="K151" s="43" t="b">
        <f t="shared" si="5"/>
        <v>0</v>
      </c>
      <c r="L151" s="21" t="str">
        <f>IFERROR(__xludf.DUMMYFUNCTION("if(regexmatch(B151,""e(.*)$""),regexextract(B151,""e(.*)$""),"""")"),"-6")</f>
        <v>-6</v>
      </c>
      <c r="M151" s="21"/>
      <c r="N151" s="45">
        <f>countif(Constants!F:F,F151)</f>
        <v>1</v>
      </c>
      <c r="O151" s="21" t="str">
        <f>VLOOKUP(A151,Constants!D:D,1,false)</f>
        <v>inverse meter-electron volt relationship</v>
      </c>
    </row>
    <row r="152">
      <c r="A152" s="6" t="s">
        <v>1305</v>
      </c>
      <c r="B152" s="6" t="s">
        <v>3933</v>
      </c>
      <c r="C152" s="6" t="s">
        <v>3934</v>
      </c>
      <c r="D152" s="6" t="s">
        <v>593</v>
      </c>
      <c r="E152" s="42">
        <f>countif(Constants!F:F,F152)</f>
        <v>1</v>
      </c>
      <c r="F152" s="21" t="str">
        <f>ifna(VLOOKUP($A152,Constants!$D:$F,3,false),"")</f>
        <v>InverseMeterHartreeRelationship</v>
      </c>
      <c r="G152" s="43" t="str">
        <f t="shared" si="1"/>
        <v>4.556335252755e-8</v>
      </c>
      <c r="H152" s="43">
        <f t="shared" si="2"/>
        <v>0.00000004556335253</v>
      </c>
      <c r="I152" s="43" t="str">
        <f t="shared" si="3"/>
        <v>0.000000000023e-8</v>
      </c>
      <c r="J152" s="43">
        <f t="shared" si="4"/>
        <v>0</v>
      </c>
      <c r="K152" s="43" t="b">
        <f t="shared" si="5"/>
        <v>0</v>
      </c>
      <c r="L152" s="21" t="str">
        <f>IFERROR(__xludf.DUMMYFUNCTION("if(regexmatch(B152,""e(.*)$""),regexextract(B152,""e(.*)$""),"""")"),"-8")</f>
        <v>-8</v>
      </c>
      <c r="M152" s="21"/>
      <c r="N152" s="45">
        <f>countif(Constants!F:F,F152)</f>
        <v>1</v>
      </c>
      <c r="O152" s="21" t="str">
        <f>VLOOKUP(A152,Constants!D:D,1,false)</f>
        <v>inverse meter-hartree relationship</v>
      </c>
    </row>
    <row r="153">
      <c r="A153" s="6" t="s">
        <v>1309</v>
      </c>
      <c r="B153" s="6" t="s">
        <v>2978</v>
      </c>
      <c r="C153" s="6" t="s">
        <v>2261</v>
      </c>
      <c r="D153" s="6" t="s">
        <v>600</v>
      </c>
      <c r="E153" s="42">
        <f>countif(Constants!F:F,F153)</f>
        <v>1</v>
      </c>
      <c r="F153" s="21" t="str">
        <f>ifna(VLOOKUP($A153,Constants!$D:$F,3,false),"")</f>
        <v>InverseMeterHertzRelationship</v>
      </c>
      <c r="G153" s="43" t="str">
        <f t="shared" si="1"/>
        <v>299792458</v>
      </c>
      <c r="H153" s="43">
        <f t="shared" si="2"/>
        <v>299792458</v>
      </c>
      <c r="I153" s="43" t="str">
        <f t="shared" si="3"/>
        <v>(exact)</v>
      </c>
      <c r="J153" s="43" t="str">
        <f t="shared" si="4"/>
        <v/>
      </c>
      <c r="K153" s="43" t="b">
        <f t="shared" si="5"/>
        <v>0</v>
      </c>
      <c r="L153" s="21" t="str">
        <f>IFERROR(__xludf.DUMMYFUNCTION("if(regexmatch(B153,""e(.*)$""),regexextract(B153,""e(.*)$""),"""")"),"")</f>
        <v/>
      </c>
      <c r="M153" s="21"/>
      <c r="N153" s="45">
        <f>countif(Constants!F:F,F153)</f>
        <v>1</v>
      </c>
      <c r="O153" s="21" t="str">
        <f>VLOOKUP(A153,Constants!D:D,1,false)</f>
        <v>inverse meter-hertz relationship</v>
      </c>
    </row>
    <row r="154">
      <c r="A154" s="6" t="s">
        <v>1314</v>
      </c>
      <c r="B154" s="6" t="s">
        <v>3935</v>
      </c>
      <c r="C154" s="6" t="s">
        <v>3936</v>
      </c>
      <c r="D154" s="6" t="s">
        <v>543</v>
      </c>
      <c r="E154" s="42">
        <f>countif(Constants!F:F,F154)</f>
        <v>1</v>
      </c>
      <c r="F154" s="21" t="str">
        <f>ifna(VLOOKUP($A154,Constants!$D:$F,3,false),"")</f>
        <v>InverseMeterJouleRelationship</v>
      </c>
      <c r="G154" s="43" t="str">
        <f t="shared" si="1"/>
        <v>1.986445684e-25</v>
      </c>
      <c r="H154" s="43">
        <f t="shared" si="2"/>
        <v>0</v>
      </c>
      <c r="I154" s="43" t="str">
        <f t="shared" si="3"/>
        <v>0.000000088e-25</v>
      </c>
      <c r="J154" s="43">
        <f t="shared" si="4"/>
        <v>0</v>
      </c>
      <c r="K154" s="43" t="b">
        <f t="shared" si="5"/>
        <v>0</v>
      </c>
      <c r="L154" s="21" t="str">
        <f>IFERROR(__xludf.DUMMYFUNCTION("if(regexmatch(B154,""e(.*)$""),regexextract(B154,""e(.*)$""),"""")"),"-25")</f>
        <v>-25</v>
      </c>
      <c r="M154" s="21"/>
      <c r="N154" s="45">
        <f>countif(Constants!F:F,F154)</f>
        <v>1</v>
      </c>
      <c r="O154" s="21" t="str">
        <f>VLOOKUP(A154,Constants!D:D,1,false)</f>
        <v>inverse meter-joule relationship</v>
      </c>
    </row>
    <row r="155">
      <c r="A155" s="6" t="s">
        <v>1319</v>
      </c>
      <c r="B155" s="6" t="s">
        <v>3937</v>
      </c>
      <c r="C155" s="6" t="s">
        <v>3938</v>
      </c>
      <c r="D155" s="6" t="s">
        <v>618</v>
      </c>
      <c r="E155" s="42">
        <f>countif(Constants!F:F,F155)</f>
        <v>1</v>
      </c>
      <c r="F155" s="21" t="str">
        <f>ifna(VLOOKUP($A155,Constants!$D:$F,3,false),"")</f>
        <v>InverseMeterKelvinRelationship</v>
      </c>
      <c r="G155" s="43" t="str">
        <f t="shared" si="1"/>
        <v>1.4387770e-2</v>
      </c>
      <c r="H155" s="43">
        <f t="shared" si="2"/>
        <v>0.01438777</v>
      </c>
      <c r="I155" s="43" t="str">
        <f t="shared" si="3"/>
        <v>0.0000013e-2</v>
      </c>
      <c r="J155" s="43">
        <f t="shared" si="4"/>
        <v>0.000000013</v>
      </c>
      <c r="K155" s="43" t="b">
        <f t="shared" si="5"/>
        <v>0</v>
      </c>
      <c r="L155" s="21" t="str">
        <f>IFERROR(__xludf.DUMMYFUNCTION("if(regexmatch(B155,""e(.*)$""),regexextract(B155,""e(.*)$""),"""")"),"-2")</f>
        <v>-2</v>
      </c>
      <c r="M155" s="21"/>
      <c r="N155" s="45">
        <f>countif(Constants!F:F,F155)</f>
        <v>1</v>
      </c>
      <c r="O155" s="21" t="str">
        <f>VLOOKUP(A155,Constants!D:D,1,false)</f>
        <v>inverse meter-kelvin relationship</v>
      </c>
    </row>
    <row r="156">
      <c r="A156" s="6" t="s">
        <v>1324</v>
      </c>
      <c r="B156" s="6" t="s">
        <v>3939</v>
      </c>
      <c r="C156" s="6" t="s">
        <v>3940</v>
      </c>
      <c r="D156" s="6" t="s">
        <v>538</v>
      </c>
      <c r="E156" s="42">
        <f>countif(Constants!F:F,F156)</f>
        <v>1</v>
      </c>
      <c r="F156" s="21" t="str">
        <f>ifna(VLOOKUP($A156,Constants!$D:$F,3,false),"")</f>
        <v>InverseMeterKilogramRelationship</v>
      </c>
      <c r="G156" s="43" t="str">
        <f t="shared" si="1"/>
        <v>2.210218902e-42</v>
      </c>
      <c r="H156" s="43">
        <f t="shared" si="2"/>
        <v>0</v>
      </c>
      <c r="I156" s="43" t="str">
        <f t="shared" si="3"/>
        <v>0.000000098e-42</v>
      </c>
      <c r="J156" s="43">
        <f t="shared" si="4"/>
        <v>0</v>
      </c>
      <c r="K156" s="43" t="b">
        <f t="shared" si="5"/>
        <v>0</v>
      </c>
      <c r="L156" s="21" t="str">
        <f>IFERROR(__xludf.DUMMYFUNCTION("if(regexmatch(B156,""e(.*)$""),regexextract(B156,""e(.*)$""),"""")"),"-42")</f>
        <v>-42</v>
      </c>
      <c r="M156" s="21"/>
      <c r="N156" s="45">
        <f>countif(Constants!F:F,F156)</f>
        <v>1</v>
      </c>
      <c r="O156" s="21" t="str">
        <f>VLOOKUP(A156,Constants!D:D,1,false)</f>
        <v>inverse meter-kilogram relationship</v>
      </c>
    </row>
    <row r="157">
      <c r="A157" s="6" t="s">
        <v>1329</v>
      </c>
      <c r="B157" s="6" t="s">
        <v>3941</v>
      </c>
      <c r="C157" s="6" t="s">
        <v>3942</v>
      </c>
      <c r="D157" s="6" t="s">
        <v>814</v>
      </c>
      <c r="E157" s="42">
        <f>countif(Constants!F:F,F157)</f>
        <v>1</v>
      </c>
      <c r="F157" s="21" t="str">
        <f>ifna(VLOOKUP($A157,Constants!$D:$F,3,false),"")</f>
        <v>InverseOfConductanceQuantum</v>
      </c>
      <c r="G157" s="43" t="str">
        <f t="shared" si="1"/>
        <v>12906.4037217</v>
      </c>
      <c r="H157" s="43">
        <f t="shared" si="2"/>
        <v>12906.40372</v>
      </c>
      <c r="I157" s="43" t="str">
        <f t="shared" si="3"/>
        <v>0.0000042</v>
      </c>
      <c r="J157" s="43">
        <f t="shared" si="4"/>
        <v>0.0000042</v>
      </c>
      <c r="K157" s="43" t="b">
        <f t="shared" si="5"/>
        <v>0</v>
      </c>
      <c r="L157" s="21" t="str">
        <f>IFERROR(__xludf.DUMMYFUNCTION("if(regexmatch(B157,""e(.*)$""),regexextract(B157,""e(.*)$""),"""")"),"")</f>
        <v/>
      </c>
      <c r="M157" s="21"/>
      <c r="N157" s="45">
        <f>countif(Constants!F:F,F157)</f>
        <v>1</v>
      </c>
      <c r="O157" s="21" t="str">
        <f>VLOOKUP(A157,Constants!D:D,1,false)</f>
        <v>inverse of conductance quantum</v>
      </c>
    </row>
    <row r="158">
      <c r="A158" s="6" t="s">
        <v>1333</v>
      </c>
      <c r="B158" s="6" t="s">
        <v>3943</v>
      </c>
      <c r="C158" s="46" t="s">
        <v>3944</v>
      </c>
      <c r="D158" s="6" t="s">
        <v>847</v>
      </c>
      <c r="E158" s="42">
        <f>countif(Constants!F:F,F158)</f>
        <v>1</v>
      </c>
      <c r="F158" s="21" t="str">
        <f>ifna(VLOOKUP($A158,Constants!$D:$F,3,false),"")</f>
        <v>JosephsonConstant</v>
      </c>
      <c r="G158" s="43" t="str">
        <f t="shared" si="1"/>
        <v>483597.870e9</v>
      </c>
      <c r="H158" s="43">
        <f t="shared" si="2"/>
        <v>483597870000000</v>
      </c>
      <c r="I158" s="43" t="str">
        <f t="shared" si="3"/>
        <v>0.011e9</v>
      </c>
      <c r="J158" s="43">
        <f t="shared" si="4"/>
        <v>11000000</v>
      </c>
      <c r="K158" s="43" t="b">
        <f t="shared" si="5"/>
        <v>0</v>
      </c>
      <c r="L158" s="21" t="str">
        <f>IFERROR(__xludf.DUMMYFUNCTION("if(regexmatch(B158,""e(.*)$""),regexextract(B158,""e(.*)$""),"""")"),"9")</f>
        <v>9</v>
      </c>
      <c r="M158" s="21"/>
      <c r="N158" s="45">
        <f>countif(Constants!F:F,F158)</f>
        <v>1</v>
      </c>
      <c r="O158" s="21" t="str">
        <f>VLOOKUP(A158,Constants!D:D,1,false)</f>
        <v>Josephson constant</v>
      </c>
    </row>
    <row r="159">
      <c r="A159" s="6" t="s">
        <v>1337</v>
      </c>
      <c r="B159" s="6" t="s">
        <v>3945</v>
      </c>
      <c r="C159" s="6" t="s">
        <v>3946</v>
      </c>
      <c r="D159" s="6" t="s">
        <v>553</v>
      </c>
      <c r="E159" s="42">
        <f>countif(Constants!F:F,F159)</f>
        <v>1</v>
      </c>
      <c r="F159" s="21" t="str">
        <f>ifna(VLOOKUP($A159,Constants!$D:$F,3,false),"")</f>
        <v>JouleAtomicMassUnitRelationship</v>
      </c>
      <c r="G159" s="43" t="str">
        <f t="shared" si="1"/>
        <v>6.70053585e9</v>
      </c>
      <c r="H159" s="43">
        <f t="shared" si="2"/>
        <v>6700535850</v>
      </c>
      <c r="I159" s="43" t="str">
        <f t="shared" si="3"/>
        <v>0.00000030e9</v>
      </c>
      <c r="J159" s="43">
        <f t="shared" si="4"/>
        <v>300</v>
      </c>
      <c r="K159" s="43" t="b">
        <f t="shared" si="5"/>
        <v>0</v>
      </c>
      <c r="L159" s="21" t="str">
        <f>IFERROR(__xludf.DUMMYFUNCTION("if(regexmatch(B159,""e(.*)$""),regexextract(B159,""e(.*)$""),"""")"),"9")</f>
        <v>9</v>
      </c>
      <c r="M159" s="21"/>
      <c r="N159" s="45">
        <f>countif(Constants!F:F,F159)</f>
        <v>1</v>
      </c>
      <c r="O159" s="21" t="str">
        <f>VLOOKUP(A159,Constants!D:D,1,false)</f>
        <v>joule-atomic mass unit relationship</v>
      </c>
    </row>
    <row r="160">
      <c r="A160" s="6" t="s">
        <v>1343</v>
      </c>
      <c r="B160" s="6" t="s">
        <v>3947</v>
      </c>
      <c r="C160" s="6" t="s">
        <v>3948</v>
      </c>
      <c r="D160" s="6" t="s">
        <v>175</v>
      </c>
      <c r="E160" s="42">
        <f>countif(Constants!F:F,F160)</f>
        <v>1</v>
      </c>
      <c r="F160" s="21" t="str">
        <f>ifna(VLOOKUP($A160,Constants!$D:$F,3,false),"")</f>
        <v>JouleElectronVoltRelationship</v>
      </c>
      <c r="G160" s="43" t="str">
        <f t="shared" si="1"/>
        <v>6.24150934e18</v>
      </c>
      <c r="H160" s="43">
        <f t="shared" si="2"/>
        <v>6.24151E+18</v>
      </c>
      <c r="I160" s="43" t="str">
        <f t="shared" si="3"/>
        <v>0.00000014e18</v>
      </c>
      <c r="J160" s="43">
        <f t="shared" si="4"/>
        <v>140000000000</v>
      </c>
      <c r="K160" s="43" t="b">
        <f t="shared" si="5"/>
        <v>0</v>
      </c>
      <c r="L160" s="21" t="str">
        <f>IFERROR(__xludf.DUMMYFUNCTION("if(regexmatch(B160,""e(.*)$""),regexextract(B160,""e(.*)$""),"""")"),"18")</f>
        <v>18</v>
      </c>
      <c r="M160" s="21"/>
      <c r="N160" s="45">
        <f>countif(Constants!F:F,F160)</f>
        <v>1</v>
      </c>
      <c r="O160" s="21" t="str">
        <f>VLOOKUP(A160,Constants!D:D,1,false)</f>
        <v>joule-electron volt relationship</v>
      </c>
    </row>
    <row r="161">
      <c r="A161" s="6" t="s">
        <v>1348</v>
      </c>
      <c r="B161" s="6" t="s">
        <v>3949</v>
      </c>
      <c r="C161" s="6" t="s">
        <v>3950</v>
      </c>
      <c r="D161" s="6" t="s">
        <v>593</v>
      </c>
      <c r="E161" s="42">
        <f>countif(Constants!F:F,F161)</f>
        <v>1</v>
      </c>
      <c r="F161" s="21" t="str">
        <f>ifna(VLOOKUP($A161,Constants!$D:$F,3,false),"")</f>
        <v>JouleHartreeRelationship</v>
      </c>
      <c r="G161" s="43" t="str">
        <f t="shared" si="1"/>
        <v>2.29371248e17</v>
      </c>
      <c r="H161" s="43">
        <f t="shared" si="2"/>
        <v>2.29371E+17</v>
      </c>
      <c r="I161" s="43" t="str">
        <f t="shared" si="3"/>
        <v>0.00000010e17</v>
      </c>
      <c r="J161" s="43">
        <f t="shared" si="4"/>
        <v>10000000000</v>
      </c>
      <c r="K161" s="43" t="b">
        <f t="shared" si="5"/>
        <v>0</v>
      </c>
      <c r="L161" s="21" t="str">
        <f>IFERROR(__xludf.DUMMYFUNCTION("if(regexmatch(B161,""e(.*)$""),regexextract(B161,""e(.*)$""),"""")"),"17")</f>
        <v>17</v>
      </c>
      <c r="M161" s="21"/>
      <c r="N161" s="45">
        <f>countif(Constants!F:F,F161)</f>
        <v>1</v>
      </c>
      <c r="O161" s="21" t="str">
        <f>VLOOKUP(A161,Constants!D:D,1,false)</f>
        <v>joule-hartree relationship</v>
      </c>
    </row>
    <row r="162">
      <c r="A162" s="6" t="s">
        <v>1353</v>
      </c>
      <c r="B162" s="6" t="s">
        <v>3951</v>
      </c>
      <c r="C162" s="6" t="s">
        <v>3952</v>
      </c>
      <c r="D162" s="6" t="s">
        <v>600</v>
      </c>
      <c r="E162" s="42">
        <f>countif(Constants!F:F,F162)</f>
        <v>1</v>
      </c>
      <c r="F162" s="21" t="str">
        <f>ifna(VLOOKUP($A162,Constants!$D:$F,3,false),"")</f>
        <v>JouleHertzRelationship</v>
      </c>
      <c r="G162" s="43" t="str">
        <f t="shared" si="1"/>
        <v>1.509190311e33</v>
      </c>
      <c r="H162" s="43">
        <f t="shared" si="2"/>
        <v>1.50919E+33</v>
      </c>
      <c r="I162" s="43" t="str">
        <f t="shared" si="3"/>
        <v>0.000000067e33</v>
      </c>
      <c r="J162" s="43">
        <f t="shared" si="4"/>
        <v>6.7E+25</v>
      </c>
      <c r="K162" s="43" t="b">
        <f t="shared" si="5"/>
        <v>0</v>
      </c>
      <c r="L162" s="21" t="str">
        <f>IFERROR(__xludf.DUMMYFUNCTION("if(regexmatch(B162,""e(.*)$""),regexextract(B162,""e(.*)$""),"""")"),"33")</f>
        <v>33</v>
      </c>
      <c r="M162" s="21"/>
      <c r="N162" s="45">
        <f>countif(Constants!F:F,F162)</f>
        <v>1</v>
      </c>
      <c r="O162" s="21" t="str">
        <f>VLOOKUP(A162,Constants!D:D,1,false)</f>
        <v>joule-hertz relationship</v>
      </c>
    </row>
    <row r="163">
      <c r="A163" s="6" t="s">
        <v>1358</v>
      </c>
      <c r="B163" s="6" t="s">
        <v>3953</v>
      </c>
      <c r="C163" s="6" t="s">
        <v>3954</v>
      </c>
      <c r="D163" s="6" t="s">
        <v>606</v>
      </c>
      <c r="E163" s="42">
        <f>countif(Constants!F:F,F163)</f>
        <v>1</v>
      </c>
      <c r="F163" s="21" t="str">
        <f>ifna(VLOOKUP($A163,Constants!$D:$F,3,false),"")</f>
        <v>JouleInverseMeterRelationship</v>
      </c>
      <c r="G163" s="43" t="str">
        <f t="shared" si="1"/>
        <v>5.03411701e24</v>
      </c>
      <c r="H163" s="43">
        <f t="shared" si="2"/>
        <v>5.03412E+24</v>
      </c>
      <c r="I163" s="43" t="str">
        <f t="shared" si="3"/>
        <v>0.00000022e24</v>
      </c>
      <c r="J163" s="43">
        <f t="shared" si="4"/>
        <v>2.2E+17</v>
      </c>
      <c r="K163" s="43" t="b">
        <f t="shared" si="5"/>
        <v>0</v>
      </c>
      <c r="L163" s="21" t="str">
        <f>IFERROR(__xludf.DUMMYFUNCTION("if(regexmatch(B163,""e(.*)$""),regexextract(B163,""e(.*)$""),"""")"),"24")</f>
        <v>24</v>
      </c>
      <c r="M163" s="21"/>
      <c r="N163" s="45">
        <f>countif(Constants!F:F,F163)</f>
        <v>1</v>
      </c>
      <c r="O163" s="21" t="str">
        <f>VLOOKUP(A163,Constants!D:D,1,false)</f>
        <v>joule-inverse meter relationship</v>
      </c>
    </row>
    <row r="164">
      <c r="A164" s="6" t="s">
        <v>1363</v>
      </c>
      <c r="B164" s="6" t="s">
        <v>3955</v>
      </c>
      <c r="C164" s="6" t="s">
        <v>3956</v>
      </c>
      <c r="D164" s="6" t="s">
        <v>618</v>
      </c>
      <c r="E164" s="42">
        <f>countif(Constants!F:F,F164)</f>
        <v>1</v>
      </c>
      <c r="F164" s="21" t="str">
        <f>ifna(VLOOKUP($A164,Constants!$D:$F,3,false),"")</f>
        <v>JouleKelvinRelationship</v>
      </c>
      <c r="G164" s="43" t="str">
        <f t="shared" si="1"/>
        <v>7.2429716e22</v>
      </c>
      <c r="H164" s="43">
        <f t="shared" si="2"/>
        <v>7.24297E+22</v>
      </c>
      <c r="I164" s="43" t="str">
        <f t="shared" si="3"/>
        <v>0.0000066e22</v>
      </c>
      <c r="J164" s="43">
        <f t="shared" si="4"/>
        <v>6.6E+16</v>
      </c>
      <c r="K164" s="43" t="b">
        <f t="shared" si="5"/>
        <v>0</v>
      </c>
      <c r="L164" s="21" t="str">
        <f>IFERROR(__xludf.DUMMYFUNCTION("if(regexmatch(B164,""e(.*)$""),regexextract(B164,""e(.*)$""),"""")"),"22")</f>
        <v>22</v>
      </c>
      <c r="M164" s="21"/>
      <c r="N164" s="45">
        <f>countif(Constants!F:F,F164)</f>
        <v>1</v>
      </c>
      <c r="O164" s="21" t="str">
        <f>VLOOKUP(A164,Constants!D:D,1,false)</f>
        <v>joule-kelvin relationship</v>
      </c>
    </row>
    <row r="165">
      <c r="A165" s="6" t="s">
        <v>1368</v>
      </c>
      <c r="B165" s="6" t="s">
        <v>2992</v>
      </c>
      <c r="C165" s="6" t="s">
        <v>2261</v>
      </c>
      <c r="D165" s="6" t="s">
        <v>538</v>
      </c>
      <c r="E165" s="42">
        <f>countif(Constants!F:F,F165)</f>
        <v>1</v>
      </c>
      <c r="F165" s="21" t="str">
        <f>ifna(VLOOKUP($A165,Constants!$D:$F,3,false),"")</f>
        <v>JouleKilogramRelationship</v>
      </c>
      <c r="G165" s="43" t="str">
        <f t="shared" si="1"/>
        <v>1.112650056e-17</v>
      </c>
      <c r="H165" s="43">
        <f t="shared" si="2"/>
        <v>0</v>
      </c>
      <c r="I165" s="43" t="str">
        <f t="shared" si="3"/>
        <v>(exact)</v>
      </c>
      <c r="J165" s="43" t="str">
        <f t="shared" si="4"/>
        <v/>
      </c>
      <c r="K165" s="43" t="b">
        <f t="shared" si="5"/>
        <v>1</v>
      </c>
      <c r="L165" s="21" t="str">
        <f>IFERROR(__xludf.DUMMYFUNCTION("if(regexmatch(B165,""e(.*)$""),regexextract(B165,""e(.*)$""),"""")"),"-17")</f>
        <v>-17</v>
      </c>
      <c r="M165" s="21"/>
      <c r="N165" s="45">
        <f>countif(Constants!F:F,F165)</f>
        <v>1</v>
      </c>
      <c r="O165" s="21" t="str">
        <f>VLOOKUP(A165,Constants!D:D,1,false)</f>
        <v>joule-kilogram relationship</v>
      </c>
    </row>
    <row r="166">
      <c r="A166" s="6" t="s">
        <v>1373</v>
      </c>
      <c r="B166" s="6" t="s">
        <v>3957</v>
      </c>
      <c r="C166" s="6" t="s">
        <v>3958</v>
      </c>
      <c r="D166" s="6" t="s">
        <v>553</v>
      </c>
      <c r="E166" s="42">
        <f>countif(Constants!F:F,F166)</f>
        <v>1</v>
      </c>
      <c r="F166" s="21" t="str">
        <f>ifna(VLOOKUP($A166,Constants!$D:$F,3,false),"")</f>
        <v>KelvinAtomicMassUnitRelationship</v>
      </c>
      <c r="G166" s="43" t="str">
        <f t="shared" si="1"/>
        <v>9.2510868e-14</v>
      </c>
      <c r="H166" s="43">
        <f t="shared" si="2"/>
        <v>0</v>
      </c>
      <c r="I166" s="43" t="str">
        <f t="shared" si="3"/>
        <v>0.0000084e-14</v>
      </c>
      <c r="J166" s="43">
        <f t="shared" si="4"/>
        <v>0</v>
      </c>
      <c r="K166" s="43" t="b">
        <f t="shared" si="5"/>
        <v>0</v>
      </c>
      <c r="L166" s="21" t="str">
        <f>IFERROR(__xludf.DUMMYFUNCTION("if(regexmatch(B166,""e(.*)$""),regexextract(B166,""e(.*)$""),"""")"),"-14")</f>
        <v>-14</v>
      </c>
      <c r="M166" s="21"/>
      <c r="N166" s="45">
        <f>countif(Constants!F:F,F166)</f>
        <v>1</v>
      </c>
      <c r="O166" s="21" t="str">
        <f>VLOOKUP(A166,Constants!D:D,1,false)</f>
        <v>kelvin-atomic mass unit relationship</v>
      </c>
    </row>
    <row r="167">
      <c r="A167" s="6" t="s">
        <v>1379</v>
      </c>
      <c r="B167" s="6" t="s">
        <v>3792</v>
      </c>
      <c r="C167" s="6" t="s">
        <v>3793</v>
      </c>
      <c r="D167" s="6" t="s">
        <v>175</v>
      </c>
      <c r="E167" s="42">
        <f>countif(Constants!F:F,F167)</f>
        <v>1</v>
      </c>
      <c r="F167" s="21" t="str">
        <f>ifna(VLOOKUP($A167,Constants!$D:$F,3,false),"")</f>
        <v>KelvinElectronVoltRelationship</v>
      </c>
      <c r="G167" s="43" t="str">
        <f t="shared" si="1"/>
        <v>8.6173324e-5</v>
      </c>
      <c r="H167" s="43">
        <f t="shared" si="2"/>
        <v>0.000086173324</v>
      </c>
      <c r="I167" s="43" t="str">
        <f t="shared" si="3"/>
        <v>0.0000078e-5</v>
      </c>
      <c r="J167" s="43">
        <f t="shared" si="4"/>
        <v>0</v>
      </c>
      <c r="K167" s="43" t="b">
        <f t="shared" si="5"/>
        <v>0</v>
      </c>
      <c r="L167" s="21" t="str">
        <f>IFERROR(__xludf.DUMMYFUNCTION("if(regexmatch(B167,""e(.*)$""),regexextract(B167,""e(.*)$""),"""")"),"-5")</f>
        <v>-5</v>
      </c>
      <c r="M167" s="21"/>
      <c r="N167" s="45">
        <f>countif(Constants!F:F,F167)</f>
        <v>1</v>
      </c>
      <c r="O167" s="21" t="str">
        <f>VLOOKUP(A167,Constants!D:D,1,false)</f>
        <v>kelvin-electron volt relationship</v>
      </c>
    </row>
    <row r="168">
      <c r="A168" s="6" t="s">
        <v>1384</v>
      </c>
      <c r="B168" s="6" t="s">
        <v>3959</v>
      </c>
      <c r="C168" s="6" t="s">
        <v>3960</v>
      </c>
      <c r="D168" s="6" t="s">
        <v>593</v>
      </c>
      <c r="E168" s="42">
        <f>countif(Constants!F:F,F168)</f>
        <v>1</v>
      </c>
      <c r="F168" s="21" t="str">
        <f>ifna(VLOOKUP($A168,Constants!$D:$F,3,false),"")</f>
        <v>KelvinHartreeRelationship</v>
      </c>
      <c r="G168" s="43" t="str">
        <f t="shared" si="1"/>
        <v>3.1668114e-6</v>
      </c>
      <c r="H168" s="43">
        <f t="shared" si="2"/>
        <v>0.0000031668114</v>
      </c>
      <c r="I168" s="43" t="str">
        <f t="shared" si="3"/>
        <v>0.0000029e-6</v>
      </c>
      <c r="J168" s="43">
        <f t="shared" si="4"/>
        <v>0</v>
      </c>
      <c r="K168" s="43" t="b">
        <f t="shared" si="5"/>
        <v>0</v>
      </c>
      <c r="L168" s="21" t="str">
        <f>IFERROR(__xludf.DUMMYFUNCTION("if(regexmatch(B168,""e(.*)$""),regexextract(B168,""e(.*)$""),"""")"),"-6")</f>
        <v>-6</v>
      </c>
      <c r="M168" s="21"/>
      <c r="N168" s="45">
        <f>countif(Constants!F:F,F168)</f>
        <v>1</v>
      </c>
      <c r="O168" s="21" t="str">
        <f>VLOOKUP(A168,Constants!D:D,1,false)</f>
        <v>kelvin-hartree relationship</v>
      </c>
    </row>
    <row r="169">
      <c r="A169" s="6" t="s">
        <v>1389</v>
      </c>
      <c r="B169" s="6" t="s">
        <v>3794</v>
      </c>
      <c r="C169" s="6" t="s">
        <v>3795</v>
      </c>
      <c r="D169" s="6" t="s">
        <v>600</v>
      </c>
      <c r="E169" s="42">
        <f>countif(Constants!F:F,F169)</f>
        <v>1</v>
      </c>
      <c r="F169" s="21" t="str">
        <f>ifna(VLOOKUP($A169,Constants!$D:$F,3,false),"")</f>
        <v>KelvinHertzRelationship</v>
      </c>
      <c r="G169" s="43" t="str">
        <f t="shared" si="1"/>
        <v>2.0836618e10</v>
      </c>
      <c r="H169" s="43">
        <f t="shared" si="2"/>
        <v>20836618000</v>
      </c>
      <c r="I169" s="43" t="str">
        <f t="shared" si="3"/>
        <v>0.0000019e10</v>
      </c>
      <c r="J169" s="43">
        <f t="shared" si="4"/>
        <v>19000</v>
      </c>
      <c r="K169" s="43" t="b">
        <f t="shared" si="5"/>
        <v>0</v>
      </c>
      <c r="L169" s="21" t="str">
        <f>IFERROR(__xludf.DUMMYFUNCTION("if(regexmatch(B169,""e(.*)$""),regexextract(B169,""e(.*)$""),"""")"),"10")</f>
        <v>10</v>
      </c>
      <c r="M169" s="21"/>
      <c r="N169" s="45">
        <f>countif(Constants!F:F,F169)</f>
        <v>1</v>
      </c>
      <c r="O169" s="21" t="str">
        <f>VLOOKUP(A169,Constants!D:D,1,false)</f>
        <v>kelvin-hertz relationship</v>
      </c>
    </row>
    <row r="170">
      <c r="A170" s="6" t="s">
        <v>1394</v>
      </c>
      <c r="B170" s="6" t="s">
        <v>3796</v>
      </c>
      <c r="C170" s="6" t="s">
        <v>3797</v>
      </c>
      <c r="D170" s="6" t="s">
        <v>606</v>
      </c>
      <c r="E170" s="42">
        <f>countif(Constants!F:F,F170)</f>
        <v>1</v>
      </c>
      <c r="F170" s="21" t="str">
        <f>ifna(VLOOKUP($A170,Constants!$D:$F,3,false),"")</f>
        <v>KelvinInverseMeterRelationship</v>
      </c>
      <c r="G170" s="43" t="str">
        <f t="shared" si="1"/>
        <v>69.503476</v>
      </c>
      <c r="H170" s="43">
        <f t="shared" si="2"/>
        <v>69.503476</v>
      </c>
      <c r="I170" s="43" t="str">
        <f t="shared" si="3"/>
        <v>0.000063</v>
      </c>
      <c r="J170" s="43">
        <f t="shared" si="4"/>
        <v>0.000063</v>
      </c>
      <c r="K170" s="43" t="b">
        <f t="shared" si="5"/>
        <v>0</v>
      </c>
      <c r="L170" s="21" t="str">
        <f>IFERROR(__xludf.DUMMYFUNCTION("if(regexmatch(B170,""e(.*)$""),regexextract(B170,""e(.*)$""),"""")"),"")</f>
        <v/>
      </c>
      <c r="M170" s="21"/>
      <c r="N170" s="45">
        <f>countif(Constants!F:F,F170)</f>
        <v>1</v>
      </c>
      <c r="O170" s="21" t="str">
        <f>VLOOKUP(A170,Constants!D:D,1,false)</f>
        <v>kelvin-inverse meter relationship</v>
      </c>
    </row>
    <row r="171">
      <c r="A171" s="6" t="s">
        <v>1399</v>
      </c>
      <c r="B171" s="6" t="s">
        <v>3790</v>
      </c>
      <c r="C171" s="6" t="s">
        <v>3791</v>
      </c>
      <c r="D171" s="6" t="s">
        <v>543</v>
      </c>
      <c r="E171" s="42">
        <f>countif(Constants!F:F,F171)</f>
        <v>1</v>
      </c>
      <c r="F171" s="21" t="str">
        <f>ifna(VLOOKUP($A171,Constants!$D:$F,3,false),"")</f>
        <v>KelvinJouleRelationship</v>
      </c>
      <c r="G171" s="43" t="str">
        <f t="shared" si="1"/>
        <v>1.3806488e-23</v>
      </c>
      <c r="H171" s="43">
        <f t="shared" si="2"/>
        <v>0</v>
      </c>
      <c r="I171" s="43" t="str">
        <f t="shared" si="3"/>
        <v>0.0000013e-23</v>
      </c>
      <c r="J171" s="43">
        <f t="shared" si="4"/>
        <v>0</v>
      </c>
      <c r="K171" s="43" t="b">
        <f t="shared" si="5"/>
        <v>0</v>
      </c>
      <c r="L171" s="21" t="str">
        <f>IFERROR(__xludf.DUMMYFUNCTION("if(regexmatch(B171,""e(.*)$""),regexextract(B171,""e(.*)$""),"""")"),"-23")</f>
        <v>-23</v>
      </c>
      <c r="M171" s="21"/>
      <c r="N171" s="45">
        <f>countif(Constants!F:F,F171)</f>
        <v>1</v>
      </c>
      <c r="O171" s="21" t="str">
        <f>VLOOKUP(A171,Constants!D:D,1,false)</f>
        <v>kelvin-joule relationship</v>
      </c>
    </row>
    <row r="172">
      <c r="A172" s="6" t="s">
        <v>1404</v>
      </c>
      <c r="B172" s="6" t="s">
        <v>3961</v>
      </c>
      <c r="C172" s="6" t="s">
        <v>3962</v>
      </c>
      <c r="D172" s="6" t="s">
        <v>538</v>
      </c>
      <c r="E172" s="42">
        <f>countif(Constants!F:F,F172)</f>
        <v>1</v>
      </c>
      <c r="F172" s="21" t="str">
        <f>ifna(VLOOKUP($A172,Constants!$D:$F,3,false),"")</f>
        <v>KelvinKilogramRelationship</v>
      </c>
      <c r="G172" s="43" t="str">
        <f t="shared" si="1"/>
        <v>1.5361790e-40</v>
      </c>
      <c r="H172" s="43">
        <f t="shared" si="2"/>
        <v>0</v>
      </c>
      <c r="I172" s="43" t="str">
        <f t="shared" si="3"/>
        <v>0.0000014e-40</v>
      </c>
      <c r="J172" s="43">
        <f t="shared" si="4"/>
        <v>0</v>
      </c>
      <c r="K172" s="43" t="b">
        <f t="shared" si="5"/>
        <v>0</v>
      </c>
      <c r="L172" s="21" t="str">
        <f>IFERROR(__xludf.DUMMYFUNCTION("if(regexmatch(B172,""e(.*)$""),regexextract(B172,""e(.*)$""),"""")"),"-40")</f>
        <v>-40</v>
      </c>
      <c r="M172" s="21"/>
      <c r="N172" s="45">
        <f>countif(Constants!F:F,F172)</f>
        <v>1</v>
      </c>
      <c r="O172" s="21" t="str">
        <f>VLOOKUP(A172,Constants!D:D,1,false)</f>
        <v>kelvin-kilogram relationship</v>
      </c>
    </row>
    <row r="173">
      <c r="A173" s="6" t="s">
        <v>1409</v>
      </c>
      <c r="B173" s="6" t="s">
        <v>3963</v>
      </c>
      <c r="C173" s="6" t="s">
        <v>3964</v>
      </c>
      <c r="D173" s="6" t="s">
        <v>553</v>
      </c>
      <c r="E173" s="42">
        <f>countif(Constants!F:F,F173)</f>
        <v>1</v>
      </c>
      <c r="F173" s="21" t="str">
        <f>ifna(VLOOKUP($A173,Constants!$D:$F,3,false),"")</f>
        <v>KilogramAtomicMassUnitRelationship</v>
      </c>
      <c r="G173" s="43" t="str">
        <f t="shared" si="1"/>
        <v>6.02214129e26</v>
      </c>
      <c r="H173" s="43">
        <f t="shared" si="2"/>
        <v>6.02214E+26</v>
      </c>
      <c r="I173" s="43" t="str">
        <f t="shared" si="3"/>
        <v>0.00000027e26</v>
      </c>
      <c r="J173" s="43">
        <f t="shared" si="4"/>
        <v>2.7E+19</v>
      </c>
      <c r="K173" s="43" t="b">
        <f t="shared" si="5"/>
        <v>0</v>
      </c>
      <c r="L173" s="21" t="str">
        <f>IFERROR(__xludf.DUMMYFUNCTION("if(regexmatch(B173,""e(.*)$""),regexextract(B173,""e(.*)$""),"""")"),"26")</f>
        <v>26</v>
      </c>
      <c r="M173" s="21"/>
      <c r="N173" s="45">
        <f>countif(Constants!F:F,F173)</f>
        <v>1</v>
      </c>
      <c r="O173" s="21" t="str">
        <f>VLOOKUP(A173,Constants!D:D,1,false)</f>
        <v>kilogram-atomic mass unit relationship</v>
      </c>
    </row>
    <row r="174">
      <c r="A174" s="6" t="s">
        <v>1415</v>
      </c>
      <c r="B174" s="6" t="s">
        <v>3965</v>
      </c>
      <c r="C174" s="6" t="s">
        <v>3966</v>
      </c>
      <c r="D174" s="6" t="s">
        <v>175</v>
      </c>
      <c r="E174" s="42">
        <f>countif(Constants!F:F,F174)</f>
        <v>1</v>
      </c>
      <c r="F174" s="21" t="str">
        <f>ifna(VLOOKUP($A174,Constants!$D:$F,3,false),"")</f>
        <v>KilogramElectronVoltRelationship</v>
      </c>
      <c r="G174" s="43" t="str">
        <f t="shared" si="1"/>
        <v>5.60958885e35</v>
      </c>
      <c r="H174" s="43">
        <f t="shared" si="2"/>
        <v>5.60959E+35</v>
      </c>
      <c r="I174" s="43" t="str">
        <f t="shared" si="3"/>
        <v>0.00000012e35</v>
      </c>
      <c r="J174" s="43">
        <f t="shared" si="4"/>
        <v>1.2E+28</v>
      </c>
      <c r="K174" s="43" t="b">
        <f t="shared" si="5"/>
        <v>0</v>
      </c>
      <c r="L174" s="21" t="str">
        <f>IFERROR(__xludf.DUMMYFUNCTION("if(regexmatch(B174,""e(.*)$""),regexextract(B174,""e(.*)$""),"""")"),"35")</f>
        <v>35</v>
      </c>
      <c r="M174" s="21"/>
      <c r="N174" s="45">
        <f>countif(Constants!F:F,F174)</f>
        <v>1</v>
      </c>
      <c r="O174" s="21" t="str">
        <f>VLOOKUP(A174,Constants!D:D,1,false)</f>
        <v>kilogram-electron volt relationship</v>
      </c>
    </row>
    <row r="175">
      <c r="A175" s="6" t="s">
        <v>1420</v>
      </c>
      <c r="B175" s="6" t="s">
        <v>3967</v>
      </c>
      <c r="C175" s="6" t="s">
        <v>3968</v>
      </c>
      <c r="D175" s="6" t="s">
        <v>593</v>
      </c>
      <c r="E175" s="42">
        <f>countif(Constants!F:F,F175)</f>
        <v>1</v>
      </c>
      <c r="F175" s="21" t="str">
        <f>ifna(VLOOKUP($A175,Constants!$D:$F,3,false),"")</f>
        <v>KilogramHartreeRelationship</v>
      </c>
      <c r="G175" s="43" t="str">
        <f t="shared" si="1"/>
        <v>2.061485968e34</v>
      </c>
      <c r="H175" s="43">
        <f t="shared" si="2"/>
        <v>2.06149E+34</v>
      </c>
      <c r="I175" s="43" t="str">
        <f t="shared" si="3"/>
        <v>0.000000091e34</v>
      </c>
      <c r="J175" s="43">
        <f t="shared" si="4"/>
        <v>9.1E+26</v>
      </c>
      <c r="K175" s="43" t="b">
        <f t="shared" si="5"/>
        <v>0</v>
      </c>
      <c r="L175" s="21" t="str">
        <f>IFERROR(__xludf.DUMMYFUNCTION("if(regexmatch(B175,""e(.*)$""),regexextract(B175,""e(.*)$""),"""")"),"34")</f>
        <v>34</v>
      </c>
      <c r="M175" s="21"/>
      <c r="N175" s="45">
        <f>countif(Constants!F:F,F175)</f>
        <v>1</v>
      </c>
      <c r="O175" s="21" t="str">
        <f>VLOOKUP(A175,Constants!D:D,1,false)</f>
        <v>kilogram-hartree relationship</v>
      </c>
    </row>
    <row r="176">
      <c r="A176" s="6" t="s">
        <v>1425</v>
      </c>
      <c r="B176" s="6" t="s">
        <v>3969</v>
      </c>
      <c r="C176" s="6" t="s">
        <v>3970</v>
      </c>
      <c r="D176" s="6" t="s">
        <v>600</v>
      </c>
      <c r="E176" s="42">
        <f>countif(Constants!F:F,F176)</f>
        <v>1</v>
      </c>
      <c r="F176" s="21" t="str">
        <f>ifna(VLOOKUP($A176,Constants!$D:$F,3,false),"")</f>
        <v>KilogramHertzRelationship</v>
      </c>
      <c r="G176" s="43" t="str">
        <f t="shared" si="1"/>
        <v>1.356392608e50</v>
      </c>
      <c r="H176" s="43">
        <f t="shared" si="2"/>
        <v>1.35639E+50</v>
      </c>
      <c r="I176" s="43" t="str">
        <f t="shared" si="3"/>
        <v>0.000000060e50</v>
      </c>
      <c r="J176" s="43">
        <f t="shared" si="4"/>
        <v>6E+42</v>
      </c>
      <c r="K176" s="43" t="b">
        <f t="shared" si="5"/>
        <v>0</v>
      </c>
      <c r="L176" s="21" t="str">
        <f>IFERROR(__xludf.DUMMYFUNCTION("if(regexmatch(B176,""e(.*)$""),regexextract(B176,""e(.*)$""),"""")"),"50")</f>
        <v>50</v>
      </c>
      <c r="M176" s="21"/>
      <c r="N176" s="45">
        <f>countif(Constants!F:F,F176)</f>
        <v>1</v>
      </c>
      <c r="O176" s="21" t="str">
        <f>VLOOKUP(A176,Constants!D:D,1,false)</f>
        <v>kilogram-hertz relationship</v>
      </c>
    </row>
    <row r="177">
      <c r="A177" s="6" t="s">
        <v>1430</v>
      </c>
      <c r="B177" s="6" t="s">
        <v>3971</v>
      </c>
      <c r="C177" s="6" t="s">
        <v>3972</v>
      </c>
      <c r="D177" s="6" t="s">
        <v>606</v>
      </c>
      <c r="E177" s="42">
        <f>countif(Constants!F:F,F177)</f>
        <v>1</v>
      </c>
      <c r="F177" s="21" t="str">
        <f>ifna(VLOOKUP($A177,Constants!$D:$F,3,false),"")</f>
        <v>KilogramInverseMeterRelationship</v>
      </c>
      <c r="G177" s="43" t="str">
        <f t="shared" si="1"/>
        <v>4.52443873e41</v>
      </c>
      <c r="H177" s="43">
        <f t="shared" si="2"/>
        <v>4.52444E+41</v>
      </c>
      <c r="I177" s="43" t="str">
        <f t="shared" si="3"/>
        <v>0.00000020e41</v>
      </c>
      <c r="J177" s="43">
        <f t="shared" si="4"/>
        <v>2E+34</v>
      </c>
      <c r="K177" s="43" t="b">
        <f t="shared" si="5"/>
        <v>0</v>
      </c>
      <c r="L177" s="21" t="str">
        <f>IFERROR(__xludf.DUMMYFUNCTION("if(regexmatch(B177,""e(.*)$""),regexextract(B177,""e(.*)$""),"""")"),"41")</f>
        <v>41</v>
      </c>
      <c r="M177" s="21"/>
      <c r="N177" s="45">
        <f>countif(Constants!F:F,F177)</f>
        <v>1</v>
      </c>
      <c r="O177" s="21" t="str">
        <f>VLOOKUP(A177,Constants!D:D,1,false)</f>
        <v>kilogram-inverse meter relationship</v>
      </c>
    </row>
    <row r="178">
      <c r="A178" s="6" t="s">
        <v>1435</v>
      </c>
      <c r="B178" s="6" t="s">
        <v>3005</v>
      </c>
      <c r="C178" s="6" t="s">
        <v>2261</v>
      </c>
      <c r="D178" s="6" t="s">
        <v>543</v>
      </c>
      <c r="E178" s="42">
        <f>countif(Constants!F:F,F178)</f>
        <v>1</v>
      </c>
      <c r="F178" s="21" t="str">
        <f>ifna(VLOOKUP($A178,Constants!$D:$F,3,false),"")</f>
        <v>KilogramJouleRelationship</v>
      </c>
      <c r="G178" s="43" t="str">
        <f t="shared" si="1"/>
        <v>8.987551787e16</v>
      </c>
      <c r="H178" s="43">
        <f t="shared" si="2"/>
        <v>8.98755E+16</v>
      </c>
      <c r="I178" s="43" t="str">
        <f t="shared" si="3"/>
        <v>(exact)</v>
      </c>
      <c r="J178" s="43" t="str">
        <f t="shared" si="4"/>
        <v/>
      </c>
      <c r="K178" s="43" t="b">
        <f t="shared" si="5"/>
        <v>1</v>
      </c>
      <c r="L178" s="21" t="str">
        <f>IFERROR(__xludf.DUMMYFUNCTION("if(regexmatch(B178,""e(.*)$""),regexextract(B178,""e(.*)$""),"""")"),"16")</f>
        <v>16</v>
      </c>
      <c r="M178" s="21"/>
      <c r="N178" s="45">
        <f>countif(Constants!F:F,F178)</f>
        <v>1</v>
      </c>
      <c r="O178" s="21" t="str">
        <f>VLOOKUP(A178,Constants!D:D,1,false)</f>
        <v>kilogram-joule relationship</v>
      </c>
    </row>
    <row r="179">
      <c r="A179" s="6" t="s">
        <v>1440</v>
      </c>
      <c r="B179" s="6" t="s">
        <v>3973</v>
      </c>
      <c r="C179" s="6" t="s">
        <v>3974</v>
      </c>
      <c r="D179" s="6" t="s">
        <v>618</v>
      </c>
      <c r="E179" s="42">
        <f>countif(Constants!F:F,F179)</f>
        <v>1</v>
      </c>
      <c r="F179" s="21" t="str">
        <f>ifna(VLOOKUP($A179,Constants!$D:$F,3,false),"")</f>
        <v>KilogramKelvinRelationship</v>
      </c>
      <c r="G179" s="43" t="str">
        <f t="shared" si="1"/>
        <v>6.5096582e39</v>
      </c>
      <c r="H179" s="43">
        <f t="shared" si="2"/>
        <v>6.50966E+39</v>
      </c>
      <c r="I179" s="43" t="str">
        <f t="shared" si="3"/>
        <v>0.0000059e39</v>
      </c>
      <c r="J179" s="43">
        <f t="shared" si="4"/>
        <v>5.9E+33</v>
      </c>
      <c r="K179" s="43" t="b">
        <f t="shared" si="5"/>
        <v>0</v>
      </c>
      <c r="L179" s="21" t="str">
        <f>IFERROR(__xludf.DUMMYFUNCTION("if(regexmatch(B179,""e(.*)$""),regexextract(B179,""e(.*)$""),"""")"),"39")</f>
        <v>39</v>
      </c>
      <c r="M179" s="21"/>
      <c r="N179" s="45">
        <f>countif(Constants!F:F,F179)</f>
        <v>1</v>
      </c>
      <c r="O179" s="21" t="str">
        <f>VLOOKUP(A179,Constants!D:D,1,false)</f>
        <v>kilogram-kelvin relationship</v>
      </c>
    </row>
    <row r="180">
      <c r="A180" s="6" t="s">
        <v>1445</v>
      </c>
      <c r="B180" s="6" t="s">
        <v>3480</v>
      </c>
      <c r="C180" s="6" t="s">
        <v>3481</v>
      </c>
      <c r="D180" s="6" t="s">
        <v>571</v>
      </c>
      <c r="E180" s="42">
        <f>countif(Constants!F:F,F180)</f>
        <v>1</v>
      </c>
      <c r="F180" s="21" t="str">
        <f>ifna(VLOOKUP($A180,Constants!$D:$F,3,false),"")</f>
        <v>LatticeParameterOfSilicon</v>
      </c>
      <c r="G180" s="43" t="str">
        <f t="shared" si="1"/>
        <v>543.1020504e-12</v>
      </c>
      <c r="H180" s="43">
        <f t="shared" si="2"/>
        <v>0.0000000005431020504</v>
      </c>
      <c r="I180" s="43" t="str">
        <f t="shared" si="3"/>
        <v>0.0000089e-12</v>
      </c>
      <c r="J180" s="43">
        <f t="shared" si="4"/>
        <v>0</v>
      </c>
      <c r="K180" s="43" t="b">
        <f t="shared" si="5"/>
        <v>0</v>
      </c>
      <c r="L180" s="21" t="str">
        <f>IFERROR(__xludf.DUMMYFUNCTION("if(regexmatch(B180,""e(.*)$""),regexextract(B180,""e(.*)$""),"""")"),"-12")</f>
        <v>-12</v>
      </c>
      <c r="M180" s="21"/>
      <c r="N180" s="45">
        <f>countif(Constants!F:F,F180)</f>
        <v>1</v>
      </c>
      <c r="O180" s="21" t="str">
        <f>VLOOKUP(A180,Constants!D:D,1,false)</f>
        <v>lattice parameter of silicon</v>
      </c>
    </row>
    <row r="181">
      <c r="A181" s="6" t="s">
        <v>1453</v>
      </c>
      <c r="B181" s="6" t="s">
        <v>3975</v>
      </c>
      <c r="C181" s="6" t="s">
        <v>3976</v>
      </c>
      <c r="D181" s="6" t="s">
        <v>1454</v>
      </c>
      <c r="E181" s="42">
        <f>countif(Constants!F:F,F181)</f>
        <v>1</v>
      </c>
      <c r="F181" s="21" t="str">
        <f>ifna(VLOOKUP($A181,Constants!$D:$F,3,false),"")</f>
        <v>LoschmidtConstant</v>
      </c>
      <c r="G181" s="43" t="str">
        <f t="shared" si="1"/>
        <v>2.6516462e25</v>
      </c>
      <c r="H181" s="43">
        <f t="shared" si="2"/>
        <v>2.65165E+25</v>
      </c>
      <c r="I181" s="43" t="str">
        <f t="shared" si="3"/>
        <v>0.0000024e25</v>
      </c>
      <c r="J181" s="43">
        <f t="shared" si="4"/>
        <v>2.4E+19</v>
      </c>
      <c r="K181" s="43" t="b">
        <f t="shared" si="5"/>
        <v>0</v>
      </c>
      <c r="L181" s="21" t="str">
        <f>IFERROR(__xludf.DUMMYFUNCTION("if(regexmatch(B181,""e(.*)$""),regexextract(B181,""e(.*)$""),"""")"),"25")</f>
        <v>25</v>
      </c>
      <c r="M181" s="21"/>
      <c r="N181" s="45">
        <f>countif(Constants!F:F,F181)</f>
        <v>1</v>
      </c>
      <c r="O181" s="21" t="str">
        <f>VLOOKUP(A181,Constants!D:D,1,false)</f>
        <v>Loschmidt constant (273.15 K, 100 kPa)</v>
      </c>
    </row>
    <row r="182">
      <c r="A182" s="6" t="s">
        <v>1458</v>
      </c>
      <c r="B182" s="6" t="s">
        <v>3977</v>
      </c>
      <c r="C182" s="6" t="s">
        <v>3976</v>
      </c>
      <c r="D182" s="6" t="s">
        <v>1454</v>
      </c>
      <c r="E182" s="42">
        <f>countif(Constants!F:F,F182)</f>
        <v>1</v>
      </c>
      <c r="F182" s="21" t="str">
        <f>ifna(VLOOKUP($A182,Constants!$D:$F,3,false),"")</f>
        <v>LoschmidtConstant273K101Kpa</v>
      </c>
      <c r="G182" s="43" t="str">
        <f t="shared" si="1"/>
        <v>2.6867805e25</v>
      </c>
      <c r="H182" s="43">
        <f t="shared" si="2"/>
        <v>2.68678E+25</v>
      </c>
      <c r="I182" s="43" t="str">
        <f t="shared" si="3"/>
        <v>0.0000024e25</v>
      </c>
      <c r="J182" s="43">
        <f t="shared" si="4"/>
        <v>2.4E+19</v>
      </c>
      <c r="K182" s="43" t="b">
        <f t="shared" si="5"/>
        <v>0</v>
      </c>
      <c r="L182" s="21" t="str">
        <f>IFERROR(__xludf.DUMMYFUNCTION("if(regexmatch(B182,""e(.*)$""),regexextract(B182,""e(.*)$""),"""")"),"25")</f>
        <v>25</v>
      </c>
      <c r="M182" s="21"/>
      <c r="N182" s="45">
        <f>countif(Constants!F:F,F182)</f>
        <v>1</v>
      </c>
      <c r="O182" s="21" t="str">
        <f>VLOOKUP(A182,Constants!D:D,1,false)</f>
        <v>Loschmidt constant (273.15 K, 101.325 kPa)</v>
      </c>
    </row>
    <row r="183">
      <c r="A183" s="6" t="s">
        <v>3485</v>
      </c>
      <c r="B183" s="6" t="s">
        <v>3486</v>
      </c>
      <c r="C183" s="6" t="s">
        <v>2261</v>
      </c>
      <c r="D183" s="6" t="s">
        <v>2182</v>
      </c>
      <c r="E183" s="42">
        <f>countif(Constants!F:F,F183)</f>
        <v>1</v>
      </c>
      <c r="F183" s="6" t="s">
        <v>382</v>
      </c>
      <c r="G183" s="43" t="str">
        <f t="shared" si="1"/>
        <v>12.566370614e-7</v>
      </c>
      <c r="H183" s="43">
        <f t="shared" si="2"/>
        <v>0.000001256637061</v>
      </c>
      <c r="I183" s="43" t="str">
        <f t="shared" si="3"/>
        <v>(exact)</v>
      </c>
      <c r="J183" s="43" t="str">
        <f t="shared" si="4"/>
        <v/>
      </c>
      <c r="K183" s="43" t="b">
        <f t="shared" si="5"/>
        <v>1</v>
      </c>
      <c r="L183" s="21" t="str">
        <f>IFERROR(__xludf.DUMMYFUNCTION("if(regexmatch(B183,""e(.*)$""),regexextract(B183,""e(.*)$""),"""")"),"-7")</f>
        <v>-7</v>
      </c>
      <c r="M183" s="21"/>
      <c r="N183" s="45">
        <f>countif(Constants!F:F,F183)</f>
        <v>1</v>
      </c>
      <c r="O183" s="21" t="str">
        <f>VLOOKUP(A183,Constants!D:D,1,false)</f>
        <v>#N/A</v>
      </c>
    </row>
    <row r="184">
      <c r="A184" s="6" t="s">
        <v>1467</v>
      </c>
      <c r="B184" s="6" t="s">
        <v>3978</v>
      </c>
      <c r="C184" s="6" t="s">
        <v>3979</v>
      </c>
      <c r="D184" s="6" t="s">
        <v>1468</v>
      </c>
      <c r="E184" s="42">
        <f>countif(Constants!F:F,F184)</f>
        <v>1</v>
      </c>
      <c r="F184" s="21" t="str">
        <f>ifna(VLOOKUP($A184,Constants!$D:$F,3,false),"")</f>
        <v>MagneticFluxQuantum</v>
      </c>
      <c r="G184" s="43" t="str">
        <f t="shared" si="1"/>
        <v>2.067833758e-15</v>
      </c>
      <c r="H184" s="43">
        <f t="shared" si="2"/>
        <v>0</v>
      </c>
      <c r="I184" s="43" t="str">
        <f t="shared" si="3"/>
        <v>0.000000046e-15</v>
      </c>
      <c r="J184" s="43">
        <f t="shared" si="4"/>
        <v>0</v>
      </c>
      <c r="K184" s="43" t="b">
        <f t="shared" si="5"/>
        <v>0</v>
      </c>
      <c r="L184" s="21" t="str">
        <f>IFERROR(__xludf.DUMMYFUNCTION("if(regexmatch(B184,""e(.*)$""),regexextract(B184,""e(.*)$""),"""")"),"-15")</f>
        <v>-15</v>
      </c>
      <c r="M184" s="21"/>
      <c r="N184" s="45">
        <f>countif(Constants!F:F,F184)</f>
        <v>1</v>
      </c>
      <c r="O184" s="21" t="str">
        <f>VLOOKUP(A184,Constants!D:D,1,false)</f>
        <v>mag. flux quantum</v>
      </c>
    </row>
    <row r="185">
      <c r="A185" s="6" t="s">
        <v>1473</v>
      </c>
      <c r="B185" s="6" t="s">
        <v>3980</v>
      </c>
      <c r="C185" s="6" t="s">
        <v>3981</v>
      </c>
      <c r="D185" s="6" t="s">
        <v>1474</v>
      </c>
      <c r="E185" s="42">
        <f>countif(Constants!F:F,F185)</f>
        <v>1</v>
      </c>
      <c r="F185" s="21" t="str">
        <f>ifna(VLOOKUP($A185,Constants!$D:$F,3,false),"")</f>
        <v>MolarGasConstant</v>
      </c>
      <c r="G185" s="43" t="str">
        <f t="shared" si="1"/>
        <v>8.3144621</v>
      </c>
      <c r="H185" s="43">
        <f t="shared" si="2"/>
        <v>8.3144621</v>
      </c>
      <c r="I185" s="43" t="str">
        <f t="shared" si="3"/>
        <v>0.0000075</v>
      </c>
      <c r="J185" s="43">
        <f t="shared" si="4"/>
        <v>0.0000075</v>
      </c>
      <c r="K185" s="43" t="b">
        <f t="shared" si="5"/>
        <v>0</v>
      </c>
      <c r="L185" s="21" t="str">
        <f>IFERROR(__xludf.DUMMYFUNCTION("if(regexmatch(B185,""e(.*)$""),regexextract(B185,""e(.*)$""),"""")"),"")</f>
        <v/>
      </c>
      <c r="M185" s="21"/>
      <c r="N185" s="45">
        <f>countif(Constants!F:F,F185)</f>
        <v>1</v>
      </c>
      <c r="O185" s="21" t="str">
        <f>VLOOKUP(A185,Constants!D:D,1,false)</f>
        <v>molar gas constant</v>
      </c>
    </row>
    <row r="186">
      <c r="A186" s="6" t="s">
        <v>1478</v>
      </c>
      <c r="B186" s="46" t="s">
        <v>3491</v>
      </c>
      <c r="C186" s="6" t="s">
        <v>2261</v>
      </c>
      <c r="D186" s="6" t="s">
        <v>557</v>
      </c>
      <c r="E186" s="42">
        <f>countif(Constants!F:F,F186)</f>
        <v>1</v>
      </c>
      <c r="F186" s="21" t="str">
        <f>ifna(VLOOKUP($A186,Constants!$D:$F,3,false),"")</f>
        <v>MolarMassConstant</v>
      </c>
      <c r="G186" s="43" t="str">
        <f t="shared" si="1"/>
        <v>1e-3</v>
      </c>
      <c r="H186" s="43">
        <f t="shared" si="2"/>
        <v>0.001</v>
      </c>
      <c r="I186" s="43" t="str">
        <f t="shared" si="3"/>
        <v>(exact)</v>
      </c>
      <c r="J186" s="43" t="str">
        <f t="shared" si="4"/>
        <v/>
      </c>
      <c r="K186" s="43" t="b">
        <f t="shared" si="5"/>
        <v>0</v>
      </c>
      <c r="L186" s="21" t="str">
        <f>IFERROR(__xludf.DUMMYFUNCTION("if(regexmatch(B186,""e(.*)$""),regexextract(B186,""e(.*)$""),"""")"),"-3")</f>
        <v>-3</v>
      </c>
      <c r="M186" s="21"/>
      <c r="N186" s="45">
        <f>countif(Constants!F:F,F186)</f>
        <v>1</v>
      </c>
      <c r="O186" s="21" t="str">
        <f>VLOOKUP(A186,Constants!D:D,1,false)</f>
        <v>molar mass constant</v>
      </c>
    </row>
    <row r="187">
      <c r="A187" s="6" t="s">
        <v>1482</v>
      </c>
      <c r="B187" s="46" t="s">
        <v>3492</v>
      </c>
      <c r="C187" s="6" t="s">
        <v>2261</v>
      </c>
      <c r="D187" s="6" t="s">
        <v>557</v>
      </c>
      <c r="E187" s="42">
        <f>countif(Constants!F:F,F187)</f>
        <v>1</v>
      </c>
      <c r="F187" s="21" t="str">
        <f>ifna(VLOOKUP($A187,Constants!$D:$F,3,false),"")</f>
        <v>MolarMassOfCarbon12</v>
      </c>
      <c r="G187" s="43" t="str">
        <f t="shared" si="1"/>
        <v>12e-3</v>
      </c>
      <c r="H187" s="43">
        <f t="shared" si="2"/>
        <v>0.012</v>
      </c>
      <c r="I187" s="43" t="str">
        <f t="shared" si="3"/>
        <v>(exact)</v>
      </c>
      <c r="J187" s="43" t="str">
        <f t="shared" si="4"/>
        <v/>
      </c>
      <c r="K187" s="43" t="b">
        <f t="shared" si="5"/>
        <v>0</v>
      </c>
      <c r="L187" s="21" t="str">
        <f>IFERROR(__xludf.DUMMYFUNCTION("if(regexmatch(B187,""e(.*)$""),regexextract(B187,""e(.*)$""),"""")"),"-3")</f>
        <v>-3</v>
      </c>
      <c r="M187" s="21"/>
      <c r="N187" s="45">
        <f>countif(Constants!F:F,F187)</f>
        <v>1</v>
      </c>
      <c r="O187" s="21" t="str">
        <f>VLOOKUP(A187,Constants!D:D,1,false)</f>
        <v>molar mass of carbon-12</v>
      </c>
    </row>
    <row r="188">
      <c r="A188" s="6" t="s">
        <v>1486</v>
      </c>
      <c r="B188" s="6" t="s">
        <v>3982</v>
      </c>
      <c r="C188" s="6" t="s">
        <v>3983</v>
      </c>
      <c r="D188" s="6" t="s">
        <v>3494</v>
      </c>
      <c r="E188" s="42">
        <f>countif(Constants!F:F,F188)</f>
        <v>1</v>
      </c>
      <c r="F188" s="21" t="str">
        <f>ifna(VLOOKUP($A188,Constants!$D:$F,3,false),"")</f>
        <v>MolarPlanckConstant</v>
      </c>
      <c r="G188" s="43" t="str">
        <f t="shared" si="1"/>
        <v>3.9903127176e-10</v>
      </c>
      <c r="H188" s="43">
        <f t="shared" si="2"/>
        <v>0.0000000003990312718</v>
      </c>
      <c r="I188" s="43" t="str">
        <f t="shared" si="3"/>
        <v>0.0000000028e-10</v>
      </c>
      <c r="J188" s="43">
        <f t="shared" si="4"/>
        <v>0</v>
      </c>
      <c r="K188" s="43" t="b">
        <f t="shared" si="5"/>
        <v>0</v>
      </c>
      <c r="L188" s="21" t="str">
        <f>IFERROR(__xludf.DUMMYFUNCTION("if(regexmatch(B188,""e(.*)$""),regexextract(B188,""e(.*)$""),"""")"),"-10")</f>
        <v>-10</v>
      </c>
      <c r="M188" s="21"/>
      <c r="N188" s="45">
        <f>countif(Constants!F:F,F188)</f>
        <v>1</v>
      </c>
      <c r="O188" s="21" t="str">
        <f>VLOOKUP(A188,Constants!D:D,1,false)</f>
        <v>molar Planck constant</v>
      </c>
    </row>
    <row r="189">
      <c r="A189" s="6" t="s">
        <v>1491</v>
      </c>
      <c r="B189" s="6" t="s">
        <v>3984</v>
      </c>
      <c r="C189" s="6" t="s">
        <v>3985</v>
      </c>
      <c r="D189" s="6" t="s">
        <v>1493</v>
      </c>
      <c r="E189" s="42">
        <f>countif(Constants!F:F,F189)</f>
        <v>1</v>
      </c>
      <c r="F189" s="6" t="s">
        <v>388</v>
      </c>
      <c r="G189" s="43" t="str">
        <f t="shared" si="1"/>
        <v>0.119626565779</v>
      </c>
      <c r="H189" s="43">
        <f t="shared" si="2"/>
        <v>0.1196265658</v>
      </c>
      <c r="I189" s="43" t="str">
        <f t="shared" si="3"/>
        <v>0.000000000084</v>
      </c>
      <c r="J189" s="43">
        <f t="shared" si="4"/>
        <v>0</v>
      </c>
      <c r="K189" s="43" t="b">
        <f t="shared" si="5"/>
        <v>0</v>
      </c>
      <c r="L189" s="21" t="str">
        <f>IFERROR(__xludf.DUMMYFUNCTION("if(regexmatch(B189,""e(.*)$""),regexextract(B189,""e(.*)$""),"""")"),"")</f>
        <v/>
      </c>
      <c r="M189" s="21"/>
      <c r="N189" s="45">
        <f>countif(Constants!F:F,F189)</f>
        <v>1</v>
      </c>
      <c r="O189" s="21" t="str">
        <f>VLOOKUP(A189,Constants!D:D,1,false)</f>
        <v>#N/A</v>
      </c>
    </row>
    <row r="190">
      <c r="A190" s="6" t="s">
        <v>1498</v>
      </c>
      <c r="B190" s="6" t="s">
        <v>3986</v>
      </c>
      <c r="C190" s="6" t="s">
        <v>3987</v>
      </c>
      <c r="D190" s="6" t="s">
        <v>1499</v>
      </c>
      <c r="E190" s="42">
        <f>countif(Constants!F:F,F190)</f>
        <v>1</v>
      </c>
      <c r="F190" s="21" t="str">
        <f>ifna(VLOOKUP($A190,Constants!$D:$F,3,false),"")</f>
        <v>MolarVolumeOfIdealGas</v>
      </c>
      <c r="G190" s="43" t="str">
        <f t="shared" si="1"/>
        <v>22.710953e-3</v>
      </c>
      <c r="H190" s="43">
        <f t="shared" si="2"/>
        <v>0.022710953</v>
      </c>
      <c r="I190" s="43" t="str">
        <f t="shared" si="3"/>
        <v>0.000021e-3</v>
      </c>
      <c r="J190" s="43">
        <f t="shared" si="4"/>
        <v>0.000000021</v>
      </c>
      <c r="K190" s="43" t="b">
        <f t="shared" si="5"/>
        <v>0</v>
      </c>
      <c r="L190" s="21" t="str">
        <f>IFERROR(__xludf.DUMMYFUNCTION("if(regexmatch(B190,""e(.*)$""),regexextract(B190,""e(.*)$""),"""")"),"-3")</f>
        <v>-3</v>
      </c>
      <c r="M190" s="21"/>
      <c r="N190" s="45">
        <f>countif(Constants!F:F,F190)</f>
        <v>1</v>
      </c>
      <c r="O190" s="21" t="str">
        <f>VLOOKUP(A190,Constants!D:D,1,false)</f>
        <v>molar volume of ideal gas (273.15 K, 100 kPa)</v>
      </c>
    </row>
    <row r="191">
      <c r="A191" s="6" t="s">
        <v>1503</v>
      </c>
      <c r="B191" s="6" t="s">
        <v>3988</v>
      </c>
      <c r="C191" s="6" t="s">
        <v>3989</v>
      </c>
      <c r="D191" s="6" t="s">
        <v>1499</v>
      </c>
      <c r="E191" s="42">
        <f>countif(Constants!F:F,F191)</f>
        <v>1</v>
      </c>
      <c r="F191" s="21" t="str">
        <f>ifna(VLOOKUP($A191,Constants!$D:$F,3,false),"")</f>
        <v>MolarVolumeOfIdealGas273K101Kpa</v>
      </c>
      <c r="G191" s="43" t="str">
        <f t="shared" si="1"/>
        <v>22.413968e-3</v>
      </c>
      <c r="H191" s="43">
        <f t="shared" si="2"/>
        <v>0.022413968</v>
      </c>
      <c r="I191" s="43" t="str">
        <f t="shared" si="3"/>
        <v>0.000020e-3</v>
      </c>
      <c r="J191" s="43">
        <f t="shared" si="4"/>
        <v>0.00000002</v>
      </c>
      <c r="K191" s="43" t="b">
        <f t="shared" si="5"/>
        <v>0</v>
      </c>
      <c r="L191" s="21" t="str">
        <f>IFERROR(__xludf.DUMMYFUNCTION("if(regexmatch(B191,""e(.*)$""),regexextract(B191,""e(.*)$""),"""")"),"-3")</f>
        <v>-3</v>
      </c>
      <c r="M191" s="21"/>
      <c r="N191" s="45">
        <f>countif(Constants!F:F,F191)</f>
        <v>1</v>
      </c>
      <c r="O191" s="21" t="str">
        <f>VLOOKUP(A191,Constants!D:D,1,false)</f>
        <v>molar volume of ideal gas (273.15 K, 101.325 kPa)</v>
      </c>
    </row>
    <row r="192">
      <c r="A192" s="6" t="s">
        <v>1507</v>
      </c>
      <c r="B192" s="6" t="s">
        <v>3990</v>
      </c>
      <c r="C192" s="6" t="s">
        <v>3991</v>
      </c>
      <c r="D192" s="6" t="s">
        <v>1499</v>
      </c>
      <c r="E192" s="42">
        <f>countif(Constants!F:F,F192)</f>
        <v>1</v>
      </c>
      <c r="F192" s="21" t="str">
        <f>ifna(VLOOKUP($A192,Constants!$D:$F,3,false),"")</f>
        <v>MolarVolumeOfSilicon</v>
      </c>
      <c r="G192" s="43" t="str">
        <f t="shared" si="1"/>
        <v>12.05883301e-6</v>
      </c>
      <c r="H192" s="43">
        <f t="shared" si="2"/>
        <v>0.00001205883301</v>
      </c>
      <c r="I192" s="43" t="str">
        <f t="shared" si="3"/>
        <v>0.00000080e-6</v>
      </c>
      <c r="J192" s="43">
        <f t="shared" si="4"/>
        <v>0</v>
      </c>
      <c r="K192" s="43" t="b">
        <f t="shared" si="5"/>
        <v>0</v>
      </c>
      <c r="L192" s="21" t="str">
        <f>IFERROR(__xludf.DUMMYFUNCTION("if(regexmatch(B192,""e(.*)$""),regexextract(B192,""e(.*)$""),"""")"),"-6")</f>
        <v>-6</v>
      </c>
      <c r="M192" s="21"/>
      <c r="N192" s="45">
        <f>countif(Constants!F:F,F192)</f>
        <v>1</v>
      </c>
      <c r="O192" s="21" t="str">
        <f>VLOOKUP(A192,Constants!D:D,1,false)</f>
        <v>molar volume of silicon</v>
      </c>
    </row>
    <row r="193">
      <c r="A193" s="6" t="s">
        <v>3502</v>
      </c>
      <c r="B193" s="6" t="s">
        <v>3022</v>
      </c>
      <c r="C193" s="6" t="s">
        <v>2522</v>
      </c>
      <c r="D193" s="6" t="s">
        <v>571</v>
      </c>
      <c r="E193" s="42">
        <f>countif(Constants!F:F,F193)</f>
        <v>1</v>
      </c>
      <c r="F193" s="6" t="s">
        <v>391</v>
      </c>
      <c r="G193" s="43" t="str">
        <f t="shared" si="1"/>
        <v>1.00209952e-13</v>
      </c>
      <c r="H193" s="43">
        <f t="shared" si="2"/>
        <v>0</v>
      </c>
      <c r="I193" s="43" t="str">
        <f t="shared" si="3"/>
        <v>0.00000053e-13</v>
      </c>
      <c r="J193" s="43">
        <f t="shared" si="4"/>
        <v>0</v>
      </c>
      <c r="K193" s="43" t="b">
        <f t="shared" si="5"/>
        <v>0</v>
      </c>
      <c r="L193" s="21" t="str">
        <f>IFERROR(__xludf.DUMMYFUNCTION("if(regexmatch(B193,""e(.*)$""),regexextract(B193,""e(.*)$""),"""")"),"-13")</f>
        <v>-13</v>
      </c>
      <c r="M193" s="21"/>
      <c r="N193" s="45">
        <f>countif(Constants!F:F,F193)</f>
        <v>1</v>
      </c>
      <c r="O193" s="21" t="str">
        <f>VLOOKUP(A193,Constants!D:D,1,false)</f>
        <v>#N/A</v>
      </c>
    </row>
    <row r="194">
      <c r="A194" s="6" t="s">
        <v>1515</v>
      </c>
      <c r="B194" s="6" t="s">
        <v>3992</v>
      </c>
      <c r="C194" s="6" t="s">
        <v>3993</v>
      </c>
      <c r="D194" s="6" t="s">
        <v>571</v>
      </c>
      <c r="E194" s="42">
        <f>countif(Constants!F:F,F194)</f>
        <v>1</v>
      </c>
      <c r="F194" s="21" t="str">
        <f>ifna(VLOOKUP($A194,Constants!$D:$F,3,false),"")</f>
        <v>MuonComptonWavelength</v>
      </c>
      <c r="G194" s="43" t="str">
        <f t="shared" si="1"/>
        <v>11.73444103e-15</v>
      </c>
      <c r="H194" s="43">
        <f t="shared" si="2"/>
        <v>0</v>
      </c>
      <c r="I194" s="43" t="str">
        <f t="shared" si="3"/>
        <v>0.00000030e-15</v>
      </c>
      <c r="J194" s="43">
        <f t="shared" si="4"/>
        <v>0</v>
      </c>
      <c r="K194" s="43" t="b">
        <f t="shared" si="5"/>
        <v>0</v>
      </c>
      <c r="L194" s="21" t="str">
        <f>IFERROR(__xludf.DUMMYFUNCTION("if(regexmatch(B194,""e(.*)$""),regexextract(B194,""e(.*)$""),"""")"),"-15")</f>
        <v>-15</v>
      </c>
      <c r="M194" s="21"/>
      <c r="N194" s="45">
        <f>countif(Constants!F:F,F194)</f>
        <v>1</v>
      </c>
      <c r="O194" s="21" t="str">
        <f>VLOOKUP(A194,Constants!D:D,1,false)</f>
        <v>muon Compton wavelength</v>
      </c>
    </row>
    <row r="195">
      <c r="A195" s="6" t="s">
        <v>1519</v>
      </c>
      <c r="B195" s="6" t="s">
        <v>3994</v>
      </c>
      <c r="C195" s="6" t="s">
        <v>3995</v>
      </c>
      <c r="D195" s="6" t="s">
        <v>571</v>
      </c>
      <c r="E195" s="42">
        <f>countif(Constants!F:F,F195)</f>
        <v>1</v>
      </c>
      <c r="F195" s="6" t="s">
        <v>3506</v>
      </c>
      <c r="G195" s="43" t="str">
        <f t="shared" si="1"/>
        <v>1.867594294e-15</v>
      </c>
      <c r="H195" s="43">
        <f t="shared" si="2"/>
        <v>0</v>
      </c>
      <c r="I195" s="43" t="str">
        <f t="shared" si="3"/>
        <v>0.000000047e-15</v>
      </c>
      <c r="J195" s="43">
        <f t="shared" si="4"/>
        <v>0</v>
      </c>
      <c r="K195" s="43" t="b">
        <f t="shared" si="5"/>
        <v>0</v>
      </c>
      <c r="L195" s="21" t="str">
        <f>IFERROR(__xludf.DUMMYFUNCTION("if(regexmatch(B195,""e(.*)$""),regexextract(B195,""e(.*)$""),"""")"),"-15")</f>
        <v>-15</v>
      </c>
      <c r="M195" s="21"/>
      <c r="N195" s="45">
        <f>countif(Constants!F:F,F195)</f>
        <v>1</v>
      </c>
      <c r="O195" s="21" t="str">
        <f>VLOOKUP(A195,Constants!D:D,1,false)</f>
        <v>muon Compton wavelength over 2 pi</v>
      </c>
    </row>
    <row r="196">
      <c r="A196" s="6" t="s">
        <v>1525</v>
      </c>
      <c r="B196" s="6" t="s">
        <v>3996</v>
      </c>
      <c r="C196" s="6" t="s">
        <v>3856</v>
      </c>
      <c r="E196" s="42">
        <f>countif(Constants!F:F,F196)</f>
        <v>1</v>
      </c>
      <c r="F196" s="21" t="str">
        <f>ifna(VLOOKUP($A196,Constants!$D:$F,3,false),"")</f>
        <v>MuonElectronMassRatio</v>
      </c>
      <c r="G196" s="43" t="str">
        <f t="shared" si="1"/>
        <v>206.7682843</v>
      </c>
      <c r="H196" s="43">
        <f t="shared" si="2"/>
        <v>206.7682843</v>
      </c>
      <c r="I196" s="43" t="str">
        <f t="shared" si="3"/>
        <v>0.0000052</v>
      </c>
      <c r="J196" s="43">
        <f t="shared" si="4"/>
        <v>0.0000052</v>
      </c>
      <c r="K196" s="43" t="b">
        <f t="shared" si="5"/>
        <v>0</v>
      </c>
      <c r="L196" s="21" t="str">
        <f>IFERROR(__xludf.DUMMYFUNCTION("if(regexmatch(B196,""e(.*)$""),regexextract(B196,""e(.*)$""),"""")"),"")</f>
        <v/>
      </c>
      <c r="M196" s="21"/>
      <c r="N196" s="45">
        <f>countif(Constants!F:F,F196)</f>
        <v>1</v>
      </c>
      <c r="O196" s="21" t="str">
        <f>VLOOKUP(A196,Constants!D:D,1,false)</f>
        <v>muon-electron mass ratio</v>
      </c>
    </row>
    <row r="197">
      <c r="A197" s="6" t="s">
        <v>1530</v>
      </c>
      <c r="B197" s="6" t="s">
        <v>3025</v>
      </c>
      <c r="C197" s="6" t="s">
        <v>3026</v>
      </c>
      <c r="E197" s="42">
        <f>countif(Constants!F:F,F197)</f>
        <v>1</v>
      </c>
      <c r="F197" s="21" t="str">
        <f>ifna(VLOOKUP($A197,Constants!$D:$F,3,false),"")</f>
        <v>MuonGFactor</v>
      </c>
      <c r="G197" s="43" t="str">
        <f t="shared" si="1"/>
        <v>-2.0023318418</v>
      </c>
      <c r="H197" s="43">
        <f t="shared" si="2"/>
        <v>-2.002331842</v>
      </c>
      <c r="I197" s="43" t="str">
        <f t="shared" si="3"/>
        <v>0.0000000013</v>
      </c>
      <c r="J197" s="43">
        <f t="shared" si="4"/>
        <v>0.0000000013</v>
      </c>
      <c r="K197" s="43" t="b">
        <f t="shared" si="5"/>
        <v>0</v>
      </c>
      <c r="L197" s="21" t="str">
        <f>IFERROR(__xludf.DUMMYFUNCTION("if(regexmatch(B197,""e(.*)$""),regexextract(B197,""e(.*)$""),"""")"),"")</f>
        <v/>
      </c>
      <c r="M197" s="21"/>
      <c r="N197" s="45">
        <f>countif(Constants!F:F,F197)</f>
        <v>1</v>
      </c>
      <c r="O197" s="21" t="str">
        <f>VLOOKUP(A197,Constants!D:D,1,false)</f>
        <v>muon g factor</v>
      </c>
    </row>
    <row r="198">
      <c r="A198" s="6" t="s">
        <v>1534</v>
      </c>
      <c r="B198" s="6" t="s">
        <v>3997</v>
      </c>
      <c r="C198" s="6" t="s">
        <v>3998</v>
      </c>
      <c r="D198" s="6" t="s">
        <v>714</v>
      </c>
      <c r="E198" s="42">
        <f>countif(Constants!F:F,F198)</f>
        <v>1</v>
      </c>
      <c r="F198" s="21" t="str">
        <f>ifna(VLOOKUP($A198,Constants!$D:$F,3,false),"")</f>
        <v>MuonMagneticMoment</v>
      </c>
      <c r="G198" s="43" t="str">
        <f t="shared" si="1"/>
        <v>-4.49044807e-26</v>
      </c>
      <c r="H198" s="43">
        <f t="shared" si="2"/>
        <v>0</v>
      </c>
      <c r="I198" s="43" t="str">
        <f t="shared" si="3"/>
        <v>0.00000015e-26</v>
      </c>
      <c r="J198" s="43">
        <f t="shared" si="4"/>
        <v>0</v>
      </c>
      <c r="K198" s="43" t="b">
        <f t="shared" si="5"/>
        <v>0</v>
      </c>
      <c r="L198" s="21" t="str">
        <f>IFERROR(__xludf.DUMMYFUNCTION("if(regexmatch(B198,""e(.*)$""),regexextract(B198,""e(.*)$""),"""")"),"-26")</f>
        <v>-26</v>
      </c>
      <c r="M198" s="21"/>
      <c r="N198" s="45">
        <f>countif(Constants!F:F,F198)</f>
        <v>1</v>
      </c>
      <c r="O198" s="21" t="str">
        <f>VLOOKUP(A198,Constants!D:D,1,false)</f>
        <v>muon mag. mom.</v>
      </c>
    </row>
    <row r="199">
      <c r="A199" s="6" t="s">
        <v>1540</v>
      </c>
      <c r="B199" s="6" t="s">
        <v>3999</v>
      </c>
      <c r="C199" s="6" t="s">
        <v>3029</v>
      </c>
      <c r="E199" s="42">
        <f>countif(Constants!F:F,F199)</f>
        <v>1</v>
      </c>
      <c r="F199" s="21" t="str">
        <f>ifna(VLOOKUP($A199,Constants!$D:$F,3,false),"")</f>
        <v>MuonMagneticMomentAnomaly</v>
      </c>
      <c r="G199" s="43" t="str">
        <f t="shared" si="1"/>
        <v>1.16592091e-3</v>
      </c>
      <c r="H199" s="43">
        <f t="shared" si="2"/>
        <v>0.00116592091</v>
      </c>
      <c r="I199" s="43" t="str">
        <f t="shared" si="3"/>
        <v>0.00000063e-3</v>
      </c>
      <c r="J199" s="43">
        <f t="shared" si="4"/>
        <v>0.00000000063</v>
      </c>
      <c r="K199" s="43" t="b">
        <f t="shared" si="5"/>
        <v>0</v>
      </c>
      <c r="L199" s="21" t="str">
        <f>IFERROR(__xludf.DUMMYFUNCTION("if(regexmatch(B199,""e(.*)$""),regexextract(B199,""e(.*)$""),"""")"),"-3")</f>
        <v>-3</v>
      </c>
      <c r="M199" s="21"/>
      <c r="N199" s="45">
        <f>countif(Constants!F:F,F199)</f>
        <v>1</v>
      </c>
      <c r="O199" s="21" t="str">
        <f>VLOOKUP(A199,Constants!D:D,1,false)</f>
        <v>muon mag. mom. anomaly</v>
      </c>
    </row>
    <row r="200">
      <c r="A200" s="6" t="s">
        <v>1545</v>
      </c>
      <c r="B200" s="6" t="s">
        <v>4000</v>
      </c>
      <c r="C200" s="6" t="s">
        <v>3858</v>
      </c>
      <c r="E200" s="42">
        <f>countif(Constants!F:F,F200)</f>
        <v>1</v>
      </c>
      <c r="F200" s="21" t="str">
        <f>ifna(VLOOKUP($A200,Constants!$D:$F,3,false),"")</f>
        <v>MuonMagneticMomentToBohrMagnetonRatio</v>
      </c>
      <c r="G200" s="43" t="str">
        <f t="shared" si="1"/>
        <v>-4.84197044e-3</v>
      </c>
      <c r="H200" s="43">
        <f t="shared" si="2"/>
        <v>-0.00484197044</v>
      </c>
      <c r="I200" s="43" t="str">
        <f t="shared" si="3"/>
        <v>0.00000012e-3</v>
      </c>
      <c r="J200" s="43">
        <f t="shared" si="4"/>
        <v>0.00000000012</v>
      </c>
      <c r="K200" s="43" t="b">
        <f t="shared" si="5"/>
        <v>0</v>
      </c>
      <c r="L200" s="21" t="str">
        <f>IFERROR(__xludf.DUMMYFUNCTION("if(regexmatch(B200,""e(.*)$""),regexextract(B200,""e(.*)$""),"""")"),"-3")</f>
        <v>-3</v>
      </c>
      <c r="M200" s="21"/>
      <c r="N200" s="45">
        <f>countif(Constants!F:F,F200)</f>
        <v>1</v>
      </c>
      <c r="O200" s="21" t="str">
        <f>VLOOKUP(A200,Constants!D:D,1,false)</f>
        <v>muon mag. mom. to Bohr magneton ratio</v>
      </c>
    </row>
    <row r="201">
      <c r="A201" s="6" t="s">
        <v>1550</v>
      </c>
      <c r="B201" s="6" t="s">
        <v>4001</v>
      </c>
      <c r="C201" s="6" t="s">
        <v>4002</v>
      </c>
      <c r="E201" s="42">
        <f>countif(Constants!F:F,F201)</f>
        <v>1</v>
      </c>
      <c r="F201" s="21" t="str">
        <f>ifna(VLOOKUP($A201,Constants!$D:$F,3,false),"")</f>
        <v>MuonMagneticMomentToNuclearMagnetonRatio</v>
      </c>
      <c r="G201" s="43" t="str">
        <f t="shared" si="1"/>
        <v>-8.89059697</v>
      </c>
      <c r="H201" s="43">
        <f t="shared" si="2"/>
        <v>-8.89059697</v>
      </c>
      <c r="I201" s="43" t="str">
        <f t="shared" si="3"/>
        <v>0.00000022</v>
      </c>
      <c r="J201" s="43">
        <f t="shared" si="4"/>
        <v>0.00000022</v>
      </c>
      <c r="K201" s="43" t="b">
        <f t="shared" si="5"/>
        <v>0</v>
      </c>
      <c r="L201" s="21" t="str">
        <f>IFERROR(__xludf.DUMMYFUNCTION("if(regexmatch(B201,""e(.*)$""),regexextract(B201,""e(.*)$""),"""")"),"")</f>
        <v/>
      </c>
      <c r="M201" s="21"/>
      <c r="N201" s="45">
        <f>countif(Constants!F:F,F201)</f>
        <v>1</v>
      </c>
      <c r="O201" s="21" t="str">
        <f>VLOOKUP(A201,Constants!D:D,1,false)</f>
        <v>muon mag. mom. to nuclear magneton ratio</v>
      </c>
    </row>
    <row r="202">
      <c r="A202" s="6" t="s">
        <v>1555</v>
      </c>
      <c r="B202" s="6" t="s">
        <v>4003</v>
      </c>
      <c r="C202" s="6" t="s">
        <v>4004</v>
      </c>
      <c r="D202" s="6" t="s">
        <v>538</v>
      </c>
      <c r="E202" s="42">
        <f>countif(Constants!F:F,F202)</f>
        <v>1</v>
      </c>
      <c r="F202" s="21" t="str">
        <f>ifna(VLOOKUP($A202,Constants!$D:$F,3,false),"")</f>
        <v>MuonMass</v>
      </c>
      <c r="G202" s="43" t="str">
        <f t="shared" si="1"/>
        <v>1.883531475e-28</v>
      </c>
      <c r="H202" s="43">
        <f t="shared" si="2"/>
        <v>0</v>
      </c>
      <c r="I202" s="43" t="str">
        <f t="shared" si="3"/>
        <v>0.000000096e-28</v>
      </c>
      <c r="J202" s="43">
        <f t="shared" si="4"/>
        <v>0</v>
      </c>
      <c r="K202" s="43" t="b">
        <f t="shared" si="5"/>
        <v>0</v>
      </c>
      <c r="L202" s="21" t="str">
        <f>IFERROR(__xludf.DUMMYFUNCTION("if(regexmatch(B202,""e(.*)$""),regexextract(B202,""e(.*)$""),"""")"),"-28")</f>
        <v>-28</v>
      </c>
      <c r="M202" s="21"/>
      <c r="N202" s="45">
        <f>countif(Constants!F:F,F202)</f>
        <v>1</v>
      </c>
      <c r="O202" s="21" t="str">
        <f>VLOOKUP(A202,Constants!D:D,1,false)</f>
        <v>muon mass</v>
      </c>
    </row>
    <row r="203">
      <c r="A203" s="6" t="s">
        <v>1559</v>
      </c>
      <c r="B203" s="6" t="s">
        <v>4005</v>
      </c>
      <c r="C203" s="6" t="s">
        <v>4006</v>
      </c>
      <c r="D203" s="6" t="s">
        <v>543</v>
      </c>
      <c r="E203" s="42">
        <f>countif(Constants!F:F,F203)</f>
        <v>1</v>
      </c>
      <c r="F203" s="21" t="str">
        <f>ifna(VLOOKUP($A203,Constants!$D:$F,3,false),"")</f>
        <v>MuonMassEnergyEquivalent</v>
      </c>
      <c r="G203" s="43" t="str">
        <f t="shared" si="1"/>
        <v>1.692833667e-11</v>
      </c>
      <c r="H203" s="43">
        <f t="shared" si="2"/>
        <v>0</v>
      </c>
      <c r="I203" s="43" t="str">
        <f t="shared" si="3"/>
        <v>0.000000086e-11</v>
      </c>
      <c r="J203" s="43">
        <f t="shared" si="4"/>
        <v>0</v>
      </c>
      <c r="K203" s="43" t="b">
        <f t="shared" si="5"/>
        <v>0</v>
      </c>
      <c r="L203" s="21" t="str">
        <f>IFERROR(__xludf.DUMMYFUNCTION("if(regexmatch(B203,""e(.*)$""),regexextract(B203,""e(.*)$""),"""")"),"-11")</f>
        <v>-11</v>
      </c>
      <c r="M203" s="21"/>
      <c r="N203" s="45">
        <f>countif(Constants!F:F,F203)</f>
        <v>1</v>
      </c>
      <c r="O203" s="21" t="str">
        <f>VLOOKUP(A203,Constants!D:D,1,false)</f>
        <v>muon mass energy equivalent</v>
      </c>
    </row>
    <row r="204">
      <c r="A204" s="6" t="s">
        <v>1563</v>
      </c>
      <c r="B204" s="6" t="s">
        <v>4007</v>
      </c>
      <c r="C204" s="6" t="s">
        <v>4008</v>
      </c>
      <c r="D204" s="6" t="s">
        <v>548</v>
      </c>
      <c r="E204" s="42">
        <f>countif(Constants!F:F,F204)</f>
        <v>1</v>
      </c>
      <c r="F204" s="21" t="str">
        <f>ifna(VLOOKUP($A204,Constants!$D:$F,3,false),"")</f>
        <v>MuonMassEnergyEquivalentInMeV</v>
      </c>
      <c r="G204" s="43" t="str">
        <f t="shared" si="1"/>
        <v>105.6583715</v>
      </c>
      <c r="H204" s="43">
        <f t="shared" si="2"/>
        <v>105.6583715</v>
      </c>
      <c r="I204" s="43" t="str">
        <f t="shared" si="3"/>
        <v>0.0000035</v>
      </c>
      <c r="J204" s="43">
        <f t="shared" si="4"/>
        <v>0.0000035</v>
      </c>
      <c r="K204" s="43" t="b">
        <f t="shared" si="5"/>
        <v>0</v>
      </c>
      <c r="L204" s="21" t="str">
        <f>IFERROR(__xludf.DUMMYFUNCTION("if(regexmatch(B204,""e(.*)$""),regexextract(B204,""e(.*)$""),"""")"),"")</f>
        <v/>
      </c>
      <c r="M204" s="21"/>
      <c r="N204" s="45">
        <f>countif(Constants!F:F,F204)</f>
        <v>1</v>
      </c>
      <c r="O204" s="21" t="str">
        <f>VLOOKUP(A204,Constants!D:D,1,false)</f>
        <v>muon mass energy equivalent in MeV</v>
      </c>
    </row>
    <row r="205">
      <c r="A205" s="6" t="s">
        <v>1566</v>
      </c>
      <c r="B205" s="6" t="s">
        <v>4009</v>
      </c>
      <c r="C205" s="6" t="s">
        <v>4010</v>
      </c>
      <c r="D205" s="6" t="s">
        <v>553</v>
      </c>
      <c r="E205" s="42">
        <f>countif(Constants!F:F,F205)</f>
        <v>1</v>
      </c>
      <c r="F205" s="21" t="str">
        <f>ifna(VLOOKUP($A205,Constants!$D:$F,3,false),"")</f>
        <v>MuonMassInAtomicMassUnit</v>
      </c>
      <c r="G205" s="43" t="str">
        <f t="shared" si="1"/>
        <v>0.1134289267</v>
      </c>
      <c r="H205" s="43">
        <f t="shared" si="2"/>
        <v>0.1134289267</v>
      </c>
      <c r="I205" s="43" t="str">
        <f t="shared" si="3"/>
        <v>0.0000000029</v>
      </c>
      <c r="J205" s="43">
        <f t="shared" si="4"/>
        <v>0.0000000029</v>
      </c>
      <c r="K205" s="43" t="b">
        <f t="shared" si="5"/>
        <v>0</v>
      </c>
      <c r="L205" s="21" t="str">
        <f>IFERROR(__xludf.DUMMYFUNCTION("if(regexmatch(B205,""e(.*)$""),regexextract(B205,""e(.*)$""),"""")"),"")</f>
        <v/>
      </c>
      <c r="M205" s="21"/>
      <c r="N205" s="45">
        <f>countif(Constants!F:F,F205)</f>
        <v>1</v>
      </c>
      <c r="O205" s="21" t="str">
        <f>VLOOKUP(A205,Constants!D:D,1,false)</f>
        <v>muon mass in u</v>
      </c>
    </row>
    <row r="206">
      <c r="A206" s="6" t="s">
        <v>1569</v>
      </c>
      <c r="B206" s="6" t="s">
        <v>4011</v>
      </c>
      <c r="C206" s="6" t="s">
        <v>4012</v>
      </c>
      <c r="D206" s="6" t="s">
        <v>557</v>
      </c>
      <c r="E206" s="42">
        <f>countif(Constants!F:F,F206)</f>
        <v>1</v>
      </c>
      <c r="F206" s="21" t="str">
        <f>ifna(VLOOKUP($A206,Constants!$D:$F,3,false),"")</f>
        <v>MuonMolarMass</v>
      </c>
      <c r="G206" s="43" t="str">
        <f t="shared" si="1"/>
        <v>0.1134289267e-3</v>
      </c>
      <c r="H206" s="43">
        <f t="shared" si="2"/>
        <v>0.0001134289267</v>
      </c>
      <c r="I206" s="43" t="str">
        <f t="shared" si="3"/>
        <v>0.0000000029e-3</v>
      </c>
      <c r="J206" s="43">
        <f t="shared" si="4"/>
        <v>0</v>
      </c>
      <c r="K206" s="43" t="b">
        <f t="shared" si="5"/>
        <v>0</v>
      </c>
      <c r="L206" s="21" t="str">
        <f>IFERROR(__xludf.DUMMYFUNCTION("if(regexmatch(B206,""e(.*)$""),regexextract(B206,""e(.*)$""),"""")"),"-3")</f>
        <v>-3</v>
      </c>
      <c r="M206" s="21"/>
      <c r="N206" s="45">
        <f>countif(Constants!F:F,F206)</f>
        <v>1</v>
      </c>
      <c r="O206" s="21" t="str">
        <f>VLOOKUP(A206,Constants!D:D,1,false)</f>
        <v>muon molar mass</v>
      </c>
    </row>
    <row r="207">
      <c r="A207" s="6" t="s">
        <v>1573</v>
      </c>
      <c r="B207" s="6" t="s">
        <v>4013</v>
      </c>
      <c r="C207" s="6" t="s">
        <v>4014</v>
      </c>
      <c r="E207" s="42">
        <f>countif(Constants!F:F,F207)</f>
        <v>1</v>
      </c>
      <c r="F207" s="21" t="str">
        <f>ifna(VLOOKUP($A207,Constants!$D:$F,3,false),"")</f>
        <v>MuonNeutronMassRatio</v>
      </c>
      <c r="G207" s="43" t="str">
        <f t="shared" si="1"/>
        <v>0.1124545177</v>
      </c>
      <c r="H207" s="43">
        <f t="shared" si="2"/>
        <v>0.1124545177</v>
      </c>
      <c r="I207" s="43" t="str">
        <f t="shared" si="3"/>
        <v>0.0000000028</v>
      </c>
      <c r="J207" s="43">
        <f t="shared" si="4"/>
        <v>0.0000000028</v>
      </c>
      <c r="K207" s="43" t="b">
        <f t="shared" si="5"/>
        <v>0</v>
      </c>
      <c r="L207" s="21" t="str">
        <f>IFERROR(__xludf.DUMMYFUNCTION("if(regexmatch(B207,""e(.*)$""),regexextract(B207,""e(.*)$""),"""")"),"")</f>
        <v/>
      </c>
      <c r="M207" s="21"/>
      <c r="N207" s="45">
        <f>countif(Constants!F:F,F207)</f>
        <v>1</v>
      </c>
      <c r="O207" s="21" t="str">
        <f>VLOOKUP(A207,Constants!D:D,1,false)</f>
        <v>muon-neutron mass ratio</v>
      </c>
    </row>
    <row r="208">
      <c r="A208" s="6" t="s">
        <v>1578</v>
      </c>
      <c r="B208" s="6" t="s">
        <v>4015</v>
      </c>
      <c r="C208" s="6" t="s">
        <v>3638</v>
      </c>
      <c r="E208" s="42">
        <f>countif(Constants!F:F,F208)</f>
        <v>1</v>
      </c>
      <c r="F208" s="21" t="str">
        <f>ifna(VLOOKUP($A208,Constants!$D:$F,3,false),"")</f>
        <v>MuonProtonMagneticMomentRatio</v>
      </c>
      <c r="G208" s="43" t="str">
        <f t="shared" si="1"/>
        <v>-3.183345107</v>
      </c>
      <c r="H208" s="43">
        <f t="shared" si="2"/>
        <v>-3.183345107</v>
      </c>
      <c r="I208" s="43" t="str">
        <f t="shared" si="3"/>
        <v>0.000000084</v>
      </c>
      <c r="J208" s="43">
        <f t="shared" si="4"/>
        <v>0.000000084</v>
      </c>
      <c r="K208" s="43" t="b">
        <f t="shared" si="5"/>
        <v>0</v>
      </c>
      <c r="L208" s="21" t="str">
        <f>IFERROR(__xludf.DUMMYFUNCTION("if(regexmatch(B208,""e(.*)$""),regexextract(B208,""e(.*)$""),"""")"),"")</f>
        <v/>
      </c>
      <c r="M208" s="21"/>
      <c r="N208" s="45">
        <f>countif(Constants!F:F,F208)</f>
        <v>1</v>
      </c>
      <c r="O208" s="21" t="str">
        <f>VLOOKUP(A208,Constants!D:D,1,false)</f>
        <v>muon-proton mag. mom. ratio</v>
      </c>
    </row>
    <row r="209">
      <c r="A209" s="6" t="s">
        <v>1583</v>
      </c>
      <c r="B209" s="6" t="s">
        <v>4016</v>
      </c>
      <c r="C209" s="6" t="s">
        <v>4014</v>
      </c>
      <c r="E209" s="42">
        <f>countif(Constants!F:F,F209)</f>
        <v>1</v>
      </c>
      <c r="F209" s="21" t="str">
        <f>ifna(VLOOKUP($A209,Constants!$D:$F,3,false),"")</f>
        <v>MuonProtonMassRatio</v>
      </c>
      <c r="G209" s="43" t="str">
        <f t="shared" si="1"/>
        <v>0.1126095272</v>
      </c>
      <c r="H209" s="43">
        <f t="shared" si="2"/>
        <v>0.1126095272</v>
      </c>
      <c r="I209" s="43" t="str">
        <f t="shared" si="3"/>
        <v>0.0000000028</v>
      </c>
      <c r="J209" s="43">
        <f t="shared" si="4"/>
        <v>0.0000000028</v>
      </c>
      <c r="K209" s="43" t="b">
        <f t="shared" si="5"/>
        <v>0</v>
      </c>
      <c r="L209" s="21" t="str">
        <f>IFERROR(__xludf.DUMMYFUNCTION("if(regexmatch(B209,""e(.*)$""),regexextract(B209,""e(.*)$""),"""")"),"")</f>
        <v/>
      </c>
      <c r="M209" s="21"/>
      <c r="N209" s="45">
        <f>countif(Constants!F:F,F209)</f>
        <v>1</v>
      </c>
      <c r="O209" s="21" t="str">
        <f>VLOOKUP(A209,Constants!D:D,1,false)</f>
        <v>muon-proton mass ratio</v>
      </c>
    </row>
    <row r="210">
      <c r="A210" s="6" t="s">
        <v>1588</v>
      </c>
      <c r="B210" s="6" t="s">
        <v>3522</v>
      </c>
      <c r="C210" s="6" t="s">
        <v>3523</v>
      </c>
      <c r="E210" s="42">
        <f>countif(Constants!F:F,F210)</f>
        <v>1</v>
      </c>
      <c r="F210" s="21" t="str">
        <f>ifna(VLOOKUP($A210,Constants!$D:$F,3,false),"")</f>
        <v>MuonTauMassRatio</v>
      </c>
      <c r="G210" s="43" t="str">
        <f t="shared" si="1"/>
        <v>5.94649e-2</v>
      </c>
      <c r="H210" s="43">
        <f t="shared" si="2"/>
        <v>0.0594649</v>
      </c>
      <c r="I210" s="43" t="str">
        <f t="shared" si="3"/>
        <v>0.00054e-2</v>
      </c>
      <c r="J210" s="43">
        <f t="shared" si="4"/>
        <v>0.0000054</v>
      </c>
      <c r="K210" s="43" t="b">
        <f t="shared" si="5"/>
        <v>0</v>
      </c>
      <c r="L210" s="21" t="str">
        <f>IFERROR(__xludf.DUMMYFUNCTION("if(regexmatch(B210,""e(.*)$""),regexextract(B210,""e(.*)$""),"""")"),"-2")</f>
        <v>-2</v>
      </c>
      <c r="M210" s="21"/>
      <c r="N210" s="45">
        <f>countif(Constants!F:F,F210)</f>
        <v>1</v>
      </c>
      <c r="O210" s="21" t="str">
        <f>VLOOKUP(A210,Constants!D:D,1,false)</f>
        <v>muon-tau mass ratio</v>
      </c>
    </row>
    <row r="211">
      <c r="A211" s="6" t="s">
        <v>1593</v>
      </c>
      <c r="B211" s="6" t="s">
        <v>3739</v>
      </c>
      <c r="C211" s="6" t="s">
        <v>3740</v>
      </c>
      <c r="D211" s="6" t="s">
        <v>643</v>
      </c>
      <c r="E211" s="42">
        <f>countif(Constants!F:F,F211)</f>
        <v>1</v>
      </c>
      <c r="F211" s="21" t="str">
        <f>ifna(VLOOKUP($A211,Constants!$D:$F,3,false),"")</f>
        <v>NaturalUnitOfAction</v>
      </c>
      <c r="G211" s="43" t="str">
        <f t="shared" si="1"/>
        <v>1.054571726e-34</v>
      </c>
      <c r="H211" s="43">
        <f t="shared" si="2"/>
        <v>0</v>
      </c>
      <c r="I211" s="43" t="str">
        <f t="shared" si="3"/>
        <v>0.000000047e-34</v>
      </c>
      <c r="J211" s="43">
        <f t="shared" si="4"/>
        <v>0</v>
      </c>
      <c r="K211" s="43" t="b">
        <f t="shared" si="5"/>
        <v>0</v>
      </c>
      <c r="L211" s="21" t="str">
        <f>IFERROR(__xludf.DUMMYFUNCTION("if(regexmatch(B211,""e(.*)$""),regexextract(B211,""e(.*)$""),"""")"),"-34")</f>
        <v>-34</v>
      </c>
      <c r="M211" s="21"/>
      <c r="N211" s="45">
        <f>countif(Constants!F:F,F211)</f>
        <v>1</v>
      </c>
      <c r="O211" s="21" t="str">
        <f>VLOOKUP(A211,Constants!D:D,1,false)</f>
        <v>natural unit of action</v>
      </c>
    </row>
    <row r="212">
      <c r="A212" s="6" t="s">
        <v>1597</v>
      </c>
      <c r="B212" s="6" t="s">
        <v>4017</v>
      </c>
      <c r="C212" s="6" t="s">
        <v>4018</v>
      </c>
      <c r="D212" s="6" t="s">
        <v>1598</v>
      </c>
      <c r="E212" s="42">
        <f>countif(Constants!F:F,F212)</f>
        <v>1</v>
      </c>
      <c r="F212" s="21" t="str">
        <f>ifna(VLOOKUP($A212,Constants!$D:$F,3,false),"")</f>
        <v>NaturalUnitOfActionInEVS</v>
      </c>
      <c r="G212" s="43" t="str">
        <f t="shared" si="1"/>
        <v>6.58211928e-16</v>
      </c>
      <c r="H212" s="43">
        <f t="shared" si="2"/>
        <v>0</v>
      </c>
      <c r="I212" s="43" t="str">
        <f t="shared" si="3"/>
        <v>0.00000015e-16</v>
      </c>
      <c r="J212" s="43">
        <f t="shared" si="4"/>
        <v>0</v>
      </c>
      <c r="K212" s="43" t="b">
        <f t="shared" si="5"/>
        <v>0</v>
      </c>
      <c r="L212" s="21" t="str">
        <f>IFERROR(__xludf.DUMMYFUNCTION("if(regexmatch(B212,""e(.*)$""),regexextract(B212,""e(.*)$""),"""")"),"-16")</f>
        <v>-16</v>
      </c>
      <c r="M212" s="21"/>
      <c r="N212" s="45">
        <f>countif(Constants!F:F,F212)</f>
        <v>1</v>
      </c>
      <c r="O212" s="21" t="str">
        <f>VLOOKUP(A212,Constants!D:D,1,false)</f>
        <v>natural unit of action in eV s</v>
      </c>
    </row>
    <row r="213">
      <c r="A213" s="6" t="s">
        <v>1602</v>
      </c>
      <c r="B213" s="6" t="s">
        <v>3849</v>
      </c>
      <c r="C213" s="6" t="s">
        <v>3850</v>
      </c>
      <c r="D213" s="6" t="s">
        <v>543</v>
      </c>
      <c r="E213" s="42">
        <f>countif(Constants!F:F,F213)</f>
        <v>1</v>
      </c>
      <c r="F213" s="21" t="str">
        <f>ifna(VLOOKUP($A213,Constants!$D:$F,3,false),"")</f>
        <v>NaturalUnitOfEnergy</v>
      </c>
      <c r="G213" s="43" t="str">
        <f t="shared" si="1"/>
        <v>8.18710506e-14</v>
      </c>
      <c r="H213" s="43">
        <f t="shared" si="2"/>
        <v>0</v>
      </c>
      <c r="I213" s="43" t="str">
        <f t="shared" si="3"/>
        <v>0.00000036e-14</v>
      </c>
      <c r="J213" s="43">
        <f t="shared" si="4"/>
        <v>0</v>
      </c>
      <c r="K213" s="43" t="b">
        <f t="shared" si="5"/>
        <v>0</v>
      </c>
      <c r="L213" s="21" t="str">
        <f>IFERROR(__xludf.DUMMYFUNCTION("if(regexmatch(B213,""e(.*)$""),regexextract(B213,""e(.*)$""),"""")"),"-14")</f>
        <v>-14</v>
      </c>
      <c r="M213" s="21"/>
      <c r="N213" s="45">
        <f>countif(Constants!F:F,F213)</f>
        <v>1</v>
      </c>
      <c r="O213" s="21" t="str">
        <f>VLOOKUP(A213,Constants!D:D,1,false)</f>
        <v>natural unit of energy</v>
      </c>
    </row>
    <row r="214">
      <c r="A214" s="6" t="s">
        <v>1606</v>
      </c>
      <c r="B214" s="6" t="s">
        <v>3851</v>
      </c>
      <c r="C214" s="6" t="s">
        <v>2701</v>
      </c>
      <c r="D214" s="6" t="s">
        <v>548</v>
      </c>
      <c r="E214" s="42">
        <f>countif(Constants!F:F,F214)</f>
        <v>1</v>
      </c>
      <c r="F214" s="21" t="str">
        <f>ifna(VLOOKUP($A214,Constants!$D:$F,3,false),"")</f>
        <v>NaturalUnitOfEnergyInMeV</v>
      </c>
      <c r="G214" s="43" t="str">
        <f t="shared" si="1"/>
        <v>0.510998928</v>
      </c>
      <c r="H214" s="43">
        <f t="shared" si="2"/>
        <v>0.510998928</v>
      </c>
      <c r="I214" s="43" t="str">
        <f t="shared" si="3"/>
        <v>0.000000011</v>
      </c>
      <c r="J214" s="43">
        <f t="shared" si="4"/>
        <v>0.000000011</v>
      </c>
      <c r="K214" s="43" t="b">
        <f t="shared" si="5"/>
        <v>0</v>
      </c>
      <c r="L214" s="21" t="str">
        <f>IFERROR(__xludf.DUMMYFUNCTION("if(regexmatch(B214,""e(.*)$""),regexextract(B214,""e(.*)$""),"""")"),"")</f>
        <v/>
      </c>
      <c r="M214" s="21"/>
      <c r="N214" s="45">
        <f>countif(Constants!F:F,F214)</f>
        <v>1</v>
      </c>
      <c r="O214" s="21" t="str">
        <f>VLOOKUP(A214,Constants!D:D,1,false)</f>
        <v>natural unit of energy in MeV</v>
      </c>
    </row>
    <row r="215">
      <c r="A215" s="6" t="s">
        <v>1609</v>
      </c>
      <c r="B215" s="6" t="s">
        <v>3802</v>
      </c>
      <c r="C215" s="6" t="s">
        <v>3803</v>
      </c>
      <c r="D215" s="6" t="s">
        <v>571</v>
      </c>
      <c r="E215" s="42">
        <f>countif(Constants!F:F,F215)</f>
        <v>1</v>
      </c>
      <c r="F215" s="21" t="str">
        <f>ifna(VLOOKUP($A215,Constants!$D:$F,3,false),"")</f>
        <v>NaturalUnitOfLength</v>
      </c>
      <c r="G215" s="43" t="str">
        <f t="shared" si="1"/>
        <v>386.15926800e-15</v>
      </c>
      <c r="H215" s="43">
        <f t="shared" si="2"/>
        <v>0</v>
      </c>
      <c r="I215" s="43" t="str">
        <f t="shared" si="3"/>
        <v>0.00000025e-15</v>
      </c>
      <c r="J215" s="43">
        <f t="shared" si="4"/>
        <v>0</v>
      </c>
      <c r="K215" s="43" t="b">
        <f t="shared" si="5"/>
        <v>0</v>
      </c>
      <c r="L215" s="21" t="str">
        <f>IFERROR(__xludf.DUMMYFUNCTION("if(regexmatch(B215,""e(.*)$""),regexextract(B215,""e(.*)$""),"""")"),"-15")</f>
        <v>-15</v>
      </c>
      <c r="M215" s="21"/>
      <c r="N215" s="45">
        <f>countif(Constants!F:F,F215)</f>
        <v>1</v>
      </c>
      <c r="O215" s="21" t="str">
        <f>VLOOKUP(A215,Constants!D:D,1,false)</f>
        <v>natural unit of length</v>
      </c>
    </row>
    <row r="216">
      <c r="A216" s="6" t="s">
        <v>1613</v>
      </c>
      <c r="B216" s="6" t="s">
        <v>3770</v>
      </c>
      <c r="C216" s="6" t="s">
        <v>3771</v>
      </c>
      <c r="D216" s="6" t="s">
        <v>538</v>
      </c>
      <c r="E216" s="42">
        <f>countif(Constants!F:F,F216)</f>
        <v>1</v>
      </c>
      <c r="F216" s="21" t="str">
        <f>ifna(VLOOKUP($A216,Constants!$D:$F,3,false),"")</f>
        <v>NaturalUnitOfMass</v>
      </c>
      <c r="G216" s="43" t="str">
        <f t="shared" si="1"/>
        <v>9.10938291e-31</v>
      </c>
      <c r="H216" s="43">
        <f t="shared" si="2"/>
        <v>0</v>
      </c>
      <c r="I216" s="43" t="str">
        <f t="shared" si="3"/>
        <v>0.00000040e-31</v>
      </c>
      <c r="J216" s="43">
        <f t="shared" si="4"/>
        <v>0</v>
      </c>
      <c r="K216" s="43" t="b">
        <f t="shared" si="5"/>
        <v>0</v>
      </c>
      <c r="L216" s="21" t="str">
        <f>IFERROR(__xludf.DUMMYFUNCTION("if(regexmatch(B216,""e(.*)$""),regexextract(B216,""e(.*)$""),"""")"),"-31")</f>
        <v>-31</v>
      </c>
      <c r="M216" s="21"/>
      <c r="N216" s="45">
        <f>countif(Constants!F:F,F216)</f>
        <v>1</v>
      </c>
      <c r="O216" s="21" t="str">
        <f>VLOOKUP(A216,Constants!D:D,1,false)</f>
        <v>natural unit of mass</v>
      </c>
    </row>
    <row r="217">
      <c r="A217" s="6" t="s">
        <v>3526</v>
      </c>
      <c r="B217" s="6" t="s">
        <v>4019</v>
      </c>
      <c r="C217" s="6" t="s">
        <v>4020</v>
      </c>
      <c r="D217" s="6" t="s">
        <v>736</v>
      </c>
      <c r="E217" s="42">
        <f>countif(Constants!F:F,F217)</f>
        <v>1</v>
      </c>
      <c r="F217" s="7" t="s">
        <v>409</v>
      </c>
      <c r="G217" s="43" t="str">
        <f t="shared" si="1"/>
        <v>2.73092429e-22</v>
      </c>
      <c r="H217" s="43">
        <f t="shared" si="2"/>
        <v>0</v>
      </c>
      <c r="I217" s="43" t="str">
        <f t="shared" si="3"/>
        <v>0.00000012e-22</v>
      </c>
      <c r="J217" s="43">
        <f t="shared" si="4"/>
        <v>0</v>
      </c>
      <c r="K217" s="43" t="b">
        <f t="shared" si="5"/>
        <v>0</v>
      </c>
      <c r="L217" s="21" t="str">
        <f>IFERROR(__xludf.DUMMYFUNCTION("if(regexmatch(B217,""e(.*)$""),regexextract(B217,""e(.*)$""),"""")"),"-22")</f>
        <v>-22</v>
      </c>
      <c r="M217" s="21"/>
      <c r="N217" s="45">
        <f>countif(Constants!F:F,F217)</f>
        <v>1</v>
      </c>
      <c r="O217" s="21" t="str">
        <f>VLOOKUP(A217,Constants!D:D,1,false)</f>
        <v>#N/A</v>
      </c>
    </row>
    <row r="218">
      <c r="A218" s="6" t="s">
        <v>3529</v>
      </c>
      <c r="B218" s="6" t="s">
        <v>3851</v>
      </c>
      <c r="C218" s="6" t="s">
        <v>2701</v>
      </c>
      <c r="D218" s="6" t="s">
        <v>1623</v>
      </c>
      <c r="E218" s="42">
        <f>countif(Constants!F:F,F218)</f>
        <v>1</v>
      </c>
      <c r="F218" s="13" t="s">
        <v>3530</v>
      </c>
      <c r="G218" s="43" t="str">
        <f t="shared" si="1"/>
        <v>0.510998928</v>
      </c>
      <c r="H218" s="43">
        <f t="shared" si="2"/>
        <v>0.510998928</v>
      </c>
      <c r="I218" s="43" t="str">
        <f t="shared" si="3"/>
        <v>0.000000011</v>
      </c>
      <c r="J218" s="43">
        <f t="shared" si="4"/>
        <v>0.000000011</v>
      </c>
      <c r="K218" s="43" t="b">
        <f t="shared" si="5"/>
        <v>0</v>
      </c>
      <c r="L218" s="21" t="str">
        <f>IFERROR(__xludf.DUMMYFUNCTION("if(regexmatch(B218,""e(.*)$""),regexextract(B218,""e(.*)$""),"""")"),"")</f>
        <v/>
      </c>
      <c r="M218" s="21"/>
      <c r="N218" s="45">
        <f>countif(Constants!F:F,F218)</f>
        <v>1</v>
      </c>
      <c r="O218" s="21" t="str">
        <f>VLOOKUP(A218,Constants!D:D,1,false)</f>
        <v>#N/A</v>
      </c>
    </row>
    <row r="219">
      <c r="A219" s="6" t="s">
        <v>1628</v>
      </c>
      <c r="B219" s="6" t="s">
        <v>4021</v>
      </c>
      <c r="C219" s="6" t="s">
        <v>4022</v>
      </c>
      <c r="D219" s="6" t="s">
        <v>749</v>
      </c>
      <c r="E219" s="42">
        <f>countif(Constants!F:F,F219)</f>
        <v>1</v>
      </c>
      <c r="F219" s="21" t="str">
        <f>ifna(VLOOKUP($A219,Constants!$D:$F,3,false),"")</f>
        <v>NaturalUnitOfTime</v>
      </c>
      <c r="G219" s="43" t="str">
        <f t="shared" si="1"/>
        <v>1.28808866833e-21</v>
      </c>
      <c r="H219" s="43">
        <f t="shared" si="2"/>
        <v>0</v>
      </c>
      <c r="I219" s="43" t="str">
        <f t="shared" si="3"/>
        <v>0.00000000083e-21</v>
      </c>
      <c r="J219" s="43">
        <f t="shared" si="4"/>
        <v>0</v>
      </c>
      <c r="K219" s="43" t="b">
        <f t="shared" si="5"/>
        <v>0</v>
      </c>
      <c r="L219" s="21" t="str">
        <f>IFERROR(__xludf.DUMMYFUNCTION("if(regexmatch(B219,""e(.*)$""),regexextract(B219,""e(.*)$""),"""")"),"-21")</f>
        <v>-21</v>
      </c>
      <c r="M219" s="21"/>
      <c r="N219" s="45">
        <f>countif(Constants!F:F,F219)</f>
        <v>1</v>
      </c>
      <c r="O219" s="21" t="str">
        <f>VLOOKUP(A219,Constants!D:D,1,false)</f>
        <v>natural unit of time</v>
      </c>
    </row>
    <row r="220">
      <c r="A220" s="6" t="s">
        <v>1632</v>
      </c>
      <c r="B220" s="6" t="s">
        <v>2978</v>
      </c>
      <c r="C220" s="6" t="s">
        <v>2261</v>
      </c>
      <c r="D220" s="6" t="s">
        <v>754</v>
      </c>
      <c r="E220" s="42">
        <f>countif(Constants!F:F,F220)</f>
        <v>1</v>
      </c>
      <c r="F220" s="21" t="str">
        <f>ifna(VLOOKUP($A220,Constants!$D:$F,3,false),"")</f>
        <v>NaturalUnitOfVelocity</v>
      </c>
      <c r="G220" s="43" t="str">
        <f t="shared" si="1"/>
        <v>299792458</v>
      </c>
      <c r="H220" s="43">
        <f t="shared" si="2"/>
        <v>299792458</v>
      </c>
      <c r="I220" s="43" t="str">
        <f t="shared" si="3"/>
        <v>(exact)</v>
      </c>
      <c r="J220" s="43" t="str">
        <f t="shared" si="4"/>
        <v/>
      </c>
      <c r="K220" s="43" t="b">
        <f t="shared" si="5"/>
        <v>0</v>
      </c>
      <c r="L220" s="21" t="str">
        <f>IFERROR(__xludf.DUMMYFUNCTION("if(regexmatch(B220,""e(.*)$""),regexextract(B220,""e(.*)$""),"""")"),"")</f>
        <v/>
      </c>
      <c r="M220" s="21"/>
      <c r="N220" s="45">
        <f>countif(Constants!F:F,F220)</f>
        <v>1</v>
      </c>
      <c r="O220" s="21" t="str">
        <f>VLOOKUP(A220,Constants!D:D,1,false)</f>
        <v>natural unit of velocity</v>
      </c>
    </row>
    <row r="221">
      <c r="A221" s="6" t="s">
        <v>1636</v>
      </c>
      <c r="B221" s="6" t="s">
        <v>4023</v>
      </c>
      <c r="C221" s="6" t="s">
        <v>4024</v>
      </c>
      <c r="D221" s="6" t="s">
        <v>571</v>
      </c>
      <c r="E221" s="42">
        <f>countif(Constants!F:F,F221)</f>
        <v>1</v>
      </c>
      <c r="F221" s="21" t="str">
        <f>ifna(VLOOKUP($A221,Constants!$D:$F,3,false),"")</f>
        <v>NeutronComptonWavelength</v>
      </c>
      <c r="G221" s="43" t="str">
        <f t="shared" si="1"/>
        <v>1.3195909068e-15</v>
      </c>
      <c r="H221" s="43">
        <f t="shared" si="2"/>
        <v>0</v>
      </c>
      <c r="I221" s="43" t="str">
        <f t="shared" si="3"/>
        <v>0.0000000011e-15</v>
      </c>
      <c r="J221" s="43">
        <f t="shared" si="4"/>
        <v>0</v>
      </c>
      <c r="K221" s="43" t="b">
        <f t="shared" si="5"/>
        <v>0</v>
      </c>
      <c r="L221" s="21" t="str">
        <f>IFERROR(__xludf.DUMMYFUNCTION("if(regexmatch(B221,""e(.*)$""),regexextract(B221,""e(.*)$""),"""")"),"-15")</f>
        <v>-15</v>
      </c>
      <c r="M221" s="21"/>
      <c r="N221" s="45">
        <f>countif(Constants!F:F,F221)</f>
        <v>1</v>
      </c>
      <c r="O221" s="21" t="str">
        <f>VLOOKUP(A221,Constants!D:D,1,false)</f>
        <v>neutron Compton wavelength</v>
      </c>
    </row>
    <row r="222">
      <c r="A222" s="6" t="s">
        <v>1929</v>
      </c>
      <c r="B222" s="6" t="s">
        <v>4025</v>
      </c>
      <c r="C222" s="6" t="s">
        <v>4026</v>
      </c>
      <c r="D222" s="6" t="s">
        <v>571</v>
      </c>
      <c r="E222" s="42">
        <f>countif(Constants!F:F,F222)</f>
        <v>1</v>
      </c>
      <c r="F222" s="13" t="s">
        <v>3537</v>
      </c>
      <c r="G222" s="43" t="str">
        <f t="shared" si="1"/>
        <v>0.21001941568e-15</v>
      </c>
      <c r="H222" s="43">
        <f t="shared" si="2"/>
        <v>0</v>
      </c>
      <c r="I222" s="43" t="str">
        <f t="shared" si="3"/>
        <v>0.00000000017e-15</v>
      </c>
      <c r="J222" s="43">
        <f t="shared" si="4"/>
        <v>0</v>
      </c>
      <c r="K222" s="43" t="b">
        <f t="shared" si="5"/>
        <v>0</v>
      </c>
      <c r="L222" s="21" t="str">
        <f>IFERROR(__xludf.DUMMYFUNCTION("if(regexmatch(B222,""e(.*)$""),regexextract(B222,""e(.*)$""),"""")"),"-15")</f>
        <v>-15</v>
      </c>
      <c r="M222" s="21"/>
      <c r="N222" s="45">
        <f>countif(Constants!F:F,F222)</f>
        <v>1</v>
      </c>
      <c r="O222" s="21" t="str">
        <f>VLOOKUP(A222,Constants!D:D,1,false)</f>
        <v>#N/A</v>
      </c>
    </row>
    <row r="223">
      <c r="A223" s="6" t="s">
        <v>1640</v>
      </c>
      <c r="B223" s="6" t="s">
        <v>3049</v>
      </c>
      <c r="C223" s="6" t="s">
        <v>2575</v>
      </c>
      <c r="E223" s="42">
        <f>countif(Constants!F:F,F223)</f>
        <v>1</v>
      </c>
      <c r="F223" s="21" t="str">
        <f>ifna(VLOOKUP($A223,Constants!$D:$F,3,false),"")</f>
        <v>NeutronElectronMagneticMomentRatio</v>
      </c>
      <c r="G223" s="43" t="str">
        <f t="shared" si="1"/>
        <v>1.04066882e-3</v>
      </c>
      <c r="H223" s="43">
        <f t="shared" si="2"/>
        <v>0.00104066882</v>
      </c>
      <c r="I223" s="43" t="str">
        <f t="shared" si="3"/>
        <v>0.00000025e-3</v>
      </c>
      <c r="J223" s="43">
        <f t="shared" si="4"/>
        <v>0.00000000025</v>
      </c>
      <c r="K223" s="43" t="b">
        <f t="shared" si="5"/>
        <v>0</v>
      </c>
      <c r="L223" s="21" t="str">
        <f>IFERROR(__xludf.DUMMYFUNCTION("if(regexmatch(B223,""e(.*)$""),regexextract(B223,""e(.*)$""),"""")"),"-3")</f>
        <v>-3</v>
      </c>
      <c r="M223" s="21"/>
      <c r="N223" s="45">
        <f>countif(Constants!F:F,F223)</f>
        <v>1</v>
      </c>
      <c r="O223" s="21" t="str">
        <f>VLOOKUP(A223,Constants!D:D,1,false)</f>
        <v>neutron-electron mag. mom. ratio</v>
      </c>
    </row>
    <row r="224">
      <c r="A224" s="6" t="s">
        <v>1645</v>
      </c>
      <c r="B224" s="6" t="s">
        <v>4027</v>
      </c>
      <c r="C224" s="6" t="s">
        <v>2765</v>
      </c>
      <c r="E224" s="42">
        <f>countif(Constants!F:F,F224)</f>
        <v>1</v>
      </c>
      <c r="F224" s="21" t="str">
        <f>ifna(VLOOKUP($A224,Constants!$D:$F,3,false),"")</f>
        <v>NeutronElectronMassRatio</v>
      </c>
      <c r="G224" s="43" t="str">
        <f t="shared" si="1"/>
        <v>1838.6836605</v>
      </c>
      <c r="H224" s="43">
        <f t="shared" si="2"/>
        <v>1838.683661</v>
      </c>
      <c r="I224" s="43" t="str">
        <f t="shared" si="3"/>
        <v>0.0000011</v>
      </c>
      <c r="J224" s="43">
        <f t="shared" si="4"/>
        <v>0.0000011</v>
      </c>
      <c r="K224" s="43" t="b">
        <f t="shared" si="5"/>
        <v>0</v>
      </c>
      <c r="L224" s="21" t="str">
        <f>IFERROR(__xludf.DUMMYFUNCTION("if(regexmatch(B224,""e(.*)$""),regexextract(B224,""e(.*)$""),"""")"),"")</f>
        <v/>
      </c>
      <c r="M224" s="21"/>
      <c r="N224" s="45">
        <f>countif(Constants!F:F,F224)</f>
        <v>1</v>
      </c>
      <c r="O224" s="21" t="str">
        <f>VLOOKUP(A224,Constants!D:D,1,false)</f>
        <v>neutron-electron mass ratio</v>
      </c>
    </row>
    <row r="225">
      <c r="A225" s="6" t="s">
        <v>1650</v>
      </c>
      <c r="B225" s="6" t="s">
        <v>3052</v>
      </c>
      <c r="C225" s="6" t="s">
        <v>2565</v>
      </c>
      <c r="E225" s="42">
        <f>countif(Constants!F:F,F225)</f>
        <v>1</v>
      </c>
      <c r="F225" s="21" t="str">
        <f>ifna(VLOOKUP($A225,Constants!$D:$F,3,false),"")</f>
        <v>NeutronGFactor</v>
      </c>
      <c r="G225" s="43" t="str">
        <f t="shared" si="1"/>
        <v>-3.82608545</v>
      </c>
      <c r="H225" s="43">
        <f t="shared" si="2"/>
        <v>-3.82608545</v>
      </c>
      <c r="I225" s="43" t="str">
        <f t="shared" si="3"/>
        <v>0.00000090</v>
      </c>
      <c r="J225" s="43">
        <f t="shared" si="4"/>
        <v>0.0000009</v>
      </c>
      <c r="K225" s="43" t="b">
        <f t="shared" si="5"/>
        <v>0</v>
      </c>
      <c r="L225" s="21" t="str">
        <f>IFERROR(__xludf.DUMMYFUNCTION("if(regexmatch(B225,""e(.*)$""),regexextract(B225,""e(.*)$""),"""")"),"")</f>
        <v/>
      </c>
      <c r="M225" s="21"/>
      <c r="N225" s="45">
        <f>countif(Constants!F:F,F225)</f>
        <v>1</v>
      </c>
      <c r="O225" s="21" t="str">
        <f>VLOOKUP(A225,Constants!D:D,1,false)</f>
        <v>neutron g factor</v>
      </c>
    </row>
    <row r="226">
      <c r="A226" s="6" t="s">
        <v>1654</v>
      </c>
      <c r="B226" s="6" t="s">
        <v>4028</v>
      </c>
      <c r="C226" s="6" t="s">
        <v>2567</v>
      </c>
      <c r="D226" s="6" t="s">
        <v>961</v>
      </c>
      <c r="E226" s="42">
        <f>countif(Constants!F:F,F226)</f>
        <v>1</v>
      </c>
      <c r="F226" s="21" t="str">
        <f>ifna(VLOOKUP($A226,Constants!$D:$F,3,false),"")</f>
        <v>NeutronGyromagneticRatio</v>
      </c>
      <c r="G226" s="43" t="str">
        <f t="shared" si="1"/>
        <v>1.83247179e8</v>
      </c>
      <c r="H226" s="43">
        <f t="shared" si="2"/>
        <v>183247179</v>
      </c>
      <c r="I226" s="43" t="str">
        <f t="shared" si="3"/>
        <v>0.00000043e8</v>
      </c>
      <c r="J226" s="43">
        <f t="shared" si="4"/>
        <v>43</v>
      </c>
      <c r="K226" s="43" t="b">
        <f t="shared" si="5"/>
        <v>0</v>
      </c>
      <c r="L226" s="21" t="str">
        <f>IFERROR(__xludf.DUMMYFUNCTION("if(regexmatch(B226,""e(.*)$""),regexextract(B226,""e(.*)$""),"""")"),"8")</f>
        <v>8</v>
      </c>
      <c r="M226" s="21"/>
      <c r="N226" s="45">
        <f>countif(Constants!F:F,F226)</f>
        <v>1</v>
      </c>
      <c r="O226" s="21" t="str">
        <f>VLOOKUP(A226,Constants!D:D,1,false)</f>
        <v>neutron gyromag. ratio</v>
      </c>
    </row>
    <row r="227">
      <c r="A227" s="6" t="s">
        <v>3540</v>
      </c>
      <c r="B227" s="6" t="s">
        <v>4029</v>
      </c>
      <c r="C227" s="6" t="s">
        <v>2570</v>
      </c>
      <c r="D227" s="6" t="s">
        <v>969</v>
      </c>
      <c r="E227" s="42">
        <f>countif(Constants!F:F,F227)</f>
        <v>1</v>
      </c>
      <c r="F227" s="6" t="s">
        <v>2571</v>
      </c>
      <c r="G227" s="43" t="str">
        <f t="shared" si="1"/>
        <v>29.1646943</v>
      </c>
      <c r="H227" s="43">
        <f t="shared" si="2"/>
        <v>29.1646943</v>
      </c>
      <c r="I227" s="43" t="str">
        <f t="shared" si="3"/>
        <v>0.0000069</v>
      </c>
      <c r="J227" s="43">
        <f t="shared" si="4"/>
        <v>0.0000069</v>
      </c>
      <c r="K227" s="43" t="b">
        <f t="shared" si="5"/>
        <v>0</v>
      </c>
      <c r="L227" s="21" t="str">
        <f>IFERROR(__xludf.DUMMYFUNCTION("if(regexmatch(B227,""e(.*)$""),regexextract(B227,""e(.*)$""),"""")"),"")</f>
        <v/>
      </c>
      <c r="M227" s="21"/>
      <c r="N227" s="45">
        <f>countif(Constants!F:F,F227)</f>
        <v>1</v>
      </c>
      <c r="O227" s="21" t="str">
        <f>VLOOKUP(A227,Constants!D:D,1,false)</f>
        <v>#N/A</v>
      </c>
    </row>
    <row r="228">
      <c r="A228" s="6" t="s">
        <v>1663</v>
      </c>
      <c r="B228" s="6" t="s">
        <v>4030</v>
      </c>
      <c r="C228" s="6" t="s">
        <v>3543</v>
      </c>
      <c r="D228" s="6" t="s">
        <v>714</v>
      </c>
      <c r="E228" s="42">
        <f>countif(Constants!F:F,F228)</f>
        <v>1</v>
      </c>
      <c r="F228" s="21" t="str">
        <f>ifna(VLOOKUP($A228,Constants!$D:$F,3,false),"")</f>
        <v>NeutronMagneticMoment</v>
      </c>
      <c r="G228" s="43" t="str">
        <f t="shared" si="1"/>
        <v>-0.96623647e-26</v>
      </c>
      <c r="H228" s="43">
        <f t="shared" si="2"/>
        <v>0</v>
      </c>
      <c r="I228" s="43" t="str">
        <f t="shared" si="3"/>
        <v>0.00000023e-26</v>
      </c>
      <c r="J228" s="43">
        <f t="shared" si="4"/>
        <v>0</v>
      </c>
      <c r="K228" s="43" t="b">
        <f t="shared" si="5"/>
        <v>0</v>
      </c>
      <c r="L228" s="21" t="str">
        <f>IFERROR(__xludf.DUMMYFUNCTION("if(regexmatch(B228,""e(.*)$""),regexextract(B228,""e(.*)$""),"""")"),"-26")</f>
        <v>-26</v>
      </c>
      <c r="M228" s="21"/>
      <c r="N228" s="45">
        <f>countif(Constants!F:F,F228)</f>
        <v>1</v>
      </c>
      <c r="O228" s="21" t="str">
        <f>VLOOKUP(A228,Constants!D:D,1,false)</f>
        <v>neutron mag. mom.</v>
      </c>
    </row>
    <row r="229">
      <c r="A229" s="6" t="s">
        <v>1668</v>
      </c>
      <c r="B229" s="6" t="s">
        <v>3056</v>
      </c>
      <c r="C229" s="6" t="s">
        <v>2575</v>
      </c>
      <c r="E229" s="42">
        <f>countif(Constants!F:F,F229)</f>
        <v>1</v>
      </c>
      <c r="F229" s="21" t="str">
        <f>ifna(VLOOKUP($A229,Constants!$D:$F,3,false),"")</f>
        <v>NeutronMagneticMomentToBohrMagnetonRatio</v>
      </c>
      <c r="G229" s="43" t="str">
        <f t="shared" si="1"/>
        <v>-1.04187563e-3</v>
      </c>
      <c r="H229" s="43">
        <f t="shared" si="2"/>
        <v>-0.00104187563</v>
      </c>
      <c r="I229" s="43" t="str">
        <f t="shared" si="3"/>
        <v>0.00000025e-3</v>
      </c>
      <c r="J229" s="43">
        <f t="shared" si="4"/>
        <v>0.00000000025</v>
      </c>
      <c r="K229" s="43" t="b">
        <f t="shared" si="5"/>
        <v>0</v>
      </c>
      <c r="L229" s="21" t="str">
        <f>IFERROR(__xludf.DUMMYFUNCTION("if(regexmatch(B229,""e(.*)$""),regexextract(B229,""e(.*)$""),"""")"),"-3")</f>
        <v>-3</v>
      </c>
      <c r="M229" s="21"/>
      <c r="N229" s="45">
        <f>countif(Constants!F:F,F229)</f>
        <v>1</v>
      </c>
      <c r="O229" s="21" t="str">
        <f>VLOOKUP(A229,Constants!D:D,1,false)</f>
        <v>neutron mag. mom. to Bohr magneton ratio</v>
      </c>
    </row>
    <row r="230">
      <c r="A230" s="6" t="s">
        <v>1673</v>
      </c>
      <c r="B230" s="6" t="s">
        <v>4031</v>
      </c>
      <c r="C230" s="6" t="s">
        <v>2577</v>
      </c>
      <c r="E230" s="42">
        <f>countif(Constants!F:F,F230)</f>
        <v>1</v>
      </c>
      <c r="F230" s="21" t="str">
        <f>ifna(VLOOKUP($A230,Constants!$D:$F,3,false),"")</f>
        <v>NeutronMagneticMomentToNuclearMagnetonRatio</v>
      </c>
      <c r="G230" s="43" t="str">
        <f t="shared" si="1"/>
        <v>-1.91304272</v>
      </c>
      <c r="H230" s="43">
        <f t="shared" si="2"/>
        <v>-1.91304272</v>
      </c>
      <c r="I230" s="43" t="str">
        <f t="shared" si="3"/>
        <v>0.00000045</v>
      </c>
      <c r="J230" s="43">
        <f t="shared" si="4"/>
        <v>0.00000045</v>
      </c>
      <c r="K230" s="43" t="b">
        <f t="shared" si="5"/>
        <v>0</v>
      </c>
      <c r="L230" s="21" t="str">
        <f>IFERROR(__xludf.DUMMYFUNCTION("if(regexmatch(B230,""e(.*)$""),regexextract(B230,""e(.*)$""),"""")"),"")</f>
        <v/>
      </c>
      <c r="M230" s="21"/>
      <c r="N230" s="45">
        <f>countif(Constants!F:F,F230)</f>
        <v>1</v>
      </c>
      <c r="O230" s="21" t="str">
        <f>VLOOKUP(A230,Constants!D:D,1,false)</f>
        <v>neutron mag. mom. to nuclear magneton ratio</v>
      </c>
    </row>
    <row r="231">
      <c r="A231" s="6" t="s">
        <v>1678</v>
      </c>
      <c r="B231" s="6" t="s">
        <v>4032</v>
      </c>
      <c r="C231" s="6" t="s">
        <v>4033</v>
      </c>
      <c r="D231" s="6" t="s">
        <v>538</v>
      </c>
      <c r="E231" s="42">
        <f>countif(Constants!F:F,F231)</f>
        <v>1</v>
      </c>
      <c r="F231" s="21" t="str">
        <f>ifna(VLOOKUP($A231,Constants!$D:$F,3,false),"")</f>
        <v>NeutronMass</v>
      </c>
      <c r="G231" s="43" t="str">
        <f t="shared" si="1"/>
        <v>1.674927351e-27</v>
      </c>
      <c r="H231" s="43">
        <f t="shared" si="2"/>
        <v>0</v>
      </c>
      <c r="I231" s="43" t="str">
        <f t="shared" si="3"/>
        <v>0.000000074e-27</v>
      </c>
      <c r="J231" s="43">
        <f t="shared" si="4"/>
        <v>0</v>
      </c>
      <c r="K231" s="43" t="b">
        <f t="shared" si="5"/>
        <v>0</v>
      </c>
      <c r="L231" s="21" t="str">
        <f>IFERROR(__xludf.DUMMYFUNCTION("if(regexmatch(B231,""e(.*)$""),regexextract(B231,""e(.*)$""),"""")"),"-27")</f>
        <v>-27</v>
      </c>
      <c r="M231" s="21"/>
      <c r="N231" s="45">
        <f>countif(Constants!F:F,F231)</f>
        <v>1</v>
      </c>
      <c r="O231" s="21" t="str">
        <f>VLOOKUP(A231,Constants!D:D,1,false)</f>
        <v>neutron mass</v>
      </c>
    </row>
    <row r="232">
      <c r="A232" s="6" t="s">
        <v>1682</v>
      </c>
      <c r="B232" s="6" t="s">
        <v>4034</v>
      </c>
      <c r="C232" s="6" t="s">
        <v>3723</v>
      </c>
      <c r="D232" s="6" t="s">
        <v>543</v>
      </c>
      <c r="E232" s="42">
        <f>countif(Constants!F:F,F232)</f>
        <v>1</v>
      </c>
      <c r="F232" s="21" t="str">
        <f>ifna(VLOOKUP($A232,Constants!$D:$F,3,false),"")</f>
        <v>NeutronMassEnergyEquivalent</v>
      </c>
      <c r="G232" s="43" t="str">
        <f t="shared" si="1"/>
        <v>1.505349631e-10</v>
      </c>
      <c r="H232" s="43">
        <f t="shared" si="2"/>
        <v>0.0000000001505349631</v>
      </c>
      <c r="I232" s="43" t="str">
        <f t="shared" si="3"/>
        <v>0.000000066e-10</v>
      </c>
      <c r="J232" s="43">
        <f t="shared" si="4"/>
        <v>0</v>
      </c>
      <c r="K232" s="43" t="b">
        <f t="shared" si="5"/>
        <v>0</v>
      </c>
      <c r="L232" s="21" t="str">
        <f>IFERROR(__xludf.DUMMYFUNCTION("if(regexmatch(B232,""e(.*)$""),regexextract(B232,""e(.*)$""),"""")"),"-10")</f>
        <v>-10</v>
      </c>
      <c r="M232" s="21"/>
      <c r="N232" s="45">
        <f>countif(Constants!F:F,F232)</f>
        <v>1</v>
      </c>
      <c r="O232" s="21" t="str">
        <f>VLOOKUP(A232,Constants!D:D,1,false)</f>
        <v>neutron mass energy equivalent</v>
      </c>
    </row>
    <row r="233">
      <c r="A233" s="6" t="s">
        <v>1686</v>
      </c>
      <c r="B233" s="6" t="s">
        <v>4035</v>
      </c>
      <c r="C233" s="6" t="s">
        <v>3131</v>
      </c>
      <c r="D233" s="6" t="s">
        <v>548</v>
      </c>
      <c r="E233" s="42">
        <f>countif(Constants!F:F,F233)</f>
        <v>1</v>
      </c>
      <c r="F233" s="21" t="str">
        <f>ifna(VLOOKUP($A233,Constants!$D:$F,3,false),"")</f>
        <v>NeutronMassEnergyEquivalentInMeV</v>
      </c>
      <c r="G233" s="43" t="str">
        <f t="shared" si="1"/>
        <v>939.565379</v>
      </c>
      <c r="H233" s="43">
        <f t="shared" si="2"/>
        <v>939.565379</v>
      </c>
      <c r="I233" s="43" t="str">
        <f t="shared" si="3"/>
        <v>0.000021</v>
      </c>
      <c r="J233" s="43">
        <f t="shared" si="4"/>
        <v>0.000021</v>
      </c>
      <c r="K233" s="43" t="b">
        <f t="shared" si="5"/>
        <v>0</v>
      </c>
      <c r="L233" s="21" t="str">
        <f>IFERROR(__xludf.DUMMYFUNCTION("if(regexmatch(B233,""e(.*)$""),regexextract(B233,""e(.*)$""),"""")"),"")</f>
        <v/>
      </c>
      <c r="M233" s="21"/>
      <c r="N233" s="45">
        <f>countif(Constants!F:F,F233)</f>
        <v>1</v>
      </c>
      <c r="O233" s="21" t="str">
        <f>VLOOKUP(A233,Constants!D:D,1,false)</f>
        <v>neutron mass energy equivalent in MeV</v>
      </c>
    </row>
    <row r="234">
      <c r="A234" s="6" t="s">
        <v>1689</v>
      </c>
      <c r="B234" s="6" t="s">
        <v>4036</v>
      </c>
      <c r="C234" s="6" t="s">
        <v>4037</v>
      </c>
      <c r="D234" s="6" t="s">
        <v>553</v>
      </c>
      <c r="E234" s="42">
        <f>countif(Constants!F:F,F234)</f>
        <v>1</v>
      </c>
      <c r="F234" s="21" t="str">
        <f>ifna(VLOOKUP($A234,Constants!$D:$F,3,false),"")</f>
        <v>NeutronMassInAtomicMassUnit</v>
      </c>
      <c r="G234" s="43" t="str">
        <f t="shared" si="1"/>
        <v>1.00866491600</v>
      </c>
      <c r="H234" s="43">
        <f t="shared" si="2"/>
        <v>1.008664916</v>
      </c>
      <c r="I234" s="43" t="str">
        <f t="shared" si="3"/>
        <v>0.00000000043</v>
      </c>
      <c r="J234" s="43">
        <f t="shared" si="4"/>
        <v>0.00000000043</v>
      </c>
      <c r="K234" s="43" t="b">
        <f t="shared" si="5"/>
        <v>0</v>
      </c>
      <c r="L234" s="21" t="str">
        <f>IFERROR(__xludf.DUMMYFUNCTION("if(regexmatch(B234,""e(.*)$""),regexextract(B234,""e(.*)$""),"""")"),"")</f>
        <v/>
      </c>
      <c r="M234" s="21"/>
      <c r="N234" s="45">
        <f>countif(Constants!F:F,F234)</f>
        <v>1</v>
      </c>
      <c r="O234" s="21" t="str">
        <f>VLOOKUP(A234,Constants!D:D,1,false)</f>
        <v>neutron mass in u</v>
      </c>
    </row>
    <row r="235">
      <c r="A235" s="6" t="s">
        <v>1692</v>
      </c>
      <c r="B235" s="6" t="s">
        <v>4038</v>
      </c>
      <c r="C235" s="6" t="s">
        <v>4039</v>
      </c>
      <c r="D235" s="6" t="s">
        <v>557</v>
      </c>
      <c r="E235" s="42">
        <f>countif(Constants!F:F,F235)</f>
        <v>1</v>
      </c>
      <c r="F235" s="21" t="str">
        <f>ifna(VLOOKUP($A235,Constants!$D:$F,3,false),"")</f>
        <v>NeutronMolarMass</v>
      </c>
      <c r="G235" s="43" t="str">
        <f t="shared" si="1"/>
        <v>1.00866491600e-3</v>
      </c>
      <c r="H235" s="43">
        <f t="shared" si="2"/>
        <v>0.001008664916</v>
      </c>
      <c r="I235" s="43" t="str">
        <f t="shared" si="3"/>
        <v>0.00000000043e-3</v>
      </c>
      <c r="J235" s="43">
        <f t="shared" si="4"/>
        <v>0</v>
      </c>
      <c r="K235" s="43" t="b">
        <f t="shared" si="5"/>
        <v>0</v>
      </c>
      <c r="L235" s="21" t="str">
        <f>IFERROR(__xludf.DUMMYFUNCTION("if(regexmatch(B235,""e(.*)$""),regexextract(B235,""e(.*)$""),"""")"),"-3")</f>
        <v>-3</v>
      </c>
      <c r="M235" s="21"/>
      <c r="N235" s="45">
        <f>countif(Constants!F:F,F235)</f>
        <v>1</v>
      </c>
      <c r="O235" s="21" t="str">
        <f>VLOOKUP(A235,Constants!D:D,1,false)</f>
        <v>neutron molar mass</v>
      </c>
    </row>
    <row r="236">
      <c r="A236" s="6" t="s">
        <v>1696</v>
      </c>
      <c r="B236" s="6" t="s">
        <v>4040</v>
      </c>
      <c r="C236" s="6" t="s">
        <v>4002</v>
      </c>
      <c r="E236" s="42">
        <f>countif(Constants!F:F,F236)</f>
        <v>1</v>
      </c>
      <c r="F236" s="21" t="str">
        <f>ifna(VLOOKUP($A236,Constants!$D:$F,3,false),"")</f>
        <v>NeutronMuonMassRatio</v>
      </c>
      <c r="G236" s="43" t="str">
        <f t="shared" si="1"/>
        <v>8.89248400</v>
      </c>
      <c r="H236" s="43">
        <f t="shared" si="2"/>
        <v>8.892484</v>
      </c>
      <c r="I236" s="43" t="str">
        <f t="shared" si="3"/>
        <v>0.00000022</v>
      </c>
      <c r="J236" s="43">
        <f t="shared" si="4"/>
        <v>0.00000022</v>
      </c>
      <c r="K236" s="43" t="b">
        <f t="shared" si="5"/>
        <v>0</v>
      </c>
      <c r="L236" s="21" t="str">
        <f>IFERROR(__xludf.DUMMYFUNCTION("if(regexmatch(B236,""e(.*)$""),regexextract(B236,""e(.*)$""),"""")"),"")</f>
        <v/>
      </c>
      <c r="M236" s="21"/>
      <c r="N236" s="45">
        <f>countif(Constants!F:F,F236)</f>
        <v>1</v>
      </c>
      <c r="O236" s="21" t="str">
        <f>VLOOKUP(A236,Constants!D:D,1,false)</f>
        <v>neutron-muon mass ratio</v>
      </c>
    </row>
    <row r="237">
      <c r="A237" s="6" t="s">
        <v>1701</v>
      </c>
      <c r="B237" s="6" t="s">
        <v>3069</v>
      </c>
      <c r="C237" s="6" t="s">
        <v>2436</v>
      </c>
      <c r="E237" s="42">
        <f>countif(Constants!F:F,F237)</f>
        <v>1</v>
      </c>
      <c r="F237" s="21" t="str">
        <f>ifna(VLOOKUP($A237,Constants!$D:$F,3,false),"")</f>
        <v>NeutronProtonMagneticMomentRatio</v>
      </c>
      <c r="G237" s="43" t="str">
        <f t="shared" si="1"/>
        <v>-0.68497934</v>
      </c>
      <c r="H237" s="43">
        <f t="shared" si="2"/>
        <v>-0.68497934</v>
      </c>
      <c r="I237" s="43" t="str">
        <f t="shared" si="3"/>
        <v>0.00000016</v>
      </c>
      <c r="J237" s="43">
        <f t="shared" si="4"/>
        <v>0.00000016</v>
      </c>
      <c r="K237" s="43" t="b">
        <f t="shared" si="5"/>
        <v>0</v>
      </c>
      <c r="L237" s="21" t="str">
        <f>IFERROR(__xludf.DUMMYFUNCTION("if(regexmatch(B237,""e(.*)$""),regexextract(B237,""e(.*)$""),"""")"),"")</f>
        <v/>
      </c>
      <c r="M237" s="21"/>
      <c r="N237" s="45">
        <f>countif(Constants!F:F,F237)</f>
        <v>1</v>
      </c>
      <c r="O237" s="21" t="str">
        <f>VLOOKUP(A237,Constants!D:D,1,false)</f>
        <v>neutron-proton mag. mom. ratio</v>
      </c>
    </row>
    <row r="238">
      <c r="A238" s="6" t="s">
        <v>1706</v>
      </c>
      <c r="B238" s="6" t="s">
        <v>4041</v>
      </c>
      <c r="C238" s="6" t="s">
        <v>4042</v>
      </c>
      <c r="E238" s="42">
        <f>countif(Constants!F:F,F238)</f>
        <v>1</v>
      </c>
      <c r="F238" s="21" t="str">
        <f>ifna(VLOOKUP($A238,Constants!$D:$F,3,false),"")</f>
        <v>Neutron-ProtonMassDifference</v>
      </c>
      <c r="G238" s="43" t="str">
        <f t="shared" si="1"/>
        <v>2.30557392e-30</v>
      </c>
      <c r="H238" s="43">
        <f t="shared" si="2"/>
        <v>0</v>
      </c>
      <c r="I238" s="43" t="str">
        <f t="shared" si="3"/>
        <v>0.00000076e-30</v>
      </c>
      <c r="J238" s="43">
        <f t="shared" si="4"/>
        <v>0</v>
      </c>
      <c r="K238" s="43" t="b">
        <f t="shared" si="5"/>
        <v>0</v>
      </c>
      <c r="L238" s="21" t="str">
        <f>IFERROR(__xludf.DUMMYFUNCTION("if(regexmatch(B238,""e(.*)$""),regexextract(B238,""e(.*)$""),"""")"),"-30")</f>
        <v>-30</v>
      </c>
      <c r="M238" s="21"/>
      <c r="N238" s="45">
        <f>countif(Constants!F:F,F238)</f>
        <v>1</v>
      </c>
      <c r="O238" s="21" t="str">
        <f>VLOOKUP(A238,Constants!D:D,1,false)</f>
        <v>neutron-proton mass difference</v>
      </c>
    </row>
    <row r="239">
      <c r="A239" s="6" t="s">
        <v>1710</v>
      </c>
      <c r="B239" s="6" t="s">
        <v>4043</v>
      </c>
      <c r="C239" s="6" t="s">
        <v>4044</v>
      </c>
      <c r="E239" s="42">
        <f>countif(Constants!F:F,F239)</f>
        <v>1</v>
      </c>
      <c r="F239" s="21" t="str">
        <f>ifna(VLOOKUP($A239,Constants!$D:$F,3,false),"")</f>
        <v>Neutron-ProtonMassDifferenceEnergyEquivalent</v>
      </c>
      <c r="G239" s="43" t="str">
        <f t="shared" si="1"/>
        <v>2.07214650e-13</v>
      </c>
      <c r="H239" s="43">
        <f t="shared" si="2"/>
        <v>0</v>
      </c>
      <c r="I239" s="43" t="str">
        <f t="shared" si="3"/>
        <v>0.00000068e-13</v>
      </c>
      <c r="J239" s="43">
        <f t="shared" si="4"/>
        <v>0</v>
      </c>
      <c r="K239" s="43" t="b">
        <f t="shared" si="5"/>
        <v>0</v>
      </c>
      <c r="L239" s="21" t="str">
        <f>IFERROR(__xludf.DUMMYFUNCTION("if(regexmatch(B239,""e(.*)$""),regexextract(B239,""e(.*)$""),"""")"),"-13")</f>
        <v>-13</v>
      </c>
      <c r="M239" s="21"/>
      <c r="N239" s="45">
        <f>countif(Constants!F:F,F239)</f>
        <v>1</v>
      </c>
      <c r="O239" s="21" t="str">
        <f>VLOOKUP(A239,Constants!D:D,1,false)</f>
        <v>neutron-proton mass difference energy equivalent</v>
      </c>
    </row>
    <row r="240">
      <c r="A240" s="6" t="s">
        <v>1714</v>
      </c>
      <c r="B240" s="6" t="s">
        <v>4045</v>
      </c>
      <c r="C240" s="6" t="s">
        <v>4046</v>
      </c>
      <c r="E240" s="42">
        <f>countif(Constants!F:F,F240)</f>
        <v>1</v>
      </c>
      <c r="F240" s="21" t="str">
        <f>ifna(VLOOKUP($A240,Constants!$D:$F,3,false),"")</f>
        <v>Neutron-ProtonMassDifferenceEnergyEquivalentInMev</v>
      </c>
      <c r="G240" s="43" t="str">
        <f t="shared" si="1"/>
        <v>1.29333217</v>
      </c>
      <c r="H240" s="43">
        <f t="shared" si="2"/>
        <v>1.29333217</v>
      </c>
      <c r="I240" s="43" t="str">
        <f t="shared" si="3"/>
        <v>0.00000042</v>
      </c>
      <c r="J240" s="43">
        <f t="shared" si="4"/>
        <v>0.00000042</v>
      </c>
      <c r="K240" s="43" t="b">
        <f t="shared" si="5"/>
        <v>0</v>
      </c>
      <c r="L240" s="21" t="str">
        <f>IFERROR(__xludf.DUMMYFUNCTION("if(regexmatch(B240,""e(.*)$""),regexextract(B240,""e(.*)$""),"""")"),"")</f>
        <v/>
      </c>
      <c r="M240" s="21"/>
      <c r="N240" s="45">
        <f>countif(Constants!F:F,F240)</f>
        <v>1</v>
      </c>
      <c r="O240" s="21" t="str">
        <f>VLOOKUP(A240,Constants!D:D,1,false)</f>
        <v>neutron-proton mass difference energy equivalent in MeV</v>
      </c>
    </row>
    <row r="241">
      <c r="A241" s="6" t="s">
        <v>1717</v>
      </c>
      <c r="B241" s="6" t="s">
        <v>4047</v>
      </c>
      <c r="C241" s="6" t="s">
        <v>3139</v>
      </c>
      <c r="E241" s="42">
        <f>countif(Constants!F:F,F241)</f>
        <v>1</v>
      </c>
      <c r="F241" s="21" t="str">
        <f>ifna(VLOOKUP($A241,Constants!$D:$F,3,false),"")</f>
        <v>Neutron-ProtonMassDifferenceInU</v>
      </c>
      <c r="G241" s="43" t="str">
        <f t="shared" si="1"/>
        <v>0.00138844919</v>
      </c>
      <c r="H241" s="43">
        <f t="shared" si="2"/>
        <v>0.00138844919</v>
      </c>
      <c r="I241" s="43" t="str">
        <f t="shared" si="3"/>
        <v>0.00000000045</v>
      </c>
      <c r="J241" s="43">
        <f t="shared" si="4"/>
        <v>0.00000000045</v>
      </c>
      <c r="K241" s="43" t="b">
        <f t="shared" si="5"/>
        <v>0</v>
      </c>
      <c r="L241" s="21" t="str">
        <f>IFERROR(__xludf.DUMMYFUNCTION("if(regexmatch(B241,""e(.*)$""),regexextract(B241,""e(.*)$""),"""")"),"")</f>
        <v/>
      </c>
      <c r="M241" s="21"/>
      <c r="N241" s="45">
        <f>countif(Constants!F:F,F241)</f>
        <v>1</v>
      </c>
      <c r="O241" s="21" t="str">
        <f>VLOOKUP(A241,Constants!D:D,1,false)</f>
        <v>neutron-proton mass difference in u</v>
      </c>
    </row>
    <row r="242">
      <c r="A242" s="6" t="s">
        <v>1719</v>
      </c>
      <c r="B242" s="6" t="s">
        <v>4048</v>
      </c>
      <c r="C242" s="6" t="s">
        <v>3139</v>
      </c>
      <c r="E242" s="42">
        <f>countif(Constants!F:F,F242)</f>
        <v>1</v>
      </c>
      <c r="F242" s="21" t="str">
        <f>ifna(VLOOKUP($A242,Constants!$D:$F,3,false),"")</f>
        <v>NeutronProtonMassRatio</v>
      </c>
      <c r="G242" s="43" t="str">
        <f t="shared" si="1"/>
        <v>1.00137841917</v>
      </c>
      <c r="H242" s="43">
        <f t="shared" si="2"/>
        <v>1.001378419</v>
      </c>
      <c r="I242" s="43" t="str">
        <f t="shared" si="3"/>
        <v>0.00000000045</v>
      </c>
      <c r="J242" s="43">
        <f t="shared" si="4"/>
        <v>0.00000000045</v>
      </c>
      <c r="K242" s="43" t="b">
        <f t="shared" si="5"/>
        <v>0</v>
      </c>
      <c r="L242" s="21" t="str">
        <f>IFERROR(__xludf.DUMMYFUNCTION("if(regexmatch(B242,""e(.*)$""),regexextract(B242,""e(.*)$""),"""")"),"")</f>
        <v/>
      </c>
      <c r="M242" s="21"/>
      <c r="N242" s="45">
        <f>countif(Constants!F:F,F242)</f>
        <v>1</v>
      </c>
      <c r="O242" s="21" t="str">
        <f>VLOOKUP(A242,Constants!D:D,1,false)</f>
        <v>neutron-proton mass ratio</v>
      </c>
    </row>
    <row r="243">
      <c r="A243" s="6" t="s">
        <v>1727</v>
      </c>
      <c r="B243" s="6" t="s">
        <v>3562</v>
      </c>
      <c r="C243" s="6" t="s">
        <v>3563</v>
      </c>
      <c r="E243" s="42">
        <f>countif(Constants!F:F,F243)</f>
        <v>1</v>
      </c>
      <c r="F243" s="21" t="str">
        <f>ifna(VLOOKUP($A243,Constants!$D:$F,3,false),"")</f>
        <v>NeutronTauMassRatio</v>
      </c>
      <c r="G243" s="43" t="str">
        <f t="shared" si="1"/>
        <v>0.528790</v>
      </c>
      <c r="H243" s="43">
        <f t="shared" si="2"/>
        <v>0.52879</v>
      </c>
      <c r="I243" s="43" t="str">
        <f t="shared" si="3"/>
        <v>0.000048</v>
      </c>
      <c r="J243" s="43">
        <f t="shared" si="4"/>
        <v>0.000048</v>
      </c>
      <c r="K243" s="43" t="b">
        <f t="shared" si="5"/>
        <v>0</v>
      </c>
      <c r="L243" s="21" t="str">
        <f>IFERROR(__xludf.DUMMYFUNCTION("if(regexmatch(B243,""e(.*)$""),regexextract(B243,""e(.*)$""),"""")"),"")</f>
        <v/>
      </c>
      <c r="M243" s="21"/>
      <c r="N243" s="45">
        <f>countif(Constants!F:F,F243)</f>
        <v>1</v>
      </c>
      <c r="O243" s="21" t="str">
        <f>VLOOKUP(A243,Constants!D:D,1,false)</f>
        <v>neutron-tau mass ratio</v>
      </c>
    </row>
    <row r="244">
      <c r="A244" s="6" t="s">
        <v>1732</v>
      </c>
      <c r="B244" s="6" t="s">
        <v>3080</v>
      </c>
      <c r="C244" s="6" t="s">
        <v>2436</v>
      </c>
      <c r="E244" s="42">
        <f>countif(Constants!F:F,F244)</f>
        <v>1</v>
      </c>
      <c r="F244" s="21" t="str">
        <f>ifna(VLOOKUP($A244,Constants!$D:$F,3,false),"")</f>
        <v>NeutronToShieldedProtonMagneticMomentRatio</v>
      </c>
      <c r="G244" s="43" t="str">
        <f t="shared" si="1"/>
        <v>-0.68499694</v>
      </c>
      <c r="H244" s="43">
        <f t="shared" si="2"/>
        <v>-0.68499694</v>
      </c>
      <c r="I244" s="43" t="str">
        <f t="shared" si="3"/>
        <v>0.00000016</v>
      </c>
      <c r="J244" s="43">
        <f t="shared" si="4"/>
        <v>0.00000016</v>
      </c>
      <c r="K244" s="43" t="b">
        <f t="shared" si="5"/>
        <v>0</v>
      </c>
      <c r="L244" s="21" t="str">
        <f>IFERROR(__xludf.DUMMYFUNCTION("if(regexmatch(B244,""e(.*)$""),regexextract(B244,""e(.*)$""),"""")"),"")</f>
        <v/>
      </c>
      <c r="M244" s="21"/>
      <c r="N244" s="45">
        <f>countif(Constants!F:F,F244)</f>
        <v>1</v>
      </c>
      <c r="O244" s="21" t="str">
        <f>VLOOKUP(A244,Constants!D:D,1,false)</f>
        <v>neutron to shielded proton mag. mom. ratio</v>
      </c>
    </row>
    <row r="245">
      <c r="A245" s="6" t="s">
        <v>1737</v>
      </c>
      <c r="B245" s="6" t="s">
        <v>4049</v>
      </c>
      <c r="C245" s="6" t="s">
        <v>4050</v>
      </c>
      <c r="D245" s="6" t="s">
        <v>1738</v>
      </c>
      <c r="E245" s="42">
        <f>countif(Constants!F:F,F245)</f>
        <v>1</v>
      </c>
      <c r="F245" s="21" t="str">
        <f>ifna(VLOOKUP($A245,Constants!$D:$F,3,false),"")</f>
        <v>NewtonianConstantOfGravitation</v>
      </c>
      <c r="G245" s="43" t="str">
        <f t="shared" si="1"/>
        <v>6.67384e-11</v>
      </c>
      <c r="H245" s="43">
        <f t="shared" si="2"/>
        <v>0</v>
      </c>
      <c r="I245" s="43" t="str">
        <f t="shared" si="3"/>
        <v>0.00080e-11</v>
      </c>
      <c r="J245" s="43">
        <f t="shared" si="4"/>
        <v>0</v>
      </c>
      <c r="K245" s="43" t="b">
        <f t="shared" si="5"/>
        <v>0</v>
      </c>
      <c r="L245" s="21" t="str">
        <f>IFERROR(__xludf.DUMMYFUNCTION("if(regexmatch(B245,""e(.*)$""),regexextract(B245,""e(.*)$""),"""")"),"-11")</f>
        <v>-11</v>
      </c>
      <c r="M245" s="21"/>
      <c r="N245" s="45">
        <f>countif(Constants!F:F,F245)</f>
        <v>1</v>
      </c>
      <c r="O245" s="21" t="str">
        <f>VLOOKUP(A245,Constants!D:D,1,false)</f>
        <v>Newtonian constant of gravitation</v>
      </c>
    </row>
    <row r="246">
      <c r="A246" s="6" t="s">
        <v>1744</v>
      </c>
      <c r="B246" s="6" t="s">
        <v>4051</v>
      </c>
      <c r="C246" s="6" t="s">
        <v>4052</v>
      </c>
      <c r="D246" s="6" t="s">
        <v>1745</v>
      </c>
      <c r="E246" s="42">
        <f>countif(Constants!F:F,F246)</f>
        <v>1</v>
      </c>
      <c r="F246" s="21" t="str">
        <f>ifna(VLOOKUP($A246,Constants!$D:$F,3,false),"")</f>
        <v>NewtonianConstantOfGravitationOverHBarC</v>
      </c>
      <c r="G246" s="43" t="str">
        <f t="shared" si="1"/>
        <v>6.70837e-39</v>
      </c>
      <c r="H246" s="43">
        <f t="shared" si="2"/>
        <v>0</v>
      </c>
      <c r="I246" s="43" t="str">
        <f t="shared" si="3"/>
        <v>0.00080e-39</v>
      </c>
      <c r="J246" s="43">
        <f t="shared" si="4"/>
        <v>0</v>
      </c>
      <c r="K246" s="43" t="b">
        <f t="shared" si="5"/>
        <v>0</v>
      </c>
      <c r="L246" s="21" t="str">
        <f>IFERROR(__xludf.DUMMYFUNCTION("if(regexmatch(B246,""e(.*)$""),regexextract(B246,""e(.*)$""),"""")"),"-39")</f>
        <v>-39</v>
      </c>
      <c r="M246" s="21"/>
      <c r="N246" s="45">
        <f>countif(Constants!F:F,F246)</f>
        <v>1</v>
      </c>
      <c r="O246" s="21" t="str">
        <f>VLOOKUP(A246,Constants!D:D,1,false)</f>
        <v>Newtonian constant of gravitation over h-bar c</v>
      </c>
    </row>
    <row r="247">
      <c r="A247" s="6" t="s">
        <v>1750</v>
      </c>
      <c r="B247" s="6" t="s">
        <v>4053</v>
      </c>
      <c r="C247" s="6" t="s">
        <v>4054</v>
      </c>
      <c r="D247" s="6" t="s">
        <v>714</v>
      </c>
      <c r="E247" s="42">
        <f>countif(Constants!F:F,F247)</f>
        <v>1</v>
      </c>
      <c r="F247" s="21" t="str">
        <f>ifna(VLOOKUP($A247,Constants!$D:$F,3,false),"")</f>
        <v>NuclearMagneton</v>
      </c>
      <c r="G247" s="43" t="str">
        <f t="shared" si="1"/>
        <v>5.05078353e-27</v>
      </c>
      <c r="H247" s="43">
        <f t="shared" si="2"/>
        <v>0</v>
      </c>
      <c r="I247" s="43" t="str">
        <f t="shared" si="3"/>
        <v>0.00000011e-27</v>
      </c>
      <c r="J247" s="43">
        <f t="shared" si="4"/>
        <v>0</v>
      </c>
      <c r="K247" s="43" t="b">
        <f t="shared" si="5"/>
        <v>0</v>
      </c>
      <c r="L247" s="21" t="str">
        <f>IFERROR(__xludf.DUMMYFUNCTION("if(regexmatch(B247,""e(.*)$""),regexextract(B247,""e(.*)$""),"""")"),"-27")</f>
        <v>-27</v>
      </c>
      <c r="M247" s="21"/>
      <c r="N247" s="45">
        <f>countif(Constants!F:F,F247)</f>
        <v>1</v>
      </c>
      <c r="O247" s="21" t="str">
        <f>VLOOKUP(A247,Constants!D:D,1,false)</f>
        <v>nuclear magneton</v>
      </c>
    </row>
    <row r="248">
      <c r="A248" s="6" t="s">
        <v>1754</v>
      </c>
      <c r="B248" s="6" t="s">
        <v>4055</v>
      </c>
      <c r="C248" s="6" t="s">
        <v>4056</v>
      </c>
      <c r="D248" s="6" t="s">
        <v>769</v>
      </c>
      <c r="E248" s="42">
        <f>countif(Constants!F:F,F248)</f>
        <v>1</v>
      </c>
      <c r="F248" s="21" t="str">
        <f>ifna(VLOOKUP($A248,Constants!$D:$F,3,false),"")</f>
        <v>NuclearMagnetonInEVPerT</v>
      </c>
      <c r="G248" s="43" t="str">
        <f t="shared" si="1"/>
        <v>3.1524512605e-8</v>
      </c>
      <c r="H248" s="43">
        <f t="shared" si="2"/>
        <v>0.00000003152451261</v>
      </c>
      <c r="I248" s="43" t="str">
        <f t="shared" si="3"/>
        <v>0.0000000022e-8</v>
      </c>
      <c r="J248" s="43">
        <f t="shared" si="4"/>
        <v>0</v>
      </c>
      <c r="K248" s="43" t="b">
        <f t="shared" si="5"/>
        <v>0</v>
      </c>
      <c r="L248" s="21" t="str">
        <f>IFERROR(__xludf.DUMMYFUNCTION("if(regexmatch(B248,""e(.*)$""),regexextract(B248,""e(.*)$""),"""")"),"-8")</f>
        <v>-8</v>
      </c>
      <c r="M248" s="21"/>
      <c r="N248" s="45">
        <f>countif(Constants!F:F,F248)</f>
        <v>1</v>
      </c>
      <c r="O248" s="21" t="str">
        <f>VLOOKUP(A248,Constants!D:D,1,false)</f>
        <v>nuclear magneton in eV/T</v>
      </c>
    </row>
    <row r="249">
      <c r="A249" s="6" t="s">
        <v>3572</v>
      </c>
      <c r="B249" s="6" t="s">
        <v>4057</v>
      </c>
      <c r="C249" s="6" t="s">
        <v>4058</v>
      </c>
      <c r="D249" s="6" t="s">
        <v>779</v>
      </c>
      <c r="E249" s="42">
        <f>countif(Constants!F:F,F249)</f>
        <v>1</v>
      </c>
      <c r="F249" s="6" t="s">
        <v>3575</v>
      </c>
      <c r="G249" s="43" t="str">
        <f t="shared" si="1"/>
        <v>2.542623527e-2</v>
      </c>
      <c r="H249" s="43">
        <f t="shared" si="2"/>
        <v>0.02542623527</v>
      </c>
      <c r="I249" s="43" t="str">
        <f t="shared" si="3"/>
        <v>0.000000056e-2</v>
      </c>
      <c r="J249" s="43">
        <f t="shared" si="4"/>
        <v>0.00000000056</v>
      </c>
      <c r="K249" s="43" t="b">
        <f t="shared" si="5"/>
        <v>0</v>
      </c>
      <c r="L249" s="21" t="str">
        <f>IFERROR(__xludf.DUMMYFUNCTION("if(regexmatch(B249,""e(.*)$""),regexextract(B249,""e(.*)$""),"""")"),"-2")</f>
        <v>-2</v>
      </c>
      <c r="M249" s="21"/>
      <c r="N249" s="45">
        <f>countif(Constants!F:F,F249)</f>
        <v>1</v>
      </c>
      <c r="O249" s="21" t="str">
        <f>VLOOKUP(A249,Constants!D:D,1,false)</f>
        <v>#N/A</v>
      </c>
    </row>
    <row r="250">
      <c r="A250" s="6" t="s">
        <v>1760</v>
      </c>
      <c r="B250" s="6" t="s">
        <v>4059</v>
      </c>
      <c r="C250" s="6" t="s">
        <v>4060</v>
      </c>
      <c r="D250" s="6" t="s">
        <v>784</v>
      </c>
      <c r="E250" s="42">
        <f>countif(Constants!F:F,F250)</f>
        <v>1</v>
      </c>
      <c r="F250" s="21" t="str">
        <f>ifna(VLOOKUP($A250,Constants!$D:$F,3,false),"")</f>
        <v>NuclearMagnetonInKPerT</v>
      </c>
      <c r="G250" s="43" t="str">
        <f t="shared" si="1"/>
        <v>3.6582682e-4</v>
      </c>
      <c r="H250" s="43">
        <f t="shared" si="2"/>
        <v>0.00036582682</v>
      </c>
      <c r="I250" s="43" t="str">
        <f t="shared" si="3"/>
        <v>0.0000033e-4</v>
      </c>
      <c r="J250" s="43">
        <f t="shared" si="4"/>
        <v>0.00000000033</v>
      </c>
      <c r="K250" s="43" t="b">
        <f t="shared" si="5"/>
        <v>0</v>
      </c>
      <c r="L250" s="21" t="str">
        <f>IFERROR(__xludf.DUMMYFUNCTION("if(regexmatch(B250,""e(.*)$""),regexextract(B250,""e(.*)$""),"""")"),"-4")</f>
        <v>-4</v>
      </c>
      <c r="M250" s="21"/>
      <c r="N250" s="45">
        <f>countif(Constants!F:F,F250)</f>
        <v>1</v>
      </c>
      <c r="O250" s="21" t="str">
        <f>VLOOKUP(A250,Constants!D:D,1,false)</f>
        <v>nuclear magneton in K/T</v>
      </c>
    </row>
    <row r="251">
      <c r="A251" s="6" t="s">
        <v>1763</v>
      </c>
      <c r="B251" s="6" t="s">
        <v>4061</v>
      </c>
      <c r="C251" s="6" t="s">
        <v>2223</v>
      </c>
      <c r="D251" s="6" t="s">
        <v>969</v>
      </c>
      <c r="E251" s="42">
        <f>countif(Constants!F:F,F251)</f>
        <v>1</v>
      </c>
      <c r="F251" s="21" t="str">
        <f>ifna(VLOOKUP($A251,Constants!$D:$F,3,false),"")</f>
        <v>NuclearMagnetonInMHzPerT</v>
      </c>
      <c r="G251" s="43" t="str">
        <f t="shared" si="1"/>
        <v>7.62259357</v>
      </c>
      <c r="H251" s="43">
        <f t="shared" si="2"/>
        <v>7.62259357</v>
      </c>
      <c r="I251" s="43" t="str">
        <f t="shared" si="3"/>
        <v>0.00000017</v>
      </c>
      <c r="J251" s="43">
        <f t="shared" si="4"/>
        <v>0.00000017</v>
      </c>
      <c r="K251" s="43" t="b">
        <f t="shared" si="5"/>
        <v>0</v>
      </c>
      <c r="L251" s="21" t="str">
        <f>IFERROR(__xludf.DUMMYFUNCTION("if(regexmatch(B251,""e(.*)$""),regexextract(B251,""e(.*)$""),"""")"),"")</f>
        <v/>
      </c>
      <c r="M251" s="21"/>
      <c r="N251" s="45">
        <f>countif(Constants!F:F,F251)</f>
        <v>1</v>
      </c>
      <c r="O251" s="21" t="str">
        <f>VLOOKUP(A251,Constants!D:D,1,false)</f>
        <v>nuclear magneton in MHz/T</v>
      </c>
    </row>
    <row r="252">
      <c r="A252" s="6" t="s">
        <v>1766</v>
      </c>
      <c r="B252" s="6" t="s">
        <v>3921</v>
      </c>
      <c r="C252" s="6" t="s">
        <v>3922</v>
      </c>
      <c r="D252" s="6" t="s">
        <v>643</v>
      </c>
      <c r="E252" s="42">
        <f>countif(Constants!F:F,F252)</f>
        <v>1</v>
      </c>
      <c r="F252" s="21" t="str">
        <f>ifna(VLOOKUP($A252,Constants!$D:$F,3,false),"")</f>
        <v>PlanckConstant</v>
      </c>
      <c r="G252" s="43" t="str">
        <f t="shared" si="1"/>
        <v>6.62606957e-34</v>
      </c>
      <c r="H252" s="43">
        <f t="shared" si="2"/>
        <v>0</v>
      </c>
      <c r="I252" s="43" t="str">
        <f t="shared" si="3"/>
        <v>0.00000029e-34</v>
      </c>
      <c r="J252" s="43">
        <f t="shared" si="4"/>
        <v>0</v>
      </c>
      <c r="K252" s="43" t="b">
        <f t="shared" si="5"/>
        <v>0</v>
      </c>
      <c r="L252" s="21" t="str">
        <f>IFERROR(__xludf.DUMMYFUNCTION("if(regexmatch(B252,""e(.*)$""),regexextract(B252,""e(.*)$""),"""")"),"-34")</f>
        <v>-34</v>
      </c>
      <c r="M252" s="21"/>
      <c r="N252" s="45">
        <f>countif(Constants!F:F,F252)</f>
        <v>1</v>
      </c>
      <c r="O252" s="21" t="str">
        <f>VLOOKUP(A252,Constants!D:D,1,false)</f>
        <v>Planck constant</v>
      </c>
    </row>
    <row r="253">
      <c r="A253" s="6" t="s">
        <v>3580</v>
      </c>
      <c r="B253" s="6" t="s">
        <v>3917</v>
      </c>
      <c r="C253" s="6" t="s">
        <v>3918</v>
      </c>
      <c r="D253" s="6" t="s">
        <v>1598</v>
      </c>
      <c r="E253" s="42">
        <f>countif(Constants!F:F,F253)</f>
        <v>1</v>
      </c>
      <c r="F253" s="6" t="s">
        <v>3581</v>
      </c>
      <c r="G253" s="43" t="str">
        <f t="shared" si="1"/>
        <v>4.135667516e-15</v>
      </c>
      <c r="H253" s="43">
        <f t="shared" si="2"/>
        <v>0</v>
      </c>
      <c r="I253" s="43" t="str">
        <f t="shared" si="3"/>
        <v>0.000000091e-15</v>
      </c>
      <c r="J253" s="43">
        <f t="shared" si="4"/>
        <v>0</v>
      </c>
      <c r="K253" s="43" t="b">
        <f t="shared" si="5"/>
        <v>0</v>
      </c>
      <c r="L253" s="21" t="str">
        <f>IFERROR(__xludf.DUMMYFUNCTION("if(regexmatch(B253,""e(.*)$""),regexextract(B253,""e(.*)$""),"""")"),"-15")</f>
        <v>-15</v>
      </c>
      <c r="M253" s="21"/>
      <c r="N253" s="45">
        <f>countif(Constants!F:F,F253)</f>
        <v>1</v>
      </c>
      <c r="O253" s="21" t="str">
        <f>VLOOKUP(A253,Constants!D:D,1,false)</f>
        <v>#N/A</v>
      </c>
    </row>
    <row r="254">
      <c r="A254" s="6" t="s">
        <v>1908</v>
      </c>
      <c r="B254" s="6" t="s">
        <v>3739</v>
      </c>
      <c r="C254" s="6" t="s">
        <v>3740</v>
      </c>
      <c r="D254" s="6" t="s">
        <v>643</v>
      </c>
      <c r="E254" s="42">
        <f>countif(Constants!F:F,F254)</f>
        <v>1</v>
      </c>
      <c r="F254" s="13" t="s">
        <v>3582</v>
      </c>
      <c r="G254" s="43" t="str">
        <f t="shared" si="1"/>
        <v>1.054571726e-34</v>
      </c>
      <c r="H254" s="43">
        <f t="shared" si="2"/>
        <v>0</v>
      </c>
      <c r="I254" s="43" t="str">
        <f t="shared" si="3"/>
        <v>0.000000047e-34</v>
      </c>
      <c r="J254" s="43">
        <f t="shared" si="4"/>
        <v>0</v>
      </c>
      <c r="K254" s="43" t="b">
        <f t="shared" si="5"/>
        <v>0</v>
      </c>
      <c r="L254" s="21" t="str">
        <f>IFERROR(__xludf.DUMMYFUNCTION("if(regexmatch(B254,""e(.*)$""),regexextract(B254,""e(.*)$""),"""")"),"-34")</f>
        <v>-34</v>
      </c>
      <c r="M254" s="21"/>
      <c r="N254" s="45">
        <f>countif(Constants!F:F,F254)</f>
        <v>1</v>
      </c>
      <c r="O254" s="21" t="str">
        <f>VLOOKUP(A254,Constants!D:D,1,false)</f>
        <v>#N/A</v>
      </c>
    </row>
    <row r="255">
      <c r="A255" s="6" t="s">
        <v>1912</v>
      </c>
      <c r="B255" s="6" t="s">
        <v>4017</v>
      </c>
      <c r="C255" s="6" t="s">
        <v>4018</v>
      </c>
      <c r="D255" s="6" t="s">
        <v>1598</v>
      </c>
      <c r="E255" s="42">
        <f>countif(Constants!F:F,F255)</f>
        <v>1</v>
      </c>
      <c r="F255" s="13" t="s">
        <v>3583</v>
      </c>
      <c r="G255" s="43" t="str">
        <f t="shared" si="1"/>
        <v>6.58211928e-16</v>
      </c>
      <c r="H255" s="43">
        <f t="shared" si="2"/>
        <v>0</v>
      </c>
      <c r="I255" s="43" t="str">
        <f t="shared" si="3"/>
        <v>0.00000015e-16</v>
      </c>
      <c r="J255" s="43">
        <f t="shared" si="4"/>
        <v>0</v>
      </c>
      <c r="K255" s="43" t="b">
        <f t="shared" si="5"/>
        <v>0</v>
      </c>
      <c r="L255" s="21" t="str">
        <f>IFERROR(__xludf.DUMMYFUNCTION("if(regexmatch(B255,""e(.*)$""),regexextract(B255,""e(.*)$""),"""")"),"-16")</f>
        <v>-16</v>
      </c>
      <c r="M255" s="21"/>
      <c r="N255" s="45">
        <f>countif(Constants!F:F,F255)</f>
        <v>1</v>
      </c>
      <c r="O255" s="21" t="str">
        <f>VLOOKUP(A255,Constants!D:D,1,false)</f>
        <v>#N/A</v>
      </c>
    </row>
    <row r="256">
      <c r="A256" s="6" t="s">
        <v>1919</v>
      </c>
      <c r="B256" s="6" t="s">
        <v>4062</v>
      </c>
      <c r="C256" s="6" t="s">
        <v>4063</v>
      </c>
      <c r="D256" s="6" t="s">
        <v>1916</v>
      </c>
      <c r="E256" s="42">
        <f>countif(Constants!F:F,F256)</f>
        <v>1</v>
      </c>
      <c r="F256" s="13" t="s">
        <v>3585</v>
      </c>
      <c r="G256" s="43" t="str">
        <f t="shared" si="1"/>
        <v>197.3269718</v>
      </c>
      <c r="H256" s="43">
        <f t="shared" si="2"/>
        <v>197.3269718</v>
      </c>
      <c r="I256" s="43" t="str">
        <f t="shared" si="3"/>
        <v>0.0000044</v>
      </c>
      <c r="J256" s="43">
        <f t="shared" si="4"/>
        <v>0.0000044</v>
      </c>
      <c r="K256" s="43" t="b">
        <f t="shared" si="5"/>
        <v>0</v>
      </c>
      <c r="L256" s="21" t="str">
        <f>IFERROR(__xludf.DUMMYFUNCTION("if(regexmatch(B256,""e(.*)$""),regexextract(B256,""e(.*)$""),"""")"),"")</f>
        <v/>
      </c>
      <c r="M256" s="21"/>
      <c r="N256" s="45">
        <f>countif(Constants!F:F,F256)</f>
        <v>1</v>
      </c>
      <c r="O256" s="21" t="str">
        <f>VLOOKUP(A256,Constants!D:D,1,false)</f>
        <v>#N/A</v>
      </c>
    </row>
    <row r="257">
      <c r="A257" s="6" t="s">
        <v>1777</v>
      </c>
      <c r="B257" s="6" t="s">
        <v>4064</v>
      </c>
      <c r="C257" s="6" t="s">
        <v>4065</v>
      </c>
      <c r="D257" s="6" t="s">
        <v>571</v>
      </c>
      <c r="E257" s="42">
        <f>countif(Constants!F:F,F257)</f>
        <v>1</v>
      </c>
      <c r="F257" s="21" t="str">
        <f>ifna(VLOOKUP($A257,Constants!$D:$F,3,false),"")</f>
        <v>PlanckLength</v>
      </c>
      <c r="G257" s="43" t="str">
        <f t="shared" si="1"/>
        <v>1.616199e-35</v>
      </c>
      <c r="H257" s="43">
        <f t="shared" si="2"/>
        <v>0</v>
      </c>
      <c r="I257" s="43" t="str">
        <f t="shared" si="3"/>
        <v>0.000097e-35</v>
      </c>
      <c r="J257" s="43">
        <f t="shared" si="4"/>
        <v>0</v>
      </c>
      <c r="K257" s="43" t="b">
        <f t="shared" si="5"/>
        <v>0</v>
      </c>
      <c r="L257" s="21" t="str">
        <f>IFERROR(__xludf.DUMMYFUNCTION("if(regexmatch(B257,""e(.*)$""),regexextract(B257,""e(.*)$""),"""")"),"-35")</f>
        <v>-35</v>
      </c>
      <c r="M257" s="21"/>
      <c r="N257" s="45">
        <f>countif(Constants!F:F,F257)</f>
        <v>1</v>
      </c>
      <c r="O257" s="21" t="str">
        <f>VLOOKUP(A257,Constants!D:D,1,false)</f>
        <v>Planck length</v>
      </c>
    </row>
    <row r="258">
      <c r="A258" s="6" t="s">
        <v>1781</v>
      </c>
      <c r="B258" s="6" t="s">
        <v>4066</v>
      </c>
      <c r="C258" s="6" t="s">
        <v>4067</v>
      </c>
      <c r="D258" s="6" t="s">
        <v>538</v>
      </c>
      <c r="E258" s="42">
        <f>countif(Constants!F:F,F258)</f>
        <v>1</v>
      </c>
      <c r="F258" s="21" t="str">
        <f>ifna(VLOOKUP($A258,Constants!$D:$F,3,false),"")</f>
        <v>PlanckMass</v>
      </c>
      <c r="G258" s="43" t="str">
        <f t="shared" si="1"/>
        <v>2.17651e-8</v>
      </c>
      <c r="H258" s="43">
        <f t="shared" si="2"/>
        <v>0.0000000217651</v>
      </c>
      <c r="I258" s="43" t="str">
        <f t="shared" si="3"/>
        <v>0.00013e-8</v>
      </c>
      <c r="J258" s="43">
        <f t="shared" si="4"/>
        <v>0</v>
      </c>
      <c r="K258" s="43" t="b">
        <f t="shared" si="5"/>
        <v>0</v>
      </c>
      <c r="L258" s="21" t="str">
        <f>IFERROR(__xludf.DUMMYFUNCTION("if(regexmatch(B258,""e(.*)$""),regexextract(B258,""e(.*)$""),"""")"),"-8")</f>
        <v>-8</v>
      </c>
      <c r="M258" s="21"/>
      <c r="N258" s="45">
        <f>countif(Constants!F:F,F258)</f>
        <v>1</v>
      </c>
      <c r="O258" s="21" t="str">
        <f>VLOOKUP(A258,Constants!D:D,1,false)</f>
        <v>Planck mass</v>
      </c>
    </row>
    <row r="259">
      <c r="A259" s="6" t="s">
        <v>1785</v>
      </c>
      <c r="B259" s="6" t="s">
        <v>4068</v>
      </c>
      <c r="C259" s="6" t="s">
        <v>4069</v>
      </c>
      <c r="D259" s="6" t="s">
        <v>1786</v>
      </c>
      <c r="E259" s="42">
        <f>countif(Constants!F:F,F259)</f>
        <v>1</v>
      </c>
      <c r="F259" s="21" t="str">
        <f>ifna(VLOOKUP($A259,Constants!$D:$F,3,false),"")</f>
        <v>PlanckMassEnergyEquivalentInGeV</v>
      </c>
      <c r="G259" s="43" t="str">
        <f t="shared" si="1"/>
        <v>1.220932e19</v>
      </c>
      <c r="H259" s="43">
        <f t="shared" si="2"/>
        <v>1.22093E+19</v>
      </c>
      <c r="I259" s="43" t="str">
        <f t="shared" si="3"/>
        <v>0.000073e19</v>
      </c>
      <c r="J259" s="43">
        <f t="shared" si="4"/>
        <v>730000000000000</v>
      </c>
      <c r="K259" s="43" t="b">
        <f t="shared" si="5"/>
        <v>0</v>
      </c>
      <c r="L259" s="21" t="str">
        <f>IFERROR(__xludf.DUMMYFUNCTION("if(regexmatch(B259,""e(.*)$""),regexextract(B259,""e(.*)$""),"""")"),"19")</f>
        <v>19</v>
      </c>
      <c r="M259" s="21"/>
      <c r="N259" s="45">
        <f>countif(Constants!F:F,F259)</f>
        <v>1</v>
      </c>
      <c r="O259" s="21" t="str">
        <f>VLOOKUP(A259,Constants!D:D,1,false)</f>
        <v>Planck mass energy equivalent in GeV</v>
      </c>
    </row>
    <row r="260">
      <c r="A260" s="6" t="s">
        <v>1790</v>
      </c>
      <c r="B260" s="6" t="s">
        <v>4070</v>
      </c>
      <c r="C260" s="6" t="s">
        <v>4071</v>
      </c>
      <c r="D260" s="6" t="s">
        <v>618</v>
      </c>
      <c r="E260" s="42">
        <f>countif(Constants!F:F,F260)</f>
        <v>1</v>
      </c>
      <c r="F260" s="21" t="str">
        <f>ifna(VLOOKUP($A260,Constants!$D:$F,3,false),"")</f>
        <v>PlanckTemperature</v>
      </c>
      <c r="G260" s="43" t="str">
        <f t="shared" si="1"/>
        <v>1.416833e32</v>
      </c>
      <c r="H260" s="43">
        <f t="shared" si="2"/>
        <v>1.41683E+32</v>
      </c>
      <c r="I260" s="43" t="str">
        <f t="shared" si="3"/>
        <v>0.000085e32</v>
      </c>
      <c r="J260" s="43">
        <f t="shared" si="4"/>
        <v>8.5E+27</v>
      </c>
      <c r="K260" s="43" t="b">
        <f t="shared" si="5"/>
        <v>0</v>
      </c>
      <c r="L260" s="21" t="str">
        <f>IFERROR(__xludf.DUMMYFUNCTION("if(regexmatch(B260,""e(.*)$""),regexextract(B260,""e(.*)$""),"""")"),"32")</f>
        <v>32</v>
      </c>
      <c r="M260" s="21"/>
      <c r="N260" s="45">
        <f>countif(Constants!F:F,F260)</f>
        <v>1</v>
      </c>
      <c r="O260" s="21" t="str">
        <f>VLOOKUP(A260,Constants!D:D,1,false)</f>
        <v>Planck temperature</v>
      </c>
    </row>
    <row r="261">
      <c r="A261" s="6" t="s">
        <v>1795</v>
      </c>
      <c r="B261" s="6" t="s">
        <v>4072</v>
      </c>
      <c r="C261" s="6" t="s">
        <v>4073</v>
      </c>
      <c r="D261" s="6" t="s">
        <v>749</v>
      </c>
      <c r="E261" s="42">
        <f>countif(Constants!F:F,F261)</f>
        <v>1</v>
      </c>
      <c r="F261" s="21" t="str">
        <f>ifna(VLOOKUP($A261,Constants!$D:$F,3,false),"")</f>
        <v>PlanckTime</v>
      </c>
      <c r="G261" s="43" t="str">
        <f t="shared" si="1"/>
        <v>5.39106e-44</v>
      </c>
      <c r="H261" s="43">
        <f t="shared" si="2"/>
        <v>0</v>
      </c>
      <c r="I261" s="43" t="str">
        <f t="shared" si="3"/>
        <v>0.00032e-44</v>
      </c>
      <c r="J261" s="43">
        <f t="shared" si="4"/>
        <v>0</v>
      </c>
      <c r="K261" s="43" t="b">
        <f t="shared" si="5"/>
        <v>0</v>
      </c>
      <c r="L261" s="21" t="str">
        <f>IFERROR(__xludf.DUMMYFUNCTION("if(regexmatch(B261,""e(.*)$""),regexextract(B261,""e(.*)$""),"""")"),"-44")</f>
        <v>-44</v>
      </c>
      <c r="M261" s="21"/>
      <c r="N261" s="45">
        <f>countif(Constants!F:F,F261)</f>
        <v>1</v>
      </c>
      <c r="O261" s="21" t="str">
        <f>VLOOKUP(A261,Constants!D:D,1,false)</f>
        <v>Planck time</v>
      </c>
    </row>
    <row r="262">
      <c r="A262" s="6" t="s">
        <v>1799</v>
      </c>
      <c r="B262" s="6" t="s">
        <v>4074</v>
      </c>
      <c r="C262" s="6" t="s">
        <v>4075</v>
      </c>
      <c r="D262" s="6" t="s">
        <v>941</v>
      </c>
      <c r="E262" s="42">
        <f>countif(Constants!F:F,F262)</f>
        <v>1</v>
      </c>
      <c r="F262" s="21" t="str">
        <f>ifna(VLOOKUP($A262,Constants!$D:$F,3,false),"")</f>
        <v>ProtonChargeToMassQuotient</v>
      </c>
      <c r="G262" s="43" t="str">
        <f t="shared" si="1"/>
        <v>9.57883358e7</v>
      </c>
      <c r="H262" s="43">
        <f t="shared" si="2"/>
        <v>95788335.8</v>
      </c>
      <c r="I262" s="43" t="str">
        <f t="shared" si="3"/>
        <v>0.00000021e7</v>
      </c>
      <c r="J262" s="43">
        <f t="shared" si="4"/>
        <v>2.1</v>
      </c>
      <c r="K262" s="43" t="b">
        <f t="shared" si="5"/>
        <v>0</v>
      </c>
      <c r="L262" s="21" t="str">
        <f>IFERROR(__xludf.DUMMYFUNCTION("if(regexmatch(B262,""e(.*)$""),regexextract(B262,""e(.*)$""),"""")"),"7")</f>
        <v>7</v>
      </c>
      <c r="M262" s="21"/>
      <c r="N262" s="45">
        <f>countif(Constants!F:F,F262)</f>
        <v>1</v>
      </c>
      <c r="O262" s="21" t="str">
        <f>VLOOKUP(A262,Constants!D:D,1,false)</f>
        <v>proton charge to mass quotient</v>
      </c>
    </row>
    <row r="263">
      <c r="A263" s="6" t="s">
        <v>1803</v>
      </c>
      <c r="B263" s="6" t="s">
        <v>4076</v>
      </c>
      <c r="C263" s="6" t="s">
        <v>3930</v>
      </c>
      <c r="D263" s="6" t="s">
        <v>571</v>
      </c>
      <c r="E263" s="42">
        <f>countif(Constants!F:F,F263)</f>
        <v>1</v>
      </c>
      <c r="F263" s="21" t="str">
        <f>ifna(VLOOKUP($A263,Constants!$D:$F,3,false),"")</f>
        <v>ProtonComptonWavelength</v>
      </c>
      <c r="G263" s="43" t="str">
        <f t="shared" si="1"/>
        <v>1.32140985623e-15</v>
      </c>
      <c r="H263" s="43">
        <f t="shared" si="2"/>
        <v>0</v>
      </c>
      <c r="I263" s="43" t="str">
        <f t="shared" si="3"/>
        <v>0.00000000094e-15</v>
      </c>
      <c r="J263" s="43">
        <f t="shared" si="4"/>
        <v>0</v>
      </c>
      <c r="K263" s="43" t="b">
        <f t="shared" si="5"/>
        <v>0</v>
      </c>
      <c r="L263" s="21" t="str">
        <f>IFERROR(__xludf.DUMMYFUNCTION("if(regexmatch(B263,""e(.*)$""),regexextract(B263,""e(.*)$""),"""")"),"-15")</f>
        <v>-15</v>
      </c>
      <c r="M263" s="21"/>
      <c r="N263" s="45">
        <f>countif(Constants!F:F,F263)</f>
        <v>1</v>
      </c>
      <c r="O263" s="21" t="str">
        <f>VLOOKUP(A263,Constants!D:D,1,false)</f>
        <v>proton Compton wavelength</v>
      </c>
    </row>
    <row r="264">
      <c r="A264" s="6" t="s">
        <v>1924</v>
      </c>
      <c r="B264" s="6" t="s">
        <v>4077</v>
      </c>
      <c r="C264" s="6" t="s">
        <v>4078</v>
      </c>
      <c r="D264" s="6" t="s">
        <v>571</v>
      </c>
      <c r="E264" s="42">
        <f>countif(Constants!F:F,F264)</f>
        <v>1</v>
      </c>
      <c r="F264" s="13" t="s">
        <v>3601</v>
      </c>
      <c r="G264" s="43" t="str">
        <f t="shared" si="1"/>
        <v>0.21030891047e-15</v>
      </c>
      <c r="H264" s="43">
        <f t="shared" si="2"/>
        <v>0</v>
      </c>
      <c r="I264" s="43" t="str">
        <f t="shared" si="3"/>
        <v>0.00000000015e-15</v>
      </c>
      <c r="J264" s="43">
        <f t="shared" si="4"/>
        <v>0</v>
      </c>
      <c r="K264" s="43" t="b">
        <f t="shared" si="5"/>
        <v>0</v>
      </c>
      <c r="L264" s="21" t="str">
        <f>IFERROR(__xludf.DUMMYFUNCTION("if(regexmatch(B264,""e(.*)$""),regexextract(B264,""e(.*)$""),"""")"),"-15")</f>
        <v>-15</v>
      </c>
      <c r="M264" s="21"/>
      <c r="N264" s="45">
        <f>countif(Constants!F:F,F264)</f>
        <v>1</v>
      </c>
      <c r="O264" s="21" t="str">
        <f>VLOOKUP(A264,Constants!D:D,1,false)</f>
        <v>#N/A</v>
      </c>
    </row>
    <row r="265">
      <c r="A265" s="6" t="s">
        <v>1807</v>
      </c>
      <c r="B265" s="6" t="s">
        <v>4079</v>
      </c>
      <c r="C265" s="6" t="s">
        <v>3848</v>
      </c>
      <c r="E265" s="42">
        <f>countif(Constants!F:F,F265)</f>
        <v>1</v>
      </c>
      <c r="F265" s="21" t="str">
        <f>ifna(VLOOKUP($A265,Constants!$D:$F,3,false),"")</f>
        <v>ProtonElectronMassRatio</v>
      </c>
      <c r="G265" s="43" t="str">
        <f t="shared" si="1"/>
        <v>1836.15267245</v>
      </c>
      <c r="H265" s="43">
        <f t="shared" si="2"/>
        <v>1836.152672</v>
      </c>
      <c r="I265" s="43" t="str">
        <f t="shared" si="3"/>
        <v>0.00000075</v>
      </c>
      <c r="J265" s="43">
        <f t="shared" si="4"/>
        <v>0.00000075</v>
      </c>
      <c r="K265" s="43" t="b">
        <f t="shared" si="5"/>
        <v>0</v>
      </c>
      <c r="L265" s="21" t="str">
        <f>IFERROR(__xludf.DUMMYFUNCTION("if(regexmatch(B265,""e(.*)$""),regexextract(B265,""e(.*)$""),"""")"),"")</f>
        <v/>
      </c>
      <c r="M265" s="21"/>
      <c r="N265" s="45">
        <f>countif(Constants!F:F,F265)</f>
        <v>1</v>
      </c>
      <c r="O265" s="21" t="str">
        <f>VLOOKUP(A265,Constants!D:D,1,false)</f>
        <v>proton-electron mass ratio</v>
      </c>
    </row>
    <row r="266">
      <c r="A266" s="6" t="s">
        <v>1811</v>
      </c>
      <c r="B266" s="6" t="s">
        <v>4080</v>
      </c>
      <c r="C266" s="6" t="s">
        <v>4081</v>
      </c>
      <c r="E266" s="42">
        <f>countif(Constants!F:F,F266)</f>
        <v>1</v>
      </c>
      <c r="F266" s="21" t="str">
        <f>ifna(VLOOKUP($A266,Constants!$D:$F,3,false),"")</f>
        <v>ProtonGFactor</v>
      </c>
      <c r="G266" s="43" t="str">
        <f t="shared" si="1"/>
        <v>5.585694713</v>
      </c>
      <c r="H266" s="43">
        <f t="shared" si="2"/>
        <v>5.585694713</v>
      </c>
      <c r="I266" s="43" t="str">
        <f t="shared" si="3"/>
        <v>0.000000046</v>
      </c>
      <c r="J266" s="43">
        <f t="shared" si="4"/>
        <v>0.000000046</v>
      </c>
      <c r="K266" s="43" t="b">
        <f t="shared" si="5"/>
        <v>0</v>
      </c>
      <c r="L266" s="21" t="str">
        <f>IFERROR(__xludf.DUMMYFUNCTION("if(regexmatch(B266,""e(.*)$""),regexextract(B266,""e(.*)$""),"""")"),"")</f>
        <v/>
      </c>
      <c r="M266" s="21"/>
      <c r="N266" s="45">
        <f>countif(Constants!F:F,F266)</f>
        <v>1</v>
      </c>
      <c r="O266" s="21" t="str">
        <f>VLOOKUP(A266,Constants!D:D,1,false)</f>
        <v>proton g factor</v>
      </c>
    </row>
    <row r="267">
      <c r="A267" s="6" t="s">
        <v>1815</v>
      </c>
      <c r="B267" s="6" t="s">
        <v>4082</v>
      </c>
      <c r="C267" s="6" t="s">
        <v>4083</v>
      </c>
      <c r="D267" s="6" t="s">
        <v>961</v>
      </c>
      <c r="E267" s="42">
        <f>countif(Constants!F:F,F267)</f>
        <v>1</v>
      </c>
      <c r="F267" s="21" t="str">
        <f>ifna(VLOOKUP($A267,Constants!$D:$F,3,false),"")</f>
        <v>ProtonGyromagneticRatio</v>
      </c>
      <c r="G267" s="43" t="str">
        <f t="shared" si="1"/>
        <v>2.675222005e8</v>
      </c>
      <c r="H267" s="43">
        <f t="shared" si="2"/>
        <v>267522200.5</v>
      </c>
      <c r="I267" s="43" t="str">
        <f t="shared" si="3"/>
        <v>0.000000063e8</v>
      </c>
      <c r="J267" s="43">
        <f t="shared" si="4"/>
        <v>6.3</v>
      </c>
      <c r="K267" s="43" t="b">
        <f t="shared" si="5"/>
        <v>0</v>
      </c>
      <c r="L267" s="21" t="str">
        <f>IFERROR(__xludf.DUMMYFUNCTION("if(regexmatch(B267,""e(.*)$""),regexextract(B267,""e(.*)$""),"""")"),"8")</f>
        <v>8</v>
      </c>
      <c r="M267" s="21"/>
      <c r="N267" s="45">
        <f>countif(Constants!F:F,F267)</f>
        <v>1</v>
      </c>
      <c r="O267" s="21" t="str">
        <f>VLOOKUP(A267,Constants!D:D,1,false)</f>
        <v>proton gyromag. ratio</v>
      </c>
    </row>
    <row r="268">
      <c r="A268" s="6" t="s">
        <v>3607</v>
      </c>
      <c r="B268" s="6" t="s">
        <v>4084</v>
      </c>
      <c r="C268" s="6" t="s">
        <v>3787</v>
      </c>
      <c r="D268" s="6" t="s">
        <v>969</v>
      </c>
      <c r="E268" s="42">
        <f>countif(Constants!F:F,F268)</f>
        <v>1</v>
      </c>
      <c r="F268" s="13" t="s">
        <v>2636</v>
      </c>
      <c r="G268" s="43" t="str">
        <f t="shared" si="1"/>
        <v>42.5774806</v>
      </c>
      <c r="H268" s="43">
        <f t="shared" si="2"/>
        <v>42.5774806</v>
      </c>
      <c r="I268" s="43" t="str">
        <f t="shared" si="3"/>
        <v>0.0000010</v>
      </c>
      <c r="J268" s="43">
        <f t="shared" si="4"/>
        <v>0.000001</v>
      </c>
      <c r="K268" s="43" t="b">
        <f t="shared" si="5"/>
        <v>0</v>
      </c>
      <c r="L268" s="21" t="str">
        <f>IFERROR(__xludf.DUMMYFUNCTION("if(regexmatch(B268,""e(.*)$""),regexextract(B268,""e(.*)$""),"""")"),"")</f>
        <v/>
      </c>
      <c r="M268" s="21"/>
      <c r="N268" s="45">
        <f>countif(Constants!F:F,F268)</f>
        <v>1</v>
      </c>
      <c r="O268" s="21" t="str">
        <f>VLOOKUP(A268,Constants!D:D,1,false)</f>
        <v>#N/A</v>
      </c>
    </row>
    <row r="269">
      <c r="A269" s="6" t="s">
        <v>1824</v>
      </c>
      <c r="B269" s="6" t="s">
        <v>4085</v>
      </c>
      <c r="C269" s="6" t="s">
        <v>4086</v>
      </c>
      <c r="D269" s="6" t="s">
        <v>714</v>
      </c>
      <c r="E269" s="42">
        <f>countif(Constants!F:F,F269)</f>
        <v>1</v>
      </c>
      <c r="F269" s="21" t="str">
        <f>ifna(VLOOKUP($A269,Constants!$D:$F,3,false),"")</f>
        <v>ProtonMagneticMoment</v>
      </c>
      <c r="G269" s="43" t="str">
        <f t="shared" si="1"/>
        <v>1.410606743e-26</v>
      </c>
      <c r="H269" s="43">
        <f t="shared" si="2"/>
        <v>0</v>
      </c>
      <c r="I269" s="43" t="str">
        <f t="shared" si="3"/>
        <v>0.000000033e-26</v>
      </c>
      <c r="J269" s="43">
        <f t="shared" si="4"/>
        <v>0</v>
      </c>
      <c r="K269" s="43" t="b">
        <f t="shared" si="5"/>
        <v>0</v>
      </c>
      <c r="L269" s="21" t="str">
        <f>IFERROR(__xludf.DUMMYFUNCTION("if(regexmatch(B269,""e(.*)$""),regexextract(B269,""e(.*)$""),"""")"),"-26")</f>
        <v>-26</v>
      </c>
      <c r="M269" s="21"/>
      <c r="N269" s="45">
        <f>countif(Constants!F:F,F269)</f>
        <v>1</v>
      </c>
      <c r="O269" s="21" t="str">
        <f>VLOOKUP(A269,Constants!D:D,1,false)</f>
        <v>proton mag. mom.</v>
      </c>
    </row>
    <row r="270">
      <c r="A270" s="6" t="s">
        <v>1829</v>
      </c>
      <c r="B270" s="6" t="s">
        <v>4087</v>
      </c>
      <c r="C270" s="6" t="s">
        <v>4088</v>
      </c>
      <c r="E270" s="42">
        <f>countif(Constants!F:F,F270)</f>
        <v>1</v>
      </c>
      <c r="F270" s="21" t="str">
        <f>ifna(VLOOKUP($A270,Constants!$D:$F,3,false),"")</f>
        <v>ProtonMagneticMomentToBohrMagnetonRatio</v>
      </c>
      <c r="G270" s="43" t="str">
        <f t="shared" si="1"/>
        <v>1.521032210e-3</v>
      </c>
      <c r="H270" s="43">
        <f t="shared" si="2"/>
        <v>0.00152103221</v>
      </c>
      <c r="I270" s="43" t="str">
        <f t="shared" si="3"/>
        <v>0.000000012e-3</v>
      </c>
      <c r="J270" s="43">
        <f t="shared" si="4"/>
        <v>0</v>
      </c>
      <c r="K270" s="43" t="b">
        <f t="shared" si="5"/>
        <v>0</v>
      </c>
      <c r="L270" s="21" t="str">
        <f>IFERROR(__xludf.DUMMYFUNCTION("if(regexmatch(B270,""e(.*)$""),regexextract(B270,""e(.*)$""),"""")"),"-3")</f>
        <v>-3</v>
      </c>
      <c r="M270" s="21"/>
      <c r="N270" s="45">
        <f>countif(Constants!F:F,F270)</f>
        <v>1</v>
      </c>
      <c r="O270" s="21" t="str">
        <f>VLOOKUP(A270,Constants!D:D,1,false)</f>
        <v>proton mag. mom. to Bohr magneton ratio</v>
      </c>
    </row>
    <row r="271">
      <c r="A271" s="6" t="s">
        <v>1834</v>
      </c>
      <c r="B271" s="6" t="s">
        <v>4089</v>
      </c>
      <c r="C271" s="6" t="s">
        <v>4090</v>
      </c>
      <c r="E271" s="42">
        <f>countif(Constants!F:F,F271)</f>
        <v>1</v>
      </c>
      <c r="F271" s="21" t="str">
        <f>ifna(VLOOKUP($A271,Constants!$D:$F,3,false),"")</f>
        <v>ProtonMagneticMomentToNuclearMagnetonRatio</v>
      </c>
      <c r="G271" s="43" t="str">
        <f t="shared" si="1"/>
        <v>2.792847356</v>
      </c>
      <c r="H271" s="43">
        <f t="shared" si="2"/>
        <v>2.792847356</v>
      </c>
      <c r="I271" s="43" t="str">
        <f t="shared" si="3"/>
        <v>0.000000023</v>
      </c>
      <c r="J271" s="43">
        <f t="shared" si="4"/>
        <v>0.000000023</v>
      </c>
      <c r="K271" s="43" t="b">
        <f t="shared" si="5"/>
        <v>0</v>
      </c>
      <c r="L271" s="21" t="str">
        <f>IFERROR(__xludf.DUMMYFUNCTION("if(regexmatch(B271,""e(.*)$""),regexextract(B271,""e(.*)$""),"""")"),"")</f>
        <v/>
      </c>
      <c r="M271" s="21"/>
      <c r="N271" s="45">
        <f>countif(Constants!F:F,F271)</f>
        <v>1</v>
      </c>
      <c r="O271" s="21" t="str">
        <f>VLOOKUP(A271,Constants!D:D,1,false)</f>
        <v>proton mag. mom. to nuclear magneton ratio</v>
      </c>
    </row>
    <row r="272">
      <c r="A272" s="6" t="s">
        <v>1839</v>
      </c>
      <c r="B272" s="46" t="s">
        <v>4091</v>
      </c>
      <c r="C272" s="46" t="s">
        <v>4092</v>
      </c>
      <c r="E272" s="42">
        <f>countif(Constants!F:F,F272)</f>
        <v>1</v>
      </c>
      <c r="F272" s="21" t="str">
        <f>ifna(VLOOKUP($A272,Constants!$D:$F,3,false),"")</f>
        <v>ProtonMagneticShieldingCorrection</v>
      </c>
      <c r="G272" s="43" t="str">
        <f t="shared" si="1"/>
        <v>25.694e-6</v>
      </c>
      <c r="H272" s="43">
        <f t="shared" si="2"/>
        <v>0.000025694</v>
      </c>
      <c r="I272" s="43" t="str">
        <f t="shared" si="3"/>
        <v>0.014e-6</v>
      </c>
      <c r="J272" s="43">
        <f t="shared" si="4"/>
        <v>0.000000014</v>
      </c>
      <c r="K272" s="43" t="b">
        <f t="shared" si="5"/>
        <v>0</v>
      </c>
      <c r="L272" s="21" t="str">
        <f>IFERROR(__xludf.DUMMYFUNCTION("if(regexmatch(B272,""e(.*)$""),regexextract(B272,""e(.*)$""),"""")"),"-6")</f>
        <v>-6</v>
      </c>
      <c r="M272" s="21"/>
      <c r="N272" s="45">
        <f>countif(Constants!F:F,F272)</f>
        <v>1</v>
      </c>
      <c r="O272" s="21" t="str">
        <f>VLOOKUP(A272,Constants!D:D,1,false)</f>
        <v>proton mag. shielding correction</v>
      </c>
    </row>
    <row r="273">
      <c r="A273" s="6" t="s">
        <v>1843</v>
      </c>
      <c r="B273" s="6" t="s">
        <v>4093</v>
      </c>
      <c r="C273" s="6" t="s">
        <v>4033</v>
      </c>
      <c r="D273" s="6" t="s">
        <v>538</v>
      </c>
      <c r="E273" s="42">
        <f>countif(Constants!F:F,F273)</f>
        <v>1</v>
      </c>
      <c r="F273" s="21" t="str">
        <f>ifna(VLOOKUP($A273,Constants!$D:$F,3,false),"")</f>
        <v>ProtonMass</v>
      </c>
      <c r="G273" s="43" t="str">
        <f t="shared" si="1"/>
        <v>1.672621777e-27</v>
      </c>
      <c r="H273" s="43">
        <f t="shared" si="2"/>
        <v>0</v>
      </c>
      <c r="I273" s="43" t="str">
        <f t="shared" si="3"/>
        <v>0.000000074e-27</v>
      </c>
      <c r="J273" s="43">
        <f t="shared" si="4"/>
        <v>0</v>
      </c>
      <c r="K273" s="43" t="b">
        <f t="shared" si="5"/>
        <v>0</v>
      </c>
      <c r="L273" s="21" t="str">
        <f>IFERROR(__xludf.DUMMYFUNCTION("if(regexmatch(B273,""e(.*)$""),regexextract(B273,""e(.*)$""),"""")"),"-27")</f>
        <v>-27</v>
      </c>
      <c r="M273" s="21"/>
      <c r="N273" s="45">
        <f>countif(Constants!F:F,F273)</f>
        <v>1</v>
      </c>
      <c r="O273" s="21" t="str">
        <f>VLOOKUP(A273,Constants!D:D,1,false)</f>
        <v>proton mass</v>
      </c>
    </row>
    <row r="274">
      <c r="A274" s="6" t="s">
        <v>1848</v>
      </c>
      <c r="B274" s="6" t="s">
        <v>4094</v>
      </c>
      <c r="C274" s="6" t="s">
        <v>3723</v>
      </c>
      <c r="D274" s="6" t="s">
        <v>543</v>
      </c>
      <c r="E274" s="42">
        <f>countif(Constants!F:F,F274)</f>
        <v>1</v>
      </c>
      <c r="F274" s="21" t="str">
        <f>ifna(VLOOKUP($A274,Constants!$D:$F,3,false),"")</f>
        <v>ProtonMassEnergyEquivalent</v>
      </c>
      <c r="G274" s="43" t="str">
        <f t="shared" si="1"/>
        <v>1.503277484e-10</v>
      </c>
      <c r="H274" s="43">
        <f t="shared" si="2"/>
        <v>0.0000000001503277484</v>
      </c>
      <c r="I274" s="43" t="str">
        <f t="shared" si="3"/>
        <v>0.000000066e-10</v>
      </c>
      <c r="J274" s="43">
        <f t="shared" si="4"/>
        <v>0</v>
      </c>
      <c r="K274" s="43" t="b">
        <f t="shared" si="5"/>
        <v>0</v>
      </c>
      <c r="L274" s="21" t="str">
        <f>IFERROR(__xludf.DUMMYFUNCTION("if(regexmatch(B274,""e(.*)$""),regexextract(B274,""e(.*)$""),"""")"),"-10")</f>
        <v>-10</v>
      </c>
      <c r="M274" s="21"/>
      <c r="N274" s="45">
        <f>countif(Constants!F:F,F274)</f>
        <v>1</v>
      </c>
      <c r="O274" s="21" t="str">
        <f>VLOOKUP(A274,Constants!D:D,1,false)</f>
        <v>proton mass energy equivalent</v>
      </c>
    </row>
    <row r="275">
      <c r="A275" s="6" t="s">
        <v>1852</v>
      </c>
      <c r="B275" s="6" t="s">
        <v>4095</v>
      </c>
      <c r="C275" s="6" t="s">
        <v>3131</v>
      </c>
      <c r="D275" s="6" t="s">
        <v>548</v>
      </c>
      <c r="E275" s="42">
        <f>countif(Constants!F:F,F275)</f>
        <v>1</v>
      </c>
      <c r="F275" s="21" t="str">
        <f>ifna(VLOOKUP($A275,Constants!$D:$F,3,false),"")</f>
        <v>ProtonMassEnergyEquivalentInMeV</v>
      </c>
      <c r="G275" s="43" t="str">
        <f t="shared" si="1"/>
        <v>938.272046</v>
      </c>
      <c r="H275" s="43">
        <f t="shared" si="2"/>
        <v>938.272046</v>
      </c>
      <c r="I275" s="43" t="str">
        <f t="shared" si="3"/>
        <v>0.000021</v>
      </c>
      <c r="J275" s="43">
        <f t="shared" si="4"/>
        <v>0.000021</v>
      </c>
      <c r="K275" s="43" t="b">
        <f t="shared" si="5"/>
        <v>0</v>
      </c>
      <c r="L275" s="21" t="str">
        <f>IFERROR(__xludf.DUMMYFUNCTION("if(regexmatch(B275,""e(.*)$""),regexextract(B275,""e(.*)$""),"""")"),"")</f>
        <v/>
      </c>
      <c r="M275" s="21"/>
      <c r="N275" s="45">
        <f>countif(Constants!F:F,F275)</f>
        <v>1</v>
      </c>
      <c r="O275" s="21" t="str">
        <f>VLOOKUP(A275,Constants!D:D,1,false)</f>
        <v>proton mass energy equivalent in MeV</v>
      </c>
    </row>
    <row r="276">
      <c r="A276" s="6" t="s">
        <v>1855</v>
      </c>
      <c r="B276" s="6" t="s">
        <v>4096</v>
      </c>
      <c r="C276" s="6" t="s">
        <v>4097</v>
      </c>
      <c r="D276" s="6" t="s">
        <v>553</v>
      </c>
      <c r="E276" s="42">
        <f>countif(Constants!F:F,F276)</f>
        <v>1</v>
      </c>
      <c r="F276" s="21" t="str">
        <f>ifna(VLOOKUP($A276,Constants!$D:$F,3,false),"")</f>
        <v>ProtonMassInAtomicMassUnit</v>
      </c>
      <c r="G276" s="43" t="str">
        <f t="shared" si="1"/>
        <v>1.007276466812</v>
      </c>
      <c r="H276" s="43">
        <f t="shared" si="2"/>
        <v>1.007276467</v>
      </c>
      <c r="I276" s="43" t="str">
        <f t="shared" si="3"/>
        <v>0.000000000090</v>
      </c>
      <c r="J276" s="43">
        <f t="shared" si="4"/>
        <v>0</v>
      </c>
      <c r="K276" s="43" t="b">
        <f t="shared" si="5"/>
        <v>0</v>
      </c>
      <c r="L276" s="21" t="str">
        <f>IFERROR(__xludf.DUMMYFUNCTION("if(regexmatch(B276,""e(.*)$""),regexextract(B276,""e(.*)$""),"""")"),"")</f>
        <v/>
      </c>
      <c r="M276" s="21"/>
      <c r="N276" s="45">
        <f>countif(Constants!F:F,F276)</f>
        <v>1</v>
      </c>
      <c r="O276" s="21" t="str">
        <f>VLOOKUP(A276,Constants!D:D,1,false)</f>
        <v>proton mass in u</v>
      </c>
    </row>
    <row r="277">
      <c r="A277" s="6" t="s">
        <v>1858</v>
      </c>
      <c r="B277" s="6" t="s">
        <v>4098</v>
      </c>
      <c r="C277" s="6" t="s">
        <v>4099</v>
      </c>
      <c r="D277" s="6" t="s">
        <v>557</v>
      </c>
      <c r="E277" s="42">
        <f>countif(Constants!F:F,F277)</f>
        <v>1</v>
      </c>
      <c r="F277" s="21" t="str">
        <f>ifna(VLOOKUP($A277,Constants!$D:$F,3,false),"")</f>
        <v>ProtonMolarMass</v>
      </c>
      <c r="G277" s="43" t="str">
        <f t="shared" si="1"/>
        <v>1.007276466812e-3</v>
      </c>
      <c r="H277" s="43">
        <f t="shared" si="2"/>
        <v>0.001007276467</v>
      </c>
      <c r="I277" s="43" t="str">
        <f t="shared" si="3"/>
        <v>0.000000000090e-3</v>
      </c>
      <c r="J277" s="43">
        <f t="shared" si="4"/>
        <v>0</v>
      </c>
      <c r="K277" s="43" t="b">
        <f t="shared" si="5"/>
        <v>0</v>
      </c>
      <c r="L277" s="21" t="str">
        <f>IFERROR(__xludf.DUMMYFUNCTION("if(regexmatch(B277,""e(.*)$""),regexextract(B277,""e(.*)$""),"""")"),"-3")</f>
        <v>-3</v>
      </c>
      <c r="M277" s="21"/>
      <c r="N277" s="45">
        <f>countif(Constants!F:F,F277)</f>
        <v>1</v>
      </c>
      <c r="O277" s="21" t="str">
        <f>VLOOKUP(A277,Constants!D:D,1,false)</f>
        <v>proton molar mass</v>
      </c>
    </row>
    <row r="278">
      <c r="A278" s="6" t="s">
        <v>1862</v>
      </c>
      <c r="B278" s="6" t="s">
        <v>4100</v>
      </c>
      <c r="C278" s="6" t="s">
        <v>4002</v>
      </c>
      <c r="E278" s="42">
        <f>countif(Constants!F:F,F278)</f>
        <v>1</v>
      </c>
      <c r="F278" s="21" t="str">
        <f>ifna(VLOOKUP($A278,Constants!$D:$F,3,false),"")</f>
        <v>ProtonMuonMassRatio</v>
      </c>
      <c r="G278" s="43" t="str">
        <f t="shared" si="1"/>
        <v>8.88024331</v>
      </c>
      <c r="H278" s="43">
        <f t="shared" si="2"/>
        <v>8.88024331</v>
      </c>
      <c r="I278" s="43" t="str">
        <f t="shared" si="3"/>
        <v>0.00000022</v>
      </c>
      <c r="J278" s="43">
        <f t="shared" si="4"/>
        <v>0.00000022</v>
      </c>
      <c r="K278" s="43" t="b">
        <f t="shared" si="5"/>
        <v>0</v>
      </c>
      <c r="L278" s="21" t="str">
        <f>IFERROR(__xludf.DUMMYFUNCTION("if(regexmatch(B278,""e(.*)$""),regexextract(B278,""e(.*)$""),"""")"),"")</f>
        <v/>
      </c>
      <c r="M278" s="21"/>
      <c r="N278" s="45">
        <f>countif(Constants!F:F,F278)</f>
        <v>1</v>
      </c>
      <c r="O278" s="21" t="str">
        <f>VLOOKUP(A278,Constants!D:D,1,false)</f>
        <v>proton-muon mass ratio</v>
      </c>
    </row>
    <row r="279">
      <c r="A279" s="6" t="s">
        <v>1867</v>
      </c>
      <c r="B279" s="6" t="s">
        <v>4101</v>
      </c>
      <c r="C279" s="6" t="s">
        <v>2653</v>
      </c>
      <c r="E279" s="42">
        <f>countif(Constants!F:F,F279)</f>
        <v>1</v>
      </c>
      <c r="F279" s="21" t="str">
        <f>ifna(VLOOKUP($A279,Constants!$D:$F,3,false),"")</f>
        <v>ProtonNeutronMagneticMomentRatio</v>
      </c>
      <c r="G279" s="43" t="str">
        <f t="shared" si="1"/>
        <v>-1.45989806</v>
      </c>
      <c r="H279" s="43">
        <f t="shared" si="2"/>
        <v>-1.45989806</v>
      </c>
      <c r="I279" s="43" t="str">
        <f t="shared" si="3"/>
        <v>0.00000034</v>
      </c>
      <c r="J279" s="43">
        <f t="shared" si="4"/>
        <v>0.00000034</v>
      </c>
      <c r="K279" s="43" t="b">
        <f t="shared" si="5"/>
        <v>0</v>
      </c>
      <c r="L279" s="21" t="str">
        <f>IFERROR(__xludf.DUMMYFUNCTION("if(regexmatch(B279,""e(.*)$""),regexextract(B279,""e(.*)$""),"""")"),"")</f>
        <v/>
      </c>
      <c r="M279" s="21"/>
      <c r="N279" s="45">
        <f>countif(Constants!F:F,F279)</f>
        <v>1</v>
      </c>
      <c r="O279" s="21" t="str">
        <f>VLOOKUP(A279,Constants!D:D,1,false)</f>
        <v>proton-neutron mag. mom. ratio</v>
      </c>
    </row>
    <row r="280">
      <c r="A280" s="6" t="s">
        <v>1872</v>
      </c>
      <c r="B280" s="6" t="s">
        <v>4102</v>
      </c>
      <c r="C280" s="6" t="s">
        <v>3139</v>
      </c>
      <c r="E280" s="42">
        <f>countif(Constants!F:F,F280)</f>
        <v>1</v>
      </c>
      <c r="F280" s="21" t="str">
        <f>ifna(VLOOKUP($A280,Constants!$D:$F,3,false),"")</f>
        <v>ProtonNeutronMassRatio</v>
      </c>
      <c r="G280" s="43" t="str">
        <f t="shared" si="1"/>
        <v>0.99862347826</v>
      </c>
      <c r="H280" s="43">
        <f t="shared" si="2"/>
        <v>0.9986234783</v>
      </c>
      <c r="I280" s="43" t="str">
        <f t="shared" si="3"/>
        <v>0.00000000045</v>
      </c>
      <c r="J280" s="43">
        <f t="shared" si="4"/>
        <v>0.00000000045</v>
      </c>
      <c r="K280" s="43" t="b">
        <f t="shared" si="5"/>
        <v>0</v>
      </c>
      <c r="L280" s="21" t="str">
        <f>IFERROR(__xludf.DUMMYFUNCTION("if(regexmatch(B280,""e(.*)$""),regexextract(B280,""e(.*)$""),"""")"),"")</f>
        <v/>
      </c>
      <c r="M280" s="21"/>
      <c r="N280" s="45">
        <f>countif(Constants!F:F,F280)</f>
        <v>1</v>
      </c>
      <c r="O280" s="21" t="str">
        <f>VLOOKUP(A280,Constants!D:D,1,false)</f>
        <v>proton-neutron mass ratio</v>
      </c>
    </row>
    <row r="281">
      <c r="A281" s="6" t="s">
        <v>1880</v>
      </c>
      <c r="B281" s="46" t="s">
        <v>4103</v>
      </c>
      <c r="C281" s="46" t="s">
        <v>4104</v>
      </c>
      <c r="D281" s="6" t="s">
        <v>571</v>
      </c>
      <c r="E281" s="42">
        <f>countif(Constants!F:F,F281)</f>
        <v>1</v>
      </c>
      <c r="F281" s="21" t="str">
        <f>ifna(VLOOKUP($A281,Constants!$D:$F,3,false),"")</f>
        <v>ProtonRmsChargeRadius</v>
      </c>
      <c r="G281" s="43" t="str">
        <f t="shared" si="1"/>
        <v>0.8775e-15</v>
      </c>
      <c r="H281" s="43">
        <f t="shared" si="2"/>
        <v>0</v>
      </c>
      <c r="I281" s="43" t="str">
        <f t="shared" si="3"/>
        <v>0.0051e-15</v>
      </c>
      <c r="J281" s="43">
        <f t="shared" si="4"/>
        <v>0</v>
      </c>
      <c r="K281" s="43" t="b">
        <f t="shared" si="5"/>
        <v>0</v>
      </c>
      <c r="L281" s="21" t="str">
        <f>IFERROR(__xludf.DUMMYFUNCTION("if(regexmatch(B281,""e(.*)$""),regexextract(B281,""e(.*)$""),"""")"),"-15")</f>
        <v>-15</v>
      </c>
      <c r="M281" s="21"/>
      <c r="N281" s="45">
        <f>countif(Constants!F:F,F281)</f>
        <v>1</v>
      </c>
      <c r="O281" s="21" t="str">
        <f>VLOOKUP(A281,Constants!D:D,1,false)</f>
        <v>proton rms charge radius</v>
      </c>
    </row>
    <row r="282">
      <c r="A282" s="6" t="s">
        <v>1884</v>
      </c>
      <c r="B282" s="6" t="s">
        <v>3628</v>
      </c>
      <c r="C282" s="6" t="s">
        <v>3563</v>
      </c>
      <c r="E282" s="42">
        <f>countif(Constants!F:F,F282)</f>
        <v>1</v>
      </c>
      <c r="F282" s="21" t="str">
        <f>ifna(VLOOKUP($A282,Constants!$D:$F,3,false),"")</f>
        <v>ProtonTauMassRatio</v>
      </c>
      <c r="G282" s="43" t="str">
        <f t="shared" si="1"/>
        <v>0.528063</v>
      </c>
      <c r="H282" s="43">
        <f t="shared" si="2"/>
        <v>0.528063</v>
      </c>
      <c r="I282" s="43" t="str">
        <f t="shared" si="3"/>
        <v>0.000048</v>
      </c>
      <c r="J282" s="43">
        <f t="shared" si="4"/>
        <v>0.000048</v>
      </c>
      <c r="K282" s="43" t="b">
        <f t="shared" si="5"/>
        <v>0</v>
      </c>
      <c r="L282" s="21" t="str">
        <f>IFERROR(__xludf.DUMMYFUNCTION("if(regexmatch(B282,""e(.*)$""),regexextract(B282,""e(.*)$""),"""")"),"")</f>
        <v/>
      </c>
      <c r="M282" s="21"/>
      <c r="N282" s="45">
        <f>countif(Constants!F:F,F282)</f>
        <v>1</v>
      </c>
      <c r="O282" s="21" t="str">
        <f>VLOOKUP(A282,Constants!D:D,1,false)</f>
        <v>proton-tau mass ratio</v>
      </c>
    </row>
    <row r="283">
      <c r="A283" s="6" t="s">
        <v>1889</v>
      </c>
      <c r="B283" s="6" t="s">
        <v>4105</v>
      </c>
      <c r="C283" s="6" t="s">
        <v>4106</v>
      </c>
      <c r="D283" s="6" t="s">
        <v>1890</v>
      </c>
      <c r="E283" s="42">
        <f>countif(Constants!F:F,F283)</f>
        <v>1</v>
      </c>
      <c r="F283" s="21" t="str">
        <f>ifna(VLOOKUP($A283,Constants!$D:$F,3,false),"")</f>
        <v>QuantumOfCirculation</v>
      </c>
      <c r="G283" s="43" t="str">
        <f t="shared" si="1"/>
        <v>3.6369475520e-4</v>
      </c>
      <c r="H283" s="43">
        <f t="shared" si="2"/>
        <v>0.0003636947552</v>
      </c>
      <c r="I283" s="43" t="str">
        <f t="shared" si="3"/>
        <v>0.0000000024e-4</v>
      </c>
      <c r="J283" s="43">
        <f t="shared" si="4"/>
        <v>0</v>
      </c>
      <c r="K283" s="43" t="b">
        <f t="shared" si="5"/>
        <v>0</v>
      </c>
      <c r="L283" s="21" t="str">
        <f>IFERROR(__xludf.DUMMYFUNCTION("if(regexmatch(B283,""e(.*)$""),regexextract(B283,""e(.*)$""),"""")"),"-4")</f>
        <v>-4</v>
      </c>
      <c r="M283" s="21"/>
      <c r="N283" s="45">
        <f>countif(Constants!F:F,F283)</f>
        <v>1</v>
      </c>
      <c r="O283" s="21" t="str">
        <f>VLOOKUP(A283,Constants!D:D,1,false)</f>
        <v>quantum of circulation</v>
      </c>
    </row>
    <row r="284">
      <c r="A284" s="6" t="s">
        <v>1895</v>
      </c>
      <c r="B284" s="6" t="s">
        <v>4107</v>
      </c>
      <c r="C284" s="6" t="s">
        <v>4108</v>
      </c>
      <c r="D284" s="6" t="s">
        <v>1890</v>
      </c>
      <c r="E284" s="42">
        <f>countif(Constants!F:F,F284)</f>
        <v>1</v>
      </c>
      <c r="F284" s="21" t="str">
        <f>ifna(VLOOKUP($A284,Constants!$D:$F,3,false),"")</f>
        <v>QuantumOfCirculationTimes2</v>
      </c>
      <c r="G284" s="43" t="str">
        <f t="shared" si="1"/>
        <v>7.2738951040e-4</v>
      </c>
      <c r="H284" s="43">
        <f t="shared" si="2"/>
        <v>0.0007273895104</v>
      </c>
      <c r="I284" s="43" t="str">
        <f t="shared" si="3"/>
        <v>0.0000000047e-4</v>
      </c>
      <c r="J284" s="43">
        <f t="shared" si="4"/>
        <v>0</v>
      </c>
      <c r="K284" s="43" t="b">
        <f t="shared" si="5"/>
        <v>0</v>
      </c>
      <c r="L284" s="21" t="str">
        <f>IFERROR(__xludf.DUMMYFUNCTION("if(regexmatch(B284,""e(.*)$""),regexextract(B284,""e(.*)$""),"""")"),"-4")</f>
        <v>-4</v>
      </c>
      <c r="M284" s="21"/>
      <c r="N284" s="45">
        <f>countif(Constants!F:F,F284)</f>
        <v>1</v>
      </c>
      <c r="O284" s="21" t="str">
        <f>VLOOKUP(A284,Constants!D:D,1,false)</f>
        <v>quantum of circulation times 2</v>
      </c>
    </row>
    <row r="285">
      <c r="A285" s="6" t="s">
        <v>1933</v>
      </c>
      <c r="B285" s="6" t="s">
        <v>4109</v>
      </c>
      <c r="C285" s="6" t="s">
        <v>4110</v>
      </c>
      <c r="D285" s="6" t="s">
        <v>606</v>
      </c>
      <c r="E285" s="42">
        <f>countif(Constants!F:F,F285)</f>
        <v>1</v>
      </c>
      <c r="F285" s="21" t="str">
        <f>ifna(VLOOKUP($A285,Constants!$D:$F,3,false),"")</f>
        <v>RydbergConstant</v>
      </c>
      <c r="G285" s="43" t="str">
        <f t="shared" si="1"/>
        <v>10973731.568539</v>
      </c>
      <c r="H285" s="43">
        <f t="shared" si="2"/>
        <v>10973731.57</v>
      </c>
      <c r="I285" s="43" t="str">
        <f t="shared" si="3"/>
        <v>0.000055</v>
      </c>
      <c r="J285" s="43">
        <f t="shared" si="4"/>
        <v>0.000055</v>
      </c>
      <c r="K285" s="43" t="b">
        <f t="shared" si="5"/>
        <v>0</v>
      </c>
      <c r="L285" s="21" t="str">
        <f>IFERROR(__xludf.DUMMYFUNCTION("if(regexmatch(B285,""e(.*)$""),regexextract(B285,""e(.*)$""),"""")"),"")</f>
        <v/>
      </c>
      <c r="M285" s="21"/>
      <c r="N285" s="45">
        <f>countif(Constants!F:F,F285)</f>
        <v>1</v>
      </c>
      <c r="O285" s="21" t="str">
        <f>VLOOKUP(A285,Constants!D:D,1,false)</f>
        <v>Rydberg constant</v>
      </c>
    </row>
    <row r="286">
      <c r="A286" s="6" t="s">
        <v>1937</v>
      </c>
      <c r="B286" s="6" t="s">
        <v>4111</v>
      </c>
      <c r="C286" s="6" t="s">
        <v>4112</v>
      </c>
      <c r="D286" s="6" t="s">
        <v>600</v>
      </c>
      <c r="E286" s="42">
        <f>countif(Constants!F:F,F286)</f>
        <v>1</v>
      </c>
      <c r="F286" s="21" t="str">
        <f>ifna(VLOOKUP($A286,Constants!$D:$F,3,false),"")</f>
        <v>RydbergConstantTimesCInHz</v>
      </c>
      <c r="G286" s="43" t="str">
        <f t="shared" si="1"/>
        <v>3.289841960364e15</v>
      </c>
      <c r="H286" s="43">
        <f t="shared" si="2"/>
        <v>3.28984E+15</v>
      </c>
      <c r="I286" s="43" t="str">
        <f t="shared" si="3"/>
        <v>0.000000000017e15</v>
      </c>
      <c r="J286" s="43">
        <f t="shared" si="4"/>
        <v>17000</v>
      </c>
      <c r="K286" s="43" t="b">
        <f t="shared" si="5"/>
        <v>0</v>
      </c>
      <c r="L286" s="21" t="str">
        <f>IFERROR(__xludf.DUMMYFUNCTION("if(regexmatch(B286,""e(.*)$""),regexextract(B286,""e(.*)$""),"""")"),"15")</f>
        <v>15</v>
      </c>
      <c r="M286" s="21"/>
      <c r="N286" s="45">
        <f>countif(Constants!F:F,F286)</f>
        <v>1</v>
      </c>
      <c r="O286" s="21" t="str">
        <f>VLOOKUP(A286,Constants!D:D,1,false)</f>
        <v>Rydberg constant times c in Hz</v>
      </c>
    </row>
    <row r="287">
      <c r="A287" s="6" t="s">
        <v>1941</v>
      </c>
      <c r="B287" s="6" t="s">
        <v>4113</v>
      </c>
      <c r="C287" s="6" t="s">
        <v>4114</v>
      </c>
      <c r="D287" s="6" t="s">
        <v>175</v>
      </c>
      <c r="E287" s="42">
        <f>countif(Constants!F:F,F287)</f>
        <v>1</v>
      </c>
      <c r="F287" s="21" t="str">
        <f>ifna(VLOOKUP($A287,Constants!$D:$F,3,false),"")</f>
        <v>RydbergConstantTimesHcInEV</v>
      </c>
      <c r="G287" s="43" t="str">
        <f t="shared" si="1"/>
        <v>13.60569253</v>
      </c>
      <c r="H287" s="43">
        <f t="shared" si="2"/>
        <v>13.60569253</v>
      </c>
      <c r="I287" s="43" t="str">
        <f t="shared" si="3"/>
        <v>0.00000030</v>
      </c>
      <c r="J287" s="43">
        <f t="shared" si="4"/>
        <v>0.0000003</v>
      </c>
      <c r="K287" s="43" t="b">
        <f t="shared" si="5"/>
        <v>0</v>
      </c>
      <c r="L287" s="21" t="str">
        <f>IFERROR(__xludf.DUMMYFUNCTION("if(regexmatch(B287,""e(.*)$""),regexextract(B287,""e(.*)$""),"""")"),"")</f>
        <v/>
      </c>
      <c r="M287" s="21"/>
      <c r="N287" s="45">
        <f>countif(Constants!F:F,F287)</f>
        <v>1</v>
      </c>
      <c r="O287" s="21" t="str">
        <f>VLOOKUP(A287,Constants!D:D,1,false)</f>
        <v>Rydberg constant times hc in eV</v>
      </c>
    </row>
    <row r="288">
      <c r="A288" s="6" t="s">
        <v>1945</v>
      </c>
      <c r="B288" s="6" t="s">
        <v>4115</v>
      </c>
      <c r="C288" s="6" t="s">
        <v>4116</v>
      </c>
      <c r="D288" s="6" t="s">
        <v>543</v>
      </c>
      <c r="E288" s="42">
        <f>countif(Constants!F:F,F288)</f>
        <v>1</v>
      </c>
      <c r="F288" s="21" t="str">
        <f>ifna(VLOOKUP($A288,Constants!$D:$F,3,false),"")</f>
        <v>RydbergConstantTimesHcInJ</v>
      </c>
      <c r="G288" s="43" t="str">
        <f t="shared" si="1"/>
        <v>2.179872171e-18</v>
      </c>
      <c r="H288" s="43">
        <f t="shared" si="2"/>
        <v>0</v>
      </c>
      <c r="I288" s="43" t="str">
        <f t="shared" si="3"/>
        <v>0.000000096e-18</v>
      </c>
      <c r="J288" s="43">
        <f t="shared" si="4"/>
        <v>0</v>
      </c>
      <c r="K288" s="43" t="b">
        <f t="shared" si="5"/>
        <v>0</v>
      </c>
      <c r="L288" s="21" t="str">
        <f>IFERROR(__xludf.DUMMYFUNCTION("if(regexmatch(B288,""e(.*)$""),regexextract(B288,""e(.*)$""),"""")"),"-18")</f>
        <v>-18</v>
      </c>
      <c r="M288" s="21"/>
      <c r="N288" s="45">
        <f>countif(Constants!F:F,F288)</f>
        <v>1</v>
      </c>
      <c r="O288" s="21" t="str">
        <f>VLOOKUP(A288,Constants!D:D,1,false)</f>
        <v>Rydberg constant times hc in J</v>
      </c>
    </row>
    <row r="289">
      <c r="A289" s="6" t="s">
        <v>1948</v>
      </c>
      <c r="B289" s="6" t="s">
        <v>4117</v>
      </c>
      <c r="C289" s="6" t="s">
        <v>2540</v>
      </c>
      <c r="E289" s="42">
        <f>countif(Constants!F:F,F289)</f>
        <v>1</v>
      </c>
      <c r="F289" s="21" t="str">
        <f>ifna(VLOOKUP($A289,Constants!$D:$F,3,false),"")</f>
        <v>SackurTetrodeConstant</v>
      </c>
      <c r="G289" s="43" t="str">
        <f t="shared" si="1"/>
        <v>-1.1517078</v>
      </c>
      <c r="H289" s="43">
        <f t="shared" si="2"/>
        <v>-1.1517078</v>
      </c>
      <c r="I289" s="43" t="str">
        <f t="shared" si="3"/>
        <v>0.0000023</v>
      </c>
      <c r="J289" s="43">
        <f t="shared" si="4"/>
        <v>0.0000023</v>
      </c>
      <c r="K289" s="43" t="b">
        <f t="shared" si="5"/>
        <v>0</v>
      </c>
      <c r="L289" s="21" t="str">
        <f>IFERROR(__xludf.DUMMYFUNCTION("if(regexmatch(B289,""e(.*)$""),regexextract(B289,""e(.*)$""),"""")"),"")</f>
        <v/>
      </c>
      <c r="M289" s="21"/>
      <c r="N289" s="45">
        <f>countif(Constants!F:F,F289)</f>
        <v>1</v>
      </c>
      <c r="O289" s="21" t="str">
        <f>VLOOKUP(A289,Constants!D:D,1,false)</f>
        <v>Sackur-Tetrode constant (1 K, 100 kPa)</v>
      </c>
    </row>
    <row r="290">
      <c r="A290" s="6" t="s">
        <v>1951</v>
      </c>
      <c r="B290" s="6" t="s">
        <v>4118</v>
      </c>
      <c r="C290" s="6" t="s">
        <v>2540</v>
      </c>
      <c r="E290" s="42">
        <f>countif(Constants!F:F,F290)</f>
        <v>1</v>
      </c>
      <c r="F290" s="21" t="str">
        <f>ifna(VLOOKUP($A290,Constants!$D:$F,3,false),"")</f>
        <v>SackurTetrodeConstant1K101KPa</v>
      </c>
      <c r="G290" s="43" t="str">
        <f t="shared" si="1"/>
        <v>-1.1648708</v>
      </c>
      <c r="H290" s="43">
        <f t="shared" si="2"/>
        <v>-1.1648708</v>
      </c>
      <c r="I290" s="43" t="str">
        <f t="shared" si="3"/>
        <v>0.0000023</v>
      </c>
      <c r="J290" s="43">
        <f t="shared" si="4"/>
        <v>0.0000023</v>
      </c>
      <c r="K290" s="43" t="b">
        <f t="shared" si="5"/>
        <v>0</v>
      </c>
      <c r="L290" s="21" t="str">
        <f>IFERROR(__xludf.DUMMYFUNCTION("if(regexmatch(B290,""e(.*)$""),regexextract(B290,""e(.*)$""),"""")"),"")</f>
        <v/>
      </c>
      <c r="M290" s="21"/>
      <c r="N290" s="45">
        <f>countif(Constants!F:F,F290)</f>
        <v>1</v>
      </c>
      <c r="O290" s="21" t="str">
        <f>VLOOKUP(A290,Constants!D:D,1,false)</f>
        <v>Sackur-Tetrode constant (1 K, 101.325 kPa)</v>
      </c>
    </row>
    <row r="291">
      <c r="A291" s="6" t="s">
        <v>1954</v>
      </c>
      <c r="B291" s="6" t="s">
        <v>3937</v>
      </c>
      <c r="C291" s="6" t="s">
        <v>3938</v>
      </c>
      <c r="D291" s="6" t="s">
        <v>1955</v>
      </c>
      <c r="E291" s="42">
        <f>countif(Constants!F:F,F291)</f>
        <v>1</v>
      </c>
      <c r="F291" s="21" t="str">
        <f>ifna(VLOOKUP($A291,Constants!$D:$F,3,false),"")</f>
        <v>SecondRadiationConstant</v>
      </c>
      <c r="G291" s="43" t="str">
        <f t="shared" si="1"/>
        <v>1.4387770e-2</v>
      </c>
      <c r="H291" s="43">
        <f t="shared" si="2"/>
        <v>0.01438777</v>
      </c>
      <c r="I291" s="43" t="str">
        <f t="shared" si="3"/>
        <v>0.0000013e-2</v>
      </c>
      <c r="J291" s="43">
        <f t="shared" si="4"/>
        <v>0.000000013</v>
      </c>
      <c r="K291" s="43" t="b">
        <f t="shared" si="5"/>
        <v>0</v>
      </c>
      <c r="L291" s="21" t="str">
        <f>IFERROR(__xludf.DUMMYFUNCTION("if(regexmatch(B291,""e(.*)$""),regexextract(B291,""e(.*)$""),"""")"),"-2")</f>
        <v>-2</v>
      </c>
      <c r="M291" s="21"/>
      <c r="N291" s="45">
        <f>countif(Constants!F:F,F291)</f>
        <v>1</v>
      </c>
      <c r="O291" s="21" t="str">
        <f>VLOOKUP(A291,Constants!D:D,1,false)</f>
        <v>second radiation constant</v>
      </c>
    </row>
    <row r="292">
      <c r="A292" s="6" t="s">
        <v>1960</v>
      </c>
      <c r="B292" s="6" t="s">
        <v>4119</v>
      </c>
      <c r="C292" s="6" t="s">
        <v>4120</v>
      </c>
      <c r="D292" s="6" t="s">
        <v>961</v>
      </c>
      <c r="E292" s="42">
        <f>countif(Constants!F:F,F292)</f>
        <v>1</v>
      </c>
      <c r="F292" s="21" t="str">
        <f>ifna(VLOOKUP($A292,Constants!$D:$F,3,false),"")</f>
        <v>ShieldedHelionGyromagneticRatio</v>
      </c>
      <c r="G292" s="43" t="str">
        <f t="shared" si="1"/>
        <v>2.037894659e8</v>
      </c>
      <c r="H292" s="43">
        <f t="shared" si="2"/>
        <v>203789465.9</v>
      </c>
      <c r="I292" s="43" t="str">
        <f t="shared" si="3"/>
        <v>0.000000051e8</v>
      </c>
      <c r="J292" s="43">
        <f t="shared" si="4"/>
        <v>5.1</v>
      </c>
      <c r="K292" s="43" t="b">
        <f t="shared" si="5"/>
        <v>0</v>
      </c>
      <c r="L292" s="21" t="str">
        <f>IFERROR(__xludf.DUMMYFUNCTION("if(regexmatch(B292,""e(.*)$""),regexextract(B292,""e(.*)$""),"""")"),"8")</f>
        <v>8</v>
      </c>
      <c r="M292" s="21"/>
      <c r="N292" s="45">
        <f>countif(Constants!F:F,F292)</f>
        <v>1</v>
      </c>
      <c r="O292" s="21" t="str">
        <f>VLOOKUP(A292,Constants!D:D,1,false)</f>
        <v>shielded helion gyromag. ratio</v>
      </c>
    </row>
    <row r="293">
      <c r="A293" s="6" t="s">
        <v>3646</v>
      </c>
      <c r="B293" s="6" t="s">
        <v>4121</v>
      </c>
      <c r="C293" s="6" t="s">
        <v>4122</v>
      </c>
      <c r="D293" s="6" t="s">
        <v>969</v>
      </c>
      <c r="E293" s="42">
        <f>countif(Constants!F:F,F293)</f>
        <v>1</v>
      </c>
      <c r="F293" s="13" t="s">
        <v>2685</v>
      </c>
      <c r="G293" s="43" t="str">
        <f t="shared" si="1"/>
        <v>32.43410084</v>
      </c>
      <c r="H293" s="43">
        <f t="shared" si="2"/>
        <v>32.43410084</v>
      </c>
      <c r="I293" s="43" t="str">
        <f t="shared" si="3"/>
        <v>0.00000081</v>
      </c>
      <c r="J293" s="43">
        <f t="shared" si="4"/>
        <v>0.00000081</v>
      </c>
      <c r="K293" s="43" t="b">
        <f t="shared" si="5"/>
        <v>0</v>
      </c>
      <c r="L293" s="21" t="str">
        <f>IFERROR(__xludf.DUMMYFUNCTION("if(regexmatch(B293,""e(.*)$""),regexextract(B293,""e(.*)$""),"""")"),"")</f>
        <v/>
      </c>
      <c r="M293" s="21"/>
      <c r="N293" s="45">
        <f>countif(Constants!F:F,F293)</f>
        <v>1</v>
      </c>
      <c r="O293" s="21" t="str">
        <f>VLOOKUP(A293,Constants!D:D,1,false)</f>
        <v>#N/A</v>
      </c>
    </row>
    <row r="294">
      <c r="A294" s="6" t="s">
        <v>1969</v>
      </c>
      <c r="B294" s="6" t="s">
        <v>4123</v>
      </c>
      <c r="C294" s="6" t="s">
        <v>3904</v>
      </c>
      <c r="D294" s="6" t="s">
        <v>714</v>
      </c>
      <c r="E294" s="42">
        <f>countif(Constants!F:F,F294)</f>
        <v>1</v>
      </c>
      <c r="F294" s="21" t="str">
        <f>ifna(VLOOKUP($A294,Constants!$D:$F,3,false),"")</f>
        <v>ShieldedHelionMagneticMoment</v>
      </c>
      <c r="G294" s="43" t="str">
        <f t="shared" si="1"/>
        <v>-1.074553044e-26</v>
      </c>
      <c r="H294" s="43">
        <f t="shared" si="2"/>
        <v>0</v>
      </c>
      <c r="I294" s="43" t="str">
        <f t="shared" si="3"/>
        <v>0.000000027e-26</v>
      </c>
      <c r="J294" s="43">
        <f t="shared" si="4"/>
        <v>0</v>
      </c>
      <c r="K294" s="43" t="b">
        <f t="shared" si="5"/>
        <v>0</v>
      </c>
      <c r="L294" s="21" t="str">
        <f>IFERROR(__xludf.DUMMYFUNCTION("if(regexmatch(B294,""e(.*)$""),regexextract(B294,""e(.*)$""),"""")"),"-26")</f>
        <v>-26</v>
      </c>
      <c r="M294" s="21"/>
      <c r="N294" s="45">
        <f>countif(Constants!F:F,F294)</f>
        <v>1</v>
      </c>
      <c r="O294" s="21" t="str">
        <f>VLOOKUP(A294,Constants!D:D,1,false)</f>
        <v>shielded helion mag. mom.</v>
      </c>
    </row>
    <row r="295">
      <c r="A295" s="6" t="s">
        <v>1974</v>
      </c>
      <c r="B295" s="6" t="s">
        <v>3145</v>
      </c>
      <c r="C295" s="6" t="s">
        <v>2946</v>
      </c>
      <c r="E295" s="42">
        <f>countif(Constants!F:F,F295)</f>
        <v>1</v>
      </c>
      <c r="F295" s="21" t="str">
        <f>ifna(VLOOKUP($A295,Constants!$D:$F,3,false),"")</f>
        <v>ShieldedHelionMagneticMomentToBohrMagnetonRatio</v>
      </c>
      <c r="G295" s="43" t="str">
        <f t="shared" si="1"/>
        <v>-1.158671471e-3</v>
      </c>
      <c r="H295" s="43">
        <f t="shared" si="2"/>
        <v>-0.001158671471</v>
      </c>
      <c r="I295" s="43" t="str">
        <f t="shared" si="3"/>
        <v>0.000000014e-3</v>
      </c>
      <c r="J295" s="43">
        <f t="shared" si="4"/>
        <v>0</v>
      </c>
      <c r="K295" s="43" t="b">
        <f t="shared" si="5"/>
        <v>0</v>
      </c>
      <c r="L295" s="21" t="str">
        <f>IFERROR(__xludf.DUMMYFUNCTION("if(regexmatch(B295,""e(.*)$""),regexextract(B295,""e(.*)$""),"""")"),"-3")</f>
        <v>-3</v>
      </c>
      <c r="M295" s="21"/>
      <c r="N295" s="45">
        <f>countif(Constants!F:F,F295)</f>
        <v>1</v>
      </c>
      <c r="O295" s="21" t="str">
        <f>VLOOKUP(A295,Constants!D:D,1,false)</f>
        <v>shielded helion mag. mom. to Bohr magneton ratio</v>
      </c>
    </row>
    <row r="296">
      <c r="A296" s="6" t="s">
        <v>1979</v>
      </c>
      <c r="B296" s="6" t="s">
        <v>4124</v>
      </c>
      <c r="C296" s="6" t="s">
        <v>2948</v>
      </c>
      <c r="E296" s="42">
        <f>countif(Constants!F:F,F296)</f>
        <v>1</v>
      </c>
      <c r="F296" s="21" t="str">
        <f>ifna(VLOOKUP($A296,Constants!$D:$F,3,false),"")</f>
        <v>ShieldedHelionMagneticMomentToNuclearMagnetonRatio</v>
      </c>
      <c r="G296" s="43" t="str">
        <f t="shared" si="1"/>
        <v>-2.127497718</v>
      </c>
      <c r="H296" s="43">
        <f t="shared" si="2"/>
        <v>-2.127497718</v>
      </c>
      <c r="I296" s="43" t="str">
        <f t="shared" si="3"/>
        <v>0.000000025</v>
      </c>
      <c r="J296" s="43">
        <f t="shared" si="4"/>
        <v>0.000000025</v>
      </c>
      <c r="K296" s="43" t="b">
        <f t="shared" si="5"/>
        <v>0</v>
      </c>
      <c r="L296" s="21" t="str">
        <f>IFERROR(__xludf.DUMMYFUNCTION("if(regexmatch(B296,""e(.*)$""),regexextract(B296,""e(.*)$""),"""")"),"")</f>
        <v/>
      </c>
      <c r="M296" s="21"/>
      <c r="N296" s="45">
        <f>countif(Constants!F:F,F296)</f>
        <v>1</v>
      </c>
      <c r="O296" s="21" t="str">
        <f>VLOOKUP(A296,Constants!D:D,1,false)</f>
        <v>shielded helion mag. mom. to nuclear magneton ratio</v>
      </c>
    </row>
    <row r="297">
      <c r="A297" s="6" t="s">
        <v>1984</v>
      </c>
      <c r="B297" s="6" t="s">
        <v>4125</v>
      </c>
      <c r="C297" s="6" t="s">
        <v>2701</v>
      </c>
      <c r="E297" s="42">
        <f>countif(Constants!F:F,F297)</f>
        <v>1</v>
      </c>
      <c r="F297" s="21" t="str">
        <f>ifna(VLOOKUP($A297,Constants!$D:$F,3,false),"")</f>
        <v>ShieldedHelionToProtonMagneticMomentRatio</v>
      </c>
      <c r="G297" s="43" t="str">
        <f t="shared" si="1"/>
        <v>-0.761766558</v>
      </c>
      <c r="H297" s="43">
        <f t="shared" si="2"/>
        <v>-0.761766558</v>
      </c>
      <c r="I297" s="43" t="str">
        <f t="shared" si="3"/>
        <v>0.000000011</v>
      </c>
      <c r="J297" s="43">
        <f t="shared" si="4"/>
        <v>0.000000011</v>
      </c>
      <c r="K297" s="43" t="b">
        <f t="shared" si="5"/>
        <v>0</v>
      </c>
      <c r="L297" s="21" t="str">
        <f>IFERROR(__xludf.DUMMYFUNCTION("if(regexmatch(B297,""e(.*)$""),regexextract(B297,""e(.*)$""),"""")"),"")</f>
        <v/>
      </c>
      <c r="M297" s="21"/>
      <c r="N297" s="45">
        <f>countif(Constants!F:F,F297)</f>
        <v>1</v>
      </c>
      <c r="O297" s="21" t="str">
        <f>VLOOKUP(A297,Constants!D:D,1,false)</f>
        <v>shielded helion to proton mag. mom. ratio</v>
      </c>
    </row>
    <row r="298">
      <c r="A298" s="6" t="s">
        <v>1989</v>
      </c>
      <c r="B298" s="6" t="s">
        <v>3149</v>
      </c>
      <c r="C298" s="6" t="s">
        <v>3150</v>
      </c>
      <c r="E298" s="42">
        <f>countif(Constants!F:F,F298)</f>
        <v>1</v>
      </c>
      <c r="F298" s="21" t="str">
        <f>ifna(VLOOKUP($A298,Constants!$D:$F,3,false),"")</f>
        <v>ShieldedHelionToShieldedProtonMagneticMomentRatio</v>
      </c>
      <c r="G298" s="43" t="str">
        <f t="shared" si="1"/>
        <v>-0.7617861313</v>
      </c>
      <c r="H298" s="43">
        <f t="shared" si="2"/>
        <v>-0.7617861313</v>
      </c>
      <c r="I298" s="43" t="str">
        <f t="shared" si="3"/>
        <v>0.0000000033</v>
      </c>
      <c r="J298" s="43">
        <f t="shared" si="4"/>
        <v>0.0000000033</v>
      </c>
      <c r="K298" s="43" t="b">
        <f t="shared" si="5"/>
        <v>0</v>
      </c>
      <c r="L298" s="21" t="str">
        <f>IFERROR(__xludf.DUMMYFUNCTION("if(regexmatch(B298,""e(.*)$""),regexextract(B298,""e(.*)$""),"""")"),"")</f>
        <v/>
      </c>
      <c r="M298" s="21"/>
      <c r="N298" s="45">
        <f>countif(Constants!F:F,F298)</f>
        <v>1</v>
      </c>
      <c r="O298" s="21" t="str">
        <f>VLOOKUP(A298,Constants!D:D,1,false)</f>
        <v>shielded helion to shielded proton mag. mom. ratio</v>
      </c>
    </row>
    <row r="299">
      <c r="A299" s="6" t="s">
        <v>1994</v>
      </c>
      <c r="B299" s="6" t="s">
        <v>4126</v>
      </c>
      <c r="C299" s="6" t="s">
        <v>4127</v>
      </c>
      <c r="D299" s="6" t="s">
        <v>961</v>
      </c>
      <c r="E299" s="42">
        <f>countif(Constants!F:F,F299)</f>
        <v>1</v>
      </c>
      <c r="F299" s="21" t="str">
        <f>ifna(VLOOKUP($A299,Constants!$D:$F,3,false),"")</f>
        <v>ShieldedProtonGyromagneticRatio</v>
      </c>
      <c r="G299" s="43" t="str">
        <f t="shared" si="1"/>
        <v>2.675153268e8</v>
      </c>
      <c r="H299" s="43">
        <f t="shared" si="2"/>
        <v>267515326.8</v>
      </c>
      <c r="I299" s="43" t="str">
        <f t="shared" si="3"/>
        <v>0.000000066e8</v>
      </c>
      <c r="J299" s="43">
        <f t="shared" si="4"/>
        <v>6.6</v>
      </c>
      <c r="K299" s="43" t="b">
        <f t="shared" si="5"/>
        <v>0</v>
      </c>
      <c r="L299" s="21" t="str">
        <f>IFERROR(__xludf.DUMMYFUNCTION("if(regexmatch(B299,""e(.*)$""),regexextract(B299,""e(.*)$""),"""")"),"8")</f>
        <v>8</v>
      </c>
      <c r="M299" s="21"/>
      <c r="N299" s="45">
        <f>countif(Constants!F:F,F299)</f>
        <v>1</v>
      </c>
      <c r="O299" s="21" t="str">
        <f>VLOOKUP(A299,Constants!D:D,1,false)</f>
        <v>shielded proton gyromag. ratio</v>
      </c>
    </row>
    <row r="300">
      <c r="A300" s="6" t="s">
        <v>3655</v>
      </c>
      <c r="B300" s="6" t="s">
        <v>4128</v>
      </c>
      <c r="C300" s="6" t="s">
        <v>3787</v>
      </c>
      <c r="D300" s="6" t="s">
        <v>969</v>
      </c>
      <c r="E300" s="42">
        <f>countif(Constants!F:F,F300)</f>
        <v>1</v>
      </c>
      <c r="F300" s="13" t="s">
        <v>3658</v>
      </c>
      <c r="G300" s="43" t="str">
        <f t="shared" si="1"/>
        <v>42.5763866</v>
      </c>
      <c r="H300" s="43">
        <f t="shared" si="2"/>
        <v>42.5763866</v>
      </c>
      <c r="I300" s="43" t="str">
        <f t="shared" si="3"/>
        <v>0.0000010</v>
      </c>
      <c r="J300" s="43">
        <f t="shared" si="4"/>
        <v>0.000001</v>
      </c>
      <c r="K300" s="43" t="b">
        <f t="shared" si="5"/>
        <v>0</v>
      </c>
      <c r="L300" s="21" t="str">
        <f>IFERROR(__xludf.DUMMYFUNCTION("if(regexmatch(B300,""e(.*)$""),regexextract(B300,""e(.*)$""),"""")"),"")</f>
        <v/>
      </c>
      <c r="M300" s="21"/>
      <c r="N300" s="45">
        <f>countif(Constants!F:F,F300)</f>
        <v>1</v>
      </c>
      <c r="O300" s="21" t="str">
        <f>VLOOKUP(A300,Constants!D:D,1,false)</f>
        <v>#N/A</v>
      </c>
    </row>
    <row r="301">
      <c r="A301" s="6" t="s">
        <v>2003</v>
      </c>
      <c r="B301" s="6" t="s">
        <v>4129</v>
      </c>
      <c r="C301" s="6" t="s">
        <v>4130</v>
      </c>
      <c r="D301" s="6" t="s">
        <v>714</v>
      </c>
      <c r="E301" s="42">
        <f>countif(Constants!F:F,F301)</f>
        <v>1</v>
      </c>
      <c r="F301" s="21" t="str">
        <f>ifna(VLOOKUP($A301,Constants!$D:$F,3,false),"")</f>
        <v>ShieldedProtonMagneticMoment</v>
      </c>
      <c r="G301" s="43" t="str">
        <f t="shared" si="1"/>
        <v>1.410570499e-26</v>
      </c>
      <c r="H301" s="43">
        <f t="shared" si="2"/>
        <v>0</v>
      </c>
      <c r="I301" s="43" t="str">
        <f t="shared" si="3"/>
        <v>0.000000035e-26</v>
      </c>
      <c r="J301" s="43">
        <f t="shared" si="4"/>
        <v>0</v>
      </c>
      <c r="K301" s="43" t="b">
        <f t="shared" si="5"/>
        <v>0</v>
      </c>
      <c r="L301" s="21" t="str">
        <f>IFERROR(__xludf.DUMMYFUNCTION("if(regexmatch(B301,""e(.*)$""),regexextract(B301,""e(.*)$""),"""")"),"-26")</f>
        <v>-26</v>
      </c>
      <c r="M301" s="21"/>
      <c r="N301" s="45">
        <f>countif(Constants!F:F,F301)</f>
        <v>1</v>
      </c>
      <c r="O301" s="21" t="str">
        <f>VLOOKUP(A301,Constants!D:D,1,false)</f>
        <v>shielded proton mag. mom.</v>
      </c>
    </row>
    <row r="302">
      <c r="A302" s="6" t="s">
        <v>2008</v>
      </c>
      <c r="B302" s="6" t="s">
        <v>3156</v>
      </c>
      <c r="C302" s="6" t="s">
        <v>3157</v>
      </c>
      <c r="E302" s="42">
        <f>countif(Constants!F:F,F302)</f>
        <v>1</v>
      </c>
      <c r="F302" s="21" t="str">
        <f>ifna(VLOOKUP($A302,Constants!$D:$F,3,false),"")</f>
        <v>ShieldedProtonMagneticMomentToBohrMagnetonRatio</v>
      </c>
      <c r="G302" s="43" t="str">
        <f t="shared" si="1"/>
        <v>1.520993128e-3</v>
      </c>
      <c r="H302" s="43">
        <f t="shared" si="2"/>
        <v>0.001520993128</v>
      </c>
      <c r="I302" s="43" t="str">
        <f t="shared" si="3"/>
        <v>0.000000017e-3</v>
      </c>
      <c r="J302" s="43">
        <f t="shared" si="4"/>
        <v>0</v>
      </c>
      <c r="K302" s="43" t="b">
        <f t="shared" si="5"/>
        <v>0</v>
      </c>
      <c r="L302" s="21" t="str">
        <f>IFERROR(__xludf.DUMMYFUNCTION("if(regexmatch(B302,""e(.*)$""),regexextract(B302,""e(.*)$""),"""")"),"-3")</f>
        <v>-3</v>
      </c>
      <c r="M302" s="21"/>
      <c r="N302" s="45">
        <f>countif(Constants!F:F,F302)</f>
        <v>1</v>
      </c>
      <c r="O302" s="21" t="str">
        <f>VLOOKUP(A302,Constants!D:D,1,false)</f>
        <v>shielded proton mag. mom. to Bohr magneton ratio</v>
      </c>
    </row>
    <row r="303">
      <c r="A303" s="6" t="s">
        <v>2013</v>
      </c>
      <c r="B303" s="6" t="s">
        <v>4131</v>
      </c>
      <c r="C303" s="6" t="s">
        <v>3159</v>
      </c>
      <c r="E303" s="42">
        <f>countif(Constants!F:F,F303)</f>
        <v>1</v>
      </c>
      <c r="F303" s="21" t="str">
        <f>ifna(VLOOKUP($A303,Constants!$D:$F,3,false),"")</f>
        <v>ShieldedProtonMagneticMomentToNuclearMagnetonRatio</v>
      </c>
      <c r="G303" s="43" t="str">
        <f t="shared" si="1"/>
        <v>2.792775598</v>
      </c>
      <c r="H303" s="43">
        <f t="shared" si="2"/>
        <v>2.792775598</v>
      </c>
      <c r="I303" s="43" t="str">
        <f t="shared" si="3"/>
        <v>0.000000030</v>
      </c>
      <c r="J303" s="43">
        <f t="shared" si="4"/>
        <v>0.00000003</v>
      </c>
      <c r="K303" s="43" t="b">
        <f t="shared" si="5"/>
        <v>0</v>
      </c>
      <c r="L303" s="21" t="str">
        <f>IFERROR(__xludf.DUMMYFUNCTION("if(regexmatch(B303,""e(.*)$""),regexextract(B303,""e(.*)$""),"""")"),"")</f>
        <v/>
      </c>
      <c r="M303" s="21"/>
      <c r="N303" s="45">
        <f>countif(Constants!F:F,F303)</f>
        <v>1</v>
      </c>
      <c r="O303" s="21" t="str">
        <f>VLOOKUP(A303,Constants!D:D,1,false)</f>
        <v>shielded proton mag. mom. to nuclear magneton ratio</v>
      </c>
    </row>
    <row r="304">
      <c r="A304" s="6" t="s">
        <v>2021</v>
      </c>
      <c r="B304" s="6" t="s">
        <v>2978</v>
      </c>
      <c r="C304" s="6" t="s">
        <v>2261</v>
      </c>
      <c r="D304" s="6" t="s">
        <v>754</v>
      </c>
      <c r="E304" s="42">
        <f>countif(Constants!F:F,F304)</f>
        <v>1</v>
      </c>
      <c r="F304" s="21" t="str">
        <f>ifna(VLOOKUP($A304,Constants!$D:$F,3,false),"")</f>
        <v>SpeedOfLight_Vacuum</v>
      </c>
      <c r="G304" s="43" t="str">
        <f t="shared" si="1"/>
        <v>299792458</v>
      </c>
      <c r="H304" s="43">
        <f t="shared" si="2"/>
        <v>299792458</v>
      </c>
      <c r="I304" s="43" t="str">
        <f t="shared" si="3"/>
        <v>(exact)</v>
      </c>
      <c r="J304" s="43" t="str">
        <f t="shared" si="4"/>
        <v/>
      </c>
      <c r="K304" s="43" t="b">
        <f t="shared" si="5"/>
        <v>0</v>
      </c>
      <c r="L304" s="21" t="str">
        <f>IFERROR(__xludf.DUMMYFUNCTION("if(regexmatch(B304,""e(.*)$""),regexextract(B304,""e(.*)$""),"""")"),"")</f>
        <v/>
      </c>
      <c r="M304" s="21"/>
      <c r="N304" s="45">
        <f>countif(Constants!F:F,F304)</f>
        <v>1</v>
      </c>
      <c r="O304" s="21" t="str">
        <f>VLOOKUP(A304,Constants!D:D,1,false)</f>
        <v>speed of light in vacuum</v>
      </c>
    </row>
    <row r="305">
      <c r="A305" s="6" t="s">
        <v>2026</v>
      </c>
      <c r="B305" s="6" t="s">
        <v>3163</v>
      </c>
      <c r="C305" s="6" t="s">
        <v>2261</v>
      </c>
      <c r="D305" s="6" t="s">
        <v>2027</v>
      </c>
      <c r="E305" s="42">
        <f>countif(Constants!F:F,F305)</f>
        <v>1</v>
      </c>
      <c r="F305" s="21" t="str">
        <f>ifna(VLOOKUP($A305,Constants!$D:$F,3,false),"")</f>
        <v>StandardAccelerationOfGravity</v>
      </c>
      <c r="G305" s="43" t="str">
        <f t="shared" si="1"/>
        <v>9.80665</v>
      </c>
      <c r="H305" s="43">
        <f t="shared" si="2"/>
        <v>9.80665</v>
      </c>
      <c r="I305" s="43" t="str">
        <f t="shared" si="3"/>
        <v>(exact)</v>
      </c>
      <c r="J305" s="43" t="str">
        <f t="shared" si="4"/>
        <v/>
      </c>
      <c r="K305" s="43" t="b">
        <f t="shared" si="5"/>
        <v>0</v>
      </c>
      <c r="L305" s="21" t="str">
        <f>IFERROR(__xludf.DUMMYFUNCTION("if(regexmatch(B305,""e(.*)$""),regexextract(B305,""e(.*)$""),"""")"),"")</f>
        <v/>
      </c>
      <c r="M305" s="21"/>
      <c r="N305" s="45">
        <f>countif(Constants!F:F,F305)</f>
        <v>1</v>
      </c>
      <c r="O305" s="21" t="str">
        <f>VLOOKUP(A305,Constants!D:D,1,false)</f>
        <v>standard acceleration of gravity</v>
      </c>
    </row>
    <row r="306">
      <c r="A306" s="6" t="s">
        <v>2033</v>
      </c>
      <c r="B306" s="6" t="s">
        <v>3164</v>
      </c>
      <c r="C306" s="6" t="s">
        <v>2261</v>
      </c>
      <c r="D306" s="6" t="s">
        <v>2034</v>
      </c>
      <c r="E306" s="42">
        <f>countif(Constants!F:F,F306)</f>
        <v>1</v>
      </c>
      <c r="F306" s="21" t="str">
        <f>ifna(VLOOKUP($A306,Constants!$D:$F,3,false),"")</f>
        <v>StandardAtmosphere</v>
      </c>
      <c r="G306" s="43" t="str">
        <f t="shared" si="1"/>
        <v>101325</v>
      </c>
      <c r="H306" s="43">
        <f t="shared" si="2"/>
        <v>101325</v>
      </c>
      <c r="I306" s="43" t="str">
        <f t="shared" si="3"/>
        <v>(exact)</v>
      </c>
      <c r="J306" s="43" t="str">
        <f t="shared" si="4"/>
        <v/>
      </c>
      <c r="K306" s="43" t="b">
        <f t="shared" si="5"/>
        <v>0</v>
      </c>
      <c r="L306" s="21" t="str">
        <f>IFERROR(__xludf.DUMMYFUNCTION("if(regexmatch(B306,""e(.*)$""),regexextract(B306,""e(.*)$""),"""")"),"")</f>
        <v/>
      </c>
      <c r="M306" s="21"/>
      <c r="N306" s="45">
        <f>countif(Constants!F:F,F306)</f>
        <v>1</v>
      </c>
      <c r="O306" s="21" t="str">
        <f>VLOOKUP(A306,Constants!D:D,1,false)</f>
        <v>standard atmosphere</v>
      </c>
    </row>
    <row r="307">
      <c r="A307" s="6" t="s">
        <v>2039</v>
      </c>
      <c r="B307" s="6" t="s">
        <v>3165</v>
      </c>
      <c r="C307" s="6" t="s">
        <v>2261</v>
      </c>
      <c r="D307" s="6" t="s">
        <v>2034</v>
      </c>
      <c r="E307" s="42">
        <f>countif(Constants!F:F,F307)</f>
        <v>1</v>
      </c>
      <c r="F307" s="21" t="str">
        <f>ifna(VLOOKUP($A307,Constants!$D:$F,3,false),"")</f>
        <v>Standard-StatePressure</v>
      </c>
      <c r="G307" s="43" t="str">
        <f t="shared" si="1"/>
        <v>100000</v>
      </c>
      <c r="H307" s="43">
        <f t="shared" si="2"/>
        <v>100000</v>
      </c>
      <c r="I307" s="43" t="str">
        <f t="shared" si="3"/>
        <v>(exact)</v>
      </c>
      <c r="J307" s="43" t="str">
        <f t="shared" si="4"/>
        <v/>
      </c>
      <c r="K307" s="43" t="b">
        <f t="shared" si="5"/>
        <v>0</v>
      </c>
      <c r="L307" s="21" t="str">
        <f>IFERROR(__xludf.DUMMYFUNCTION("if(regexmatch(B307,""e(.*)$""),regexextract(B307,""e(.*)$""),"""")"),"")</f>
        <v/>
      </c>
      <c r="M307" s="21"/>
      <c r="N307" s="45">
        <f>countif(Constants!F:F,F307)</f>
        <v>1</v>
      </c>
      <c r="O307" s="21" t="str">
        <f>VLOOKUP(A307,Constants!D:D,1,false)</f>
        <v>standard-state pressure</v>
      </c>
    </row>
    <row r="308">
      <c r="A308" s="6" t="s">
        <v>2041</v>
      </c>
      <c r="B308" s="6" t="s">
        <v>4132</v>
      </c>
      <c r="C308" s="6" t="s">
        <v>4133</v>
      </c>
      <c r="D308" s="6" t="s">
        <v>2042</v>
      </c>
      <c r="E308" s="42">
        <f>countif(Constants!F:F,F308)</f>
        <v>1</v>
      </c>
      <c r="F308" s="21" t="str">
        <f>ifna(VLOOKUP($A308,Constants!$D:$F,3,false),"")</f>
        <v>StefanBoltzmannConstant</v>
      </c>
      <c r="G308" s="43" t="str">
        <f t="shared" si="1"/>
        <v>5.670373e-8</v>
      </c>
      <c r="H308" s="43">
        <f t="shared" si="2"/>
        <v>0.00000005670373</v>
      </c>
      <c r="I308" s="43" t="str">
        <f t="shared" si="3"/>
        <v>0.000021e-8</v>
      </c>
      <c r="J308" s="43">
        <f t="shared" si="4"/>
        <v>0</v>
      </c>
      <c r="K308" s="43" t="b">
        <f t="shared" si="5"/>
        <v>0</v>
      </c>
      <c r="L308" s="21" t="str">
        <f>IFERROR(__xludf.DUMMYFUNCTION("if(regexmatch(B308,""e(.*)$""),regexextract(B308,""e(.*)$""),"""")"),"-8")</f>
        <v>-8</v>
      </c>
      <c r="M308" s="21"/>
      <c r="N308" s="45">
        <f>countif(Constants!F:F,F308)</f>
        <v>1</v>
      </c>
      <c r="O308" s="21" t="str">
        <f>VLOOKUP(A308,Constants!D:D,1,false)</f>
        <v>Stefan-Boltzmann constant</v>
      </c>
    </row>
    <row r="309">
      <c r="A309" s="6" t="s">
        <v>2047</v>
      </c>
      <c r="B309" s="6" t="s">
        <v>3664</v>
      </c>
      <c r="C309" s="6" t="s">
        <v>3665</v>
      </c>
      <c r="D309" s="6" t="s">
        <v>571</v>
      </c>
      <c r="E309" s="42">
        <f>countif(Constants!F:F,F309)</f>
        <v>1</v>
      </c>
      <c r="F309" s="21" t="str">
        <f>ifna(VLOOKUP($A309,Constants!$D:$F,3,false),"")</f>
        <v>TauComptonWavelength</v>
      </c>
      <c r="G309" s="43" t="str">
        <f t="shared" si="1"/>
        <v>0.697787e-15</v>
      </c>
      <c r="H309" s="43">
        <f t="shared" si="2"/>
        <v>0</v>
      </c>
      <c r="I309" s="43" t="str">
        <f t="shared" si="3"/>
        <v>0.000063e-15</v>
      </c>
      <c r="J309" s="43">
        <f t="shared" si="4"/>
        <v>0</v>
      </c>
      <c r="K309" s="43" t="b">
        <f t="shared" si="5"/>
        <v>0</v>
      </c>
      <c r="L309" s="21" t="str">
        <f>IFERROR(__xludf.DUMMYFUNCTION("if(regexmatch(B309,""e(.*)$""),regexextract(B309,""e(.*)$""),"""")"),"-15")</f>
        <v>-15</v>
      </c>
      <c r="M309" s="21"/>
      <c r="N309" s="45">
        <f>countif(Constants!F:F,F309)</f>
        <v>1</v>
      </c>
      <c r="O309" s="21" t="str">
        <f>VLOOKUP(A309,Constants!D:D,1,false)</f>
        <v>tau Compton wavelength</v>
      </c>
    </row>
    <row r="310">
      <c r="A310" s="6" t="s">
        <v>2050</v>
      </c>
      <c r="B310" s="6" t="s">
        <v>3666</v>
      </c>
      <c r="C310" s="6" t="s">
        <v>3667</v>
      </c>
      <c r="D310" s="6" t="s">
        <v>571</v>
      </c>
      <c r="E310" s="42">
        <f>countif(Constants!F:F,F310)</f>
        <v>1</v>
      </c>
      <c r="F310" s="6" t="s">
        <v>480</v>
      </c>
      <c r="G310" s="43" t="str">
        <f t="shared" si="1"/>
        <v>0.111056e-15</v>
      </c>
      <c r="H310" s="43">
        <f t="shared" si="2"/>
        <v>0</v>
      </c>
      <c r="I310" s="43" t="str">
        <f t="shared" si="3"/>
        <v>0.000010e-15</v>
      </c>
      <c r="J310" s="43">
        <f t="shared" si="4"/>
        <v>0</v>
      </c>
      <c r="K310" s="43" t="b">
        <f t="shared" si="5"/>
        <v>0</v>
      </c>
      <c r="L310" s="21" t="str">
        <f>IFERROR(__xludf.DUMMYFUNCTION("if(regexmatch(B310,""e(.*)$""),regexextract(B310,""e(.*)$""),"""")"),"-15")</f>
        <v>-15</v>
      </c>
      <c r="M310" s="21"/>
      <c r="N310" s="45">
        <f>countif(Constants!F:F,F310)</f>
        <v>1</v>
      </c>
      <c r="O310" s="21" t="str">
        <f>VLOOKUP(A310,Constants!D:D,1,false)</f>
        <v>#N/A</v>
      </c>
    </row>
    <row r="311">
      <c r="A311" s="6" t="s">
        <v>2057</v>
      </c>
      <c r="B311" s="46" t="s">
        <v>3668</v>
      </c>
      <c r="C311" s="46" t="s">
        <v>3669</v>
      </c>
      <c r="E311" s="42">
        <f>countif(Constants!F:F,F311)</f>
        <v>1</v>
      </c>
      <c r="F311" s="21" t="str">
        <f>ifna(VLOOKUP($A311,Constants!$D:$F,3,false),"")</f>
        <v>TauElectronMassRatio</v>
      </c>
      <c r="G311" s="43" t="str">
        <f t="shared" si="1"/>
        <v>3477.15</v>
      </c>
      <c r="H311" s="43">
        <f t="shared" si="2"/>
        <v>3477.15</v>
      </c>
      <c r="I311" s="43" t="str">
        <f t="shared" si="3"/>
        <v>0.31</v>
      </c>
      <c r="J311" s="43">
        <f t="shared" si="4"/>
        <v>0.31</v>
      </c>
      <c r="K311" s="43" t="b">
        <f t="shared" si="5"/>
        <v>0</v>
      </c>
      <c r="L311" s="21" t="str">
        <f>IFERROR(__xludf.DUMMYFUNCTION("if(regexmatch(B311,""e(.*)$""),regexextract(B311,""e(.*)$""),"""")"),"")</f>
        <v/>
      </c>
      <c r="M311" s="21"/>
      <c r="N311" s="45">
        <f>countif(Constants!F:F,F311)</f>
        <v>1</v>
      </c>
      <c r="O311" s="21" t="str">
        <f>VLOOKUP(A311,Constants!D:D,1,false)</f>
        <v>tau-electron mass ratio</v>
      </c>
    </row>
    <row r="312">
      <c r="A312" s="6" t="s">
        <v>2062</v>
      </c>
      <c r="B312" s="6" t="s">
        <v>3670</v>
      </c>
      <c r="C312" s="6" t="s">
        <v>3671</v>
      </c>
      <c r="D312" s="6" t="s">
        <v>538</v>
      </c>
      <c r="E312" s="42">
        <f>countif(Constants!F:F,F312)</f>
        <v>1</v>
      </c>
      <c r="F312" s="21" t="str">
        <f>ifna(VLOOKUP($A312,Constants!$D:$F,3,false),"")</f>
        <v>TauMass</v>
      </c>
      <c r="G312" s="43" t="str">
        <f t="shared" si="1"/>
        <v>3.16747e-27</v>
      </c>
      <c r="H312" s="43">
        <f t="shared" si="2"/>
        <v>0</v>
      </c>
      <c r="I312" s="43" t="str">
        <f t="shared" si="3"/>
        <v>0.00029e-27</v>
      </c>
      <c r="J312" s="43">
        <f t="shared" si="4"/>
        <v>0</v>
      </c>
      <c r="K312" s="43" t="b">
        <f t="shared" si="5"/>
        <v>0</v>
      </c>
      <c r="L312" s="21" t="str">
        <f>IFERROR(__xludf.DUMMYFUNCTION("if(regexmatch(B312,""e(.*)$""),regexextract(B312,""e(.*)$""),"""")"),"-27")</f>
        <v>-27</v>
      </c>
      <c r="M312" s="21"/>
      <c r="N312" s="45">
        <f>countif(Constants!F:F,F312)</f>
        <v>1</v>
      </c>
      <c r="O312" s="21" t="str">
        <f>VLOOKUP(A312,Constants!D:D,1,false)</f>
        <v>tau mass</v>
      </c>
    </row>
    <row r="313">
      <c r="A313" s="6" t="s">
        <v>2066</v>
      </c>
      <c r="B313" s="6" t="s">
        <v>3672</v>
      </c>
      <c r="C313" s="6" t="s">
        <v>3673</v>
      </c>
      <c r="D313" s="6" t="s">
        <v>543</v>
      </c>
      <c r="E313" s="42">
        <f>countif(Constants!F:F,F313)</f>
        <v>1</v>
      </c>
      <c r="F313" s="21" t="str">
        <f>ifna(VLOOKUP($A313,Constants!$D:$F,3,false),"")</f>
        <v>TauMassEnergyEquivalent</v>
      </c>
      <c r="G313" s="43" t="str">
        <f t="shared" si="1"/>
        <v>2.84678e-10</v>
      </c>
      <c r="H313" s="43">
        <f t="shared" si="2"/>
        <v>0.000000000284678</v>
      </c>
      <c r="I313" s="43" t="str">
        <f t="shared" si="3"/>
        <v>0.00026e-10</v>
      </c>
      <c r="J313" s="43">
        <f t="shared" si="4"/>
        <v>0</v>
      </c>
      <c r="K313" s="43" t="b">
        <f t="shared" si="5"/>
        <v>0</v>
      </c>
      <c r="L313" s="21" t="str">
        <f>IFERROR(__xludf.DUMMYFUNCTION("if(regexmatch(B313,""e(.*)$""),regexextract(B313,""e(.*)$""),"""")"),"-10")</f>
        <v>-10</v>
      </c>
      <c r="M313" s="21"/>
      <c r="N313" s="45">
        <f>countif(Constants!F:F,F313)</f>
        <v>1</v>
      </c>
      <c r="O313" s="21" t="str">
        <f>VLOOKUP(A313,Constants!D:D,1,false)</f>
        <v>tau mass energy equivalent</v>
      </c>
    </row>
    <row r="314">
      <c r="A314" s="6" t="s">
        <v>2069</v>
      </c>
      <c r="B314" s="46" t="s">
        <v>3674</v>
      </c>
      <c r="C314" s="46" t="s">
        <v>3675</v>
      </c>
      <c r="D314" s="6" t="s">
        <v>548</v>
      </c>
      <c r="E314" s="42">
        <f>countif(Constants!F:F,F314)</f>
        <v>1</v>
      </c>
      <c r="F314" s="6" t="s">
        <v>3676</v>
      </c>
      <c r="G314" s="43" t="str">
        <f t="shared" si="1"/>
        <v>1776.82</v>
      </c>
      <c r="H314" s="43">
        <f t="shared" si="2"/>
        <v>1776.82</v>
      </c>
      <c r="I314" s="43" t="str">
        <f t="shared" si="3"/>
        <v>0.16</v>
      </c>
      <c r="J314" s="43">
        <f t="shared" si="4"/>
        <v>0.16</v>
      </c>
      <c r="K314" s="43" t="b">
        <f t="shared" si="5"/>
        <v>0</v>
      </c>
      <c r="L314" s="21" t="str">
        <f>IFERROR(__xludf.DUMMYFUNCTION("if(regexmatch(B314,""e(.*)$""),regexextract(B314,""e(.*)$""),"""")"),"")</f>
        <v/>
      </c>
      <c r="M314" s="21"/>
      <c r="N314" s="45">
        <f>countif(Constants!F:F,F314)</f>
        <v>1</v>
      </c>
      <c r="O314" s="21" t="str">
        <f>VLOOKUP(A314,Constants!D:D,1,false)</f>
        <v>#N/A</v>
      </c>
    </row>
    <row r="315">
      <c r="A315" s="6" t="s">
        <v>2074</v>
      </c>
      <c r="B315" s="6" t="s">
        <v>3677</v>
      </c>
      <c r="C315" s="6" t="s">
        <v>3204</v>
      </c>
      <c r="D315" s="6" t="s">
        <v>553</v>
      </c>
      <c r="E315" s="42">
        <f>countif(Constants!F:F,F315)</f>
        <v>1</v>
      </c>
      <c r="F315" s="21" t="str">
        <f>ifna(VLOOKUP($A315,Constants!$D:$F,3,false),"")</f>
        <v>TauMassInAtomicMassUnit</v>
      </c>
      <c r="G315" s="43" t="str">
        <f t="shared" si="1"/>
        <v>1.90749</v>
      </c>
      <c r="H315" s="43">
        <f t="shared" si="2"/>
        <v>1.90749</v>
      </c>
      <c r="I315" s="43" t="str">
        <f t="shared" si="3"/>
        <v>0.00017</v>
      </c>
      <c r="J315" s="43">
        <f t="shared" si="4"/>
        <v>0.00017</v>
      </c>
      <c r="K315" s="43" t="b">
        <f t="shared" si="5"/>
        <v>0</v>
      </c>
      <c r="L315" s="21" t="str">
        <f>IFERROR(__xludf.DUMMYFUNCTION("if(regexmatch(B315,""e(.*)$""),regexextract(B315,""e(.*)$""),"""")"),"")</f>
        <v/>
      </c>
      <c r="M315" s="21"/>
      <c r="N315" s="45">
        <f>countif(Constants!F:F,F315)</f>
        <v>1</v>
      </c>
      <c r="O315" s="21" t="str">
        <f>VLOOKUP(A315,Constants!D:D,1,false)</f>
        <v>tau mass in u</v>
      </c>
    </row>
    <row r="316">
      <c r="A316" s="6" t="s">
        <v>2077</v>
      </c>
      <c r="B316" s="6" t="s">
        <v>3678</v>
      </c>
      <c r="C316" s="6" t="s">
        <v>3679</v>
      </c>
      <c r="D316" s="6" t="s">
        <v>557</v>
      </c>
      <c r="E316" s="42">
        <f>countif(Constants!F:F,F316)</f>
        <v>1</v>
      </c>
      <c r="F316" s="21" t="str">
        <f>ifna(VLOOKUP($A316,Constants!$D:$F,3,false),"")</f>
        <v>TauMolarMass</v>
      </c>
      <c r="G316" s="43" t="str">
        <f t="shared" si="1"/>
        <v>1.90749e-3</v>
      </c>
      <c r="H316" s="43">
        <f t="shared" si="2"/>
        <v>0.00190749</v>
      </c>
      <c r="I316" s="43" t="str">
        <f t="shared" si="3"/>
        <v>0.00017e-3</v>
      </c>
      <c r="J316" s="43">
        <f t="shared" si="4"/>
        <v>0.00000017</v>
      </c>
      <c r="K316" s="43" t="b">
        <f t="shared" si="5"/>
        <v>0</v>
      </c>
      <c r="L316" s="21" t="str">
        <f>IFERROR(__xludf.DUMMYFUNCTION("if(regexmatch(B316,""e(.*)$""),regexextract(B316,""e(.*)$""),"""")"),"-3")</f>
        <v>-3</v>
      </c>
      <c r="M316" s="21"/>
      <c r="N316" s="45">
        <f>countif(Constants!F:F,F316)</f>
        <v>1</v>
      </c>
      <c r="O316" s="21" t="str">
        <f>VLOOKUP(A316,Constants!D:D,1,false)</f>
        <v>tau molar mass</v>
      </c>
    </row>
    <row r="317">
      <c r="A317" s="6" t="s">
        <v>2081</v>
      </c>
      <c r="B317" s="46" t="s">
        <v>3680</v>
      </c>
      <c r="C317" s="46" t="s">
        <v>3681</v>
      </c>
      <c r="E317" s="42">
        <f>countif(Constants!F:F,F317)</f>
        <v>1</v>
      </c>
      <c r="F317" s="21" t="str">
        <f>ifna(VLOOKUP($A317,Constants!$D:$F,3,false),"")</f>
        <v>TauMuonMassRatio</v>
      </c>
      <c r="G317" s="43" t="str">
        <f t="shared" si="1"/>
        <v>16.8167</v>
      </c>
      <c r="H317" s="43">
        <f t="shared" si="2"/>
        <v>16.8167</v>
      </c>
      <c r="I317" s="43" t="str">
        <f t="shared" si="3"/>
        <v>0.0015</v>
      </c>
      <c r="J317" s="43">
        <f t="shared" si="4"/>
        <v>0.0015</v>
      </c>
      <c r="K317" s="43" t="b">
        <f t="shared" si="5"/>
        <v>0</v>
      </c>
      <c r="L317" s="21" t="str">
        <f>IFERROR(__xludf.DUMMYFUNCTION("if(regexmatch(B317,""e(.*)$""),regexextract(B317,""e(.*)$""),"""")"),"")</f>
        <v/>
      </c>
      <c r="M317" s="21"/>
      <c r="N317" s="45">
        <f>countif(Constants!F:F,F317)</f>
        <v>1</v>
      </c>
      <c r="O317" s="21" t="str">
        <f>VLOOKUP(A317,Constants!D:D,1,false)</f>
        <v>tau-muon mass ratio</v>
      </c>
    </row>
    <row r="318">
      <c r="A318" s="6" t="s">
        <v>2086</v>
      </c>
      <c r="B318" s="6" t="s">
        <v>3682</v>
      </c>
      <c r="C318" s="6" t="s">
        <v>3204</v>
      </c>
      <c r="E318" s="42">
        <f>countif(Constants!F:F,F318)</f>
        <v>1</v>
      </c>
      <c r="F318" s="21" t="str">
        <f>ifna(VLOOKUP($A318,Constants!$D:$F,3,false),"")</f>
        <v>TauNeutronMassRatio</v>
      </c>
      <c r="G318" s="43" t="str">
        <f t="shared" si="1"/>
        <v>1.89111</v>
      </c>
      <c r="H318" s="43">
        <f t="shared" si="2"/>
        <v>1.89111</v>
      </c>
      <c r="I318" s="43" t="str">
        <f t="shared" si="3"/>
        <v>0.00017</v>
      </c>
      <c r="J318" s="43">
        <f t="shared" si="4"/>
        <v>0.00017</v>
      </c>
      <c r="K318" s="43" t="b">
        <f t="shared" si="5"/>
        <v>0</v>
      </c>
      <c r="L318" s="21" t="str">
        <f>IFERROR(__xludf.DUMMYFUNCTION("if(regexmatch(B318,""e(.*)$""),regexextract(B318,""e(.*)$""),"""")"),"")</f>
        <v/>
      </c>
      <c r="M318" s="21"/>
      <c r="N318" s="45">
        <f>countif(Constants!F:F,F318)</f>
        <v>1</v>
      </c>
      <c r="O318" s="21" t="str">
        <f>VLOOKUP(A318,Constants!D:D,1,false)</f>
        <v>tau-neutron mass ratio</v>
      </c>
    </row>
    <row r="319">
      <c r="A319" s="6" t="s">
        <v>2091</v>
      </c>
      <c r="B319" s="6" t="s">
        <v>3683</v>
      </c>
      <c r="C319" s="6" t="s">
        <v>3204</v>
      </c>
      <c r="E319" s="42">
        <f>countif(Constants!F:F,F319)</f>
        <v>1</v>
      </c>
      <c r="F319" s="21" t="str">
        <f>ifna(VLOOKUP($A319,Constants!$D:$F,3,false),"")</f>
        <v>TauProtonMassRatio</v>
      </c>
      <c r="G319" s="43" t="str">
        <f t="shared" si="1"/>
        <v>1.89372</v>
      </c>
      <c r="H319" s="43">
        <f t="shared" si="2"/>
        <v>1.89372</v>
      </c>
      <c r="I319" s="43" t="str">
        <f t="shared" si="3"/>
        <v>0.00017</v>
      </c>
      <c r="J319" s="43">
        <f t="shared" si="4"/>
        <v>0.00017</v>
      </c>
      <c r="K319" s="43" t="b">
        <f t="shared" si="5"/>
        <v>0</v>
      </c>
      <c r="L319" s="21" t="str">
        <f>IFERROR(__xludf.DUMMYFUNCTION("if(regexmatch(B319,""e(.*)$""),regexextract(B319,""e(.*)$""),"""")"),"")</f>
        <v/>
      </c>
      <c r="M319" s="21"/>
      <c r="N319" s="45">
        <f>countif(Constants!F:F,F319)</f>
        <v>1</v>
      </c>
      <c r="O319" s="21" t="str">
        <f>VLOOKUP(A319,Constants!D:D,1,false)</f>
        <v>tau-proton mass ratio</v>
      </c>
    </row>
    <row r="320">
      <c r="A320" s="6" t="s">
        <v>2096</v>
      </c>
      <c r="B320" s="6" t="s">
        <v>4134</v>
      </c>
      <c r="C320" s="6" t="s">
        <v>4135</v>
      </c>
      <c r="D320" s="6" t="s">
        <v>2097</v>
      </c>
      <c r="E320" s="42">
        <f>countif(Constants!F:F,F320)</f>
        <v>1</v>
      </c>
      <c r="F320" s="21" t="str">
        <f>ifna(VLOOKUP($A320,Constants!$D:$F,3,false),"")</f>
        <v>ThomsonCrossSection</v>
      </c>
      <c r="G320" s="43" t="str">
        <f t="shared" si="1"/>
        <v>0.6652458734e-28</v>
      </c>
      <c r="H320" s="43">
        <f t="shared" si="2"/>
        <v>0</v>
      </c>
      <c r="I320" s="43" t="str">
        <f t="shared" si="3"/>
        <v>0.0000000013e-28</v>
      </c>
      <c r="J320" s="43">
        <f t="shared" si="4"/>
        <v>0</v>
      </c>
      <c r="K320" s="43" t="b">
        <f t="shared" si="5"/>
        <v>0</v>
      </c>
      <c r="L320" s="21" t="str">
        <f>IFERROR(__xludf.DUMMYFUNCTION("if(regexmatch(B320,""e(.*)$""),regexextract(B320,""e(.*)$""),"""")"),"-28")</f>
        <v>-28</v>
      </c>
      <c r="M320" s="21"/>
      <c r="N320" s="45">
        <f>countif(Constants!F:F,F320)</f>
        <v>1</v>
      </c>
      <c r="O320" s="21" t="str">
        <f>VLOOKUP(A320,Constants!D:D,1,false)</f>
        <v>Thomson cross section</v>
      </c>
    </row>
    <row r="321">
      <c r="A321" s="6" t="s">
        <v>2108</v>
      </c>
      <c r="B321" s="6" t="s">
        <v>4136</v>
      </c>
      <c r="C321" s="6" t="s">
        <v>3901</v>
      </c>
      <c r="E321" s="42">
        <f>countif(Constants!F:F,F321)</f>
        <v>1</v>
      </c>
      <c r="F321" s="21" t="str">
        <f>ifna(VLOOKUP($A321,Constants!$D:$F,3,false),"")</f>
        <v>TritonElectronMassRatio</v>
      </c>
      <c r="G321" s="43" t="str">
        <f t="shared" si="1"/>
        <v>5496.9215267</v>
      </c>
      <c r="H321" s="43">
        <f t="shared" si="2"/>
        <v>5496.921527</v>
      </c>
      <c r="I321" s="43" t="str">
        <f t="shared" si="3"/>
        <v>0.0000050</v>
      </c>
      <c r="J321" s="43">
        <f t="shared" si="4"/>
        <v>0.000005</v>
      </c>
      <c r="K321" s="43" t="b">
        <f t="shared" si="5"/>
        <v>0</v>
      </c>
      <c r="L321" s="21" t="str">
        <f>IFERROR(__xludf.DUMMYFUNCTION("if(regexmatch(B321,""e(.*)$""),regexextract(B321,""e(.*)$""),"""")"),"")</f>
        <v/>
      </c>
      <c r="M321" s="21"/>
      <c r="N321" s="45">
        <f>countif(Constants!F:F,F321)</f>
        <v>1</v>
      </c>
      <c r="O321" s="21" t="str">
        <f>VLOOKUP(A321,Constants!D:D,1,false)</f>
        <v>triton-electron mass ratio</v>
      </c>
    </row>
    <row r="322">
      <c r="A322" s="6" t="s">
        <v>2113</v>
      </c>
      <c r="B322" s="6" t="s">
        <v>4137</v>
      </c>
      <c r="C322" s="6" t="s">
        <v>4138</v>
      </c>
      <c r="E322" s="42">
        <f>countif(Constants!F:F,F322)</f>
        <v>1</v>
      </c>
      <c r="F322" s="21" t="str">
        <f>ifna(VLOOKUP($A322,Constants!$D:$F,3,false),"")</f>
        <v>TritonGFactor</v>
      </c>
      <c r="G322" s="43" t="str">
        <f t="shared" si="1"/>
        <v>5.957924896</v>
      </c>
      <c r="H322" s="43">
        <f t="shared" si="2"/>
        <v>5.957924896</v>
      </c>
      <c r="I322" s="43" t="str">
        <f t="shared" si="3"/>
        <v>0.000000076</v>
      </c>
      <c r="J322" s="43">
        <f t="shared" si="4"/>
        <v>0.000000076</v>
      </c>
      <c r="K322" s="43" t="b">
        <f t="shared" si="5"/>
        <v>0</v>
      </c>
      <c r="L322" s="21" t="str">
        <f>IFERROR(__xludf.DUMMYFUNCTION("if(regexmatch(B322,""e(.*)$""),regexextract(B322,""e(.*)$""),"""")"),"")</f>
        <v/>
      </c>
      <c r="M322" s="21"/>
      <c r="N322" s="45">
        <f>countif(Constants!F:F,F322)</f>
        <v>1</v>
      </c>
      <c r="O322" s="21" t="str">
        <f>VLOOKUP(A322,Constants!D:D,1,false)</f>
        <v>triton g factor</v>
      </c>
    </row>
    <row r="323">
      <c r="A323" s="6" t="s">
        <v>2117</v>
      </c>
      <c r="B323" s="6" t="s">
        <v>4139</v>
      </c>
      <c r="C323" s="6" t="s">
        <v>4140</v>
      </c>
      <c r="D323" s="6" t="s">
        <v>714</v>
      </c>
      <c r="E323" s="42">
        <f>countif(Constants!F:F,F323)</f>
        <v>1</v>
      </c>
      <c r="F323" s="21" t="str">
        <f>ifna(VLOOKUP($A323,Constants!$D:$F,3,false),"")</f>
        <v>TritonMagneticMoment</v>
      </c>
      <c r="G323" s="43" t="str">
        <f t="shared" si="1"/>
        <v>1.504609447e-26</v>
      </c>
      <c r="H323" s="43">
        <f t="shared" si="2"/>
        <v>0</v>
      </c>
      <c r="I323" s="43" t="str">
        <f t="shared" si="3"/>
        <v>0.000000038e-26</v>
      </c>
      <c r="J323" s="43">
        <f t="shared" si="4"/>
        <v>0</v>
      </c>
      <c r="K323" s="43" t="b">
        <f t="shared" si="5"/>
        <v>0</v>
      </c>
      <c r="L323" s="21" t="str">
        <f>IFERROR(__xludf.DUMMYFUNCTION("if(regexmatch(B323,""e(.*)$""),regexextract(B323,""e(.*)$""),"""")"),"-26")</f>
        <v>-26</v>
      </c>
      <c r="M323" s="21"/>
      <c r="N323" s="45">
        <f>countif(Constants!F:F,F323)</f>
        <v>1</v>
      </c>
      <c r="O323" s="21" t="str">
        <f>VLOOKUP(A323,Constants!D:D,1,false)</f>
        <v>triton mag. mom.</v>
      </c>
    </row>
    <row r="324">
      <c r="A324" s="6" t="s">
        <v>2122</v>
      </c>
      <c r="B324" s="6" t="s">
        <v>4141</v>
      </c>
      <c r="C324" s="6" t="s">
        <v>4142</v>
      </c>
      <c r="E324" s="42">
        <f>countif(Constants!F:F,F324)</f>
        <v>1</v>
      </c>
      <c r="F324" s="21" t="str">
        <f>ifna(VLOOKUP($A324,Constants!$D:$F,3,false),"")</f>
        <v>TritonMagneticMomentToBohrMagnetonRatio</v>
      </c>
      <c r="G324" s="43" t="str">
        <f t="shared" si="1"/>
        <v>1.622393657e-3</v>
      </c>
      <c r="H324" s="43">
        <f t="shared" si="2"/>
        <v>0.001622393657</v>
      </c>
      <c r="I324" s="43" t="str">
        <f t="shared" si="3"/>
        <v>0.000000021e-3</v>
      </c>
      <c r="J324" s="43">
        <f t="shared" si="4"/>
        <v>0</v>
      </c>
      <c r="K324" s="43" t="b">
        <f t="shared" si="5"/>
        <v>0</v>
      </c>
      <c r="L324" s="21" t="str">
        <f>IFERROR(__xludf.DUMMYFUNCTION("if(regexmatch(B324,""e(.*)$""),regexextract(B324,""e(.*)$""),"""")"),"-3")</f>
        <v>-3</v>
      </c>
      <c r="M324" s="21"/>
      <c r="N324" s="45">
        <f>countif(Constants!F:F,F324)</f>
        <v>1</v>
      </c>
      <c r="O324" s="21" t="str">
        <f>VLOOKUP(A324,Constants!D:D,1,false)</f>
        <v>triton mag. mom. to Bohr magneton ratio</v>
      </c>
    </row>
    <row r="325">
      <c r="A325" s="6" t="s">
        <v>2127</v>
      </c>
      <c r="B325" s="6" t="s">
        <v>4143</v>
      </c>
      <c r="C325" s="6" t="s">
        <v>4144</v>
      </c>
      <c r="E325" s="42">
        <f>countif(Constants!F:F,F325)</f>
        <v>1</v>
      </c>
      <c r="F325" s="21" t="str">
        <f>ifna(VLOOKUP($A325,Constants!$D:$F,3,false),"")</f>
        <v>TritonMagneticMomentToNuclearMagnetonRatio</v>
      </c>
      <c r="G325" s="43" t="str">
        <f t="shared" si="1"/>
        <v>2.978962448</v>
      </c>
      <c r="H325" s="43">
        <f t="shared" si="2"/>
        <v>2.978962448</v>
      </c>
      <c r="I325" s="43" t="str">
        <f t="shared" si="3"/>
        <v>0.000000038</v>
      </c>
      <c r="J325" s="43">
        <f t="shared" si="4"/>
        <v>0.000000038</v>
      </c>
      <c r="K325" s="43" t="b">
        <f t="shared" si="5"/>
        <v>0</v>
      </c>
      <c r="L325" s="21" t="str">
        <f>IFERROR(__xludf.DUMMYFUNCTION("if(regexmatch(B325,""e(.*)$""),regexextract(B325,""e(.*)$""),"""")"),"")</f>
        <v/>
      </c>
      <c r="M325" s="21"/>
      <c r="N325" s="45">
        <f>countif(Constants!F:F,F325)</f>
        <v>1</v>
      </c>
      <c r="O325" s="21" t="str">
        <f>VLOOKUP(A325,Constants!D:D,1,false)</f>
        <v>triton mag. mom. to nuclear magneton ratio</v>
      </c>
    </row>
    <row r="326">
      <c r="A326" s="6" t="s">
        <v>2132</v>
      </c>
      <c r="B326" s="6" t="s">
        <v>4145</v>
      </c>
      <c r="C326" s="6" t="s">
        <v>3907</v>
      </c>
      <c r="D326" s="6" t="s">
        <v>538</v>
      </c>
      <c r="E326" s="42">
        <f>countif(Constants!F:F,F326)</f>
        <v>1</v>
      </c>
      <c r="F326" s="21" t="str">
        <f>ifna(VLOOKUP($A326,Constants!$D:$F,3,false),"")</f>
        <v>TritonMass</v>
      </c>
      <c r="G326" s="43" t="str">
        <f t="shared" si="1"/>
        <v>5.00735630e-27</v>
      </c>
      <c r="H326" s="43">
        <f t="shared" si="2"/>
        <v>0</v>
      </c>
      <c r="I326" s="43" t="str">
        <f t="shared" si="3"/>
        <v>0.00000022e-27</v>
      </c>
      <c r="J326" s="43">
        <f t="shared" si="4"/>
        <v>0</v>
      </c>
      <c r="K326" s="43" t="b">
        <f t="shared" si="5"/>
        <v>0</v>
      </c>
      <c r="L326" s="21" t="str">
        <f>IFERROR(__xludf.DUMMYFUNCTION("if(regexmatch(B326,""e(.*)$""),regexextract(B326,""e(.*)$""),"""")"),"-27")</f>
        <v>-27</v>
      </c>
      <c r="M326" s="21"/>
      <c r="N326" s="45">
        <f>countif(Constants!F:F,F326)</f>
        <v>1</v>
      </c>
      <c r="O326" s="21" t="str">
        <f>VLOOKUP(A326,Constants!D:D,1,false)</f>
        <v>triton mass</v>
      </c>
    </row>
    <row r="327">
      <c r="A327" s="6" t="s">
        <v>2136</v>
      </c>
      <c r="B327" s="6" t="s">
        <v>4146</v>
      </c>
      <c r="C327" s="6" t="s">
        <v>3909</v>
      </c>
      <c r="D327" s="6" t="s">
        <v>543</v>
      </c>
      <c r="E327" s="42">
        <f>countif(Constants!F:F,F327)</f>
        <v>1</v>
      </c>
      <c r="F327" s="21" t="str">
        <f>ifna(VLOOKUP($A327,Constants!$D:$F,3,false),"")</f>
        <v>TritonMassEnergyEquivalent</v>
      </c>
      <c r="G327" s="43" t="str">
        <f t="shared" si="1"/>
        <v>4.50038741e-10</v>
      </c>
      <c r="H327" s="43">
        <f t="shared" si="2"/>
        <v>0.000000000450038741</v>
      </c>
      <c r="I327" s="43" t="str">
        <f t="shared" si="3"/>
        <v>0.00000020e-10</v>
      </c>
      <c r="J327" s="43">
        <f t="shared" si="4"/>
        <v>0</v>
      </c>
      <c r="K327" s="43" t="b">
        <f t="shared" si="5"/>
        <v>0</v>
      </c>
      <c r="L327" s="21" t="str">
        <f>IFERROR(__xludf.DUMMYFUNCTION("if(regexmatch(B327,""e(.*)$""),regexextract(B327,""e(.*)$""),"""")"),"-10")</f>
        <v>-10</v>
      </c>
      <c r="M327" s="21"/>
      <c r="N327" s="45">
        <f>countif(Constants!F:F,F327)</f>
        <v>1</v>
      </c>
      <c r="O327" s="21" t="str">
        <f>VLOOKUP(A327,Constants!D:D,1,false)</f>
        <v>triton mass energy equivalent</v>
      </c>
    </row>
    <row r="328">
      <c r="A328" s="6" t="s">
        <v>2140</v>
      </c>
      <c r="B328" s="6" t="s">
        <v>4147</v>
      </c>
      <c r="C328" s="6" t="s">
        <v>3911</v>
      </c>
      <c r="D328" s="6" t="s">
        <v>548</v>
      </c>
      <c r="E328" s="42">
        <f>countif(Constants!F:F,F328)</f>
        <v>1</v>
      </c>
      <c r="F328" s="21" t="str">
        <f>ifna(VLOOKUP($A328,Constants!$D:$F,3,false),"")</f>
        <v>TritonMassEnergyEquivalentInMeV</v>
      </c>
      <c r="G328" s="43" t="str">
        <f t="shared" si="1"/>
        <v>2808.921005</v>
      </c>
      <c r="H328" s="43">
        <f t="shared" si="2"/>
        <v>2808.921005</v>
      </c>
      <c r="I328" s="43" t="str">
        <f t="shared" si="3"/>
        <v>0.000062</v>
      </c>
      <c r="J328" s="43">
        <f t="shared" si="4"/>
        <v>0.000062</v>
      </c>
      <c r="K328" s="43" t="b">
        <f t="shared" si="5"/>
        <v>0</v>
      </c>
      <c r="L328" s="21" t="str">
        <f>IFERROR(__xludf.DUMMYFUNCTION("if(regexmatch(B328,""e(.*)$""),regexextract(B328,""e(.*)$""),"""")"),"")</f>
        <v/>
      </c>
      <c r="M328" s="21"/>
      <c r="N328" s="45">
        <f>countif(Constants!F:F,F328)</f>
        <v>1</v>
      </c>
      <c r="O328" s="21" t="str">
        <f>VLOOKUP(A328,Constants!D:D,1,false)</f>
        <v>triton mass energy equivalent in MeV</v>
      </c>
    </row>
    <row r="329">
      <c r="A329" s="6" t="s">
        <v>2143</v>
      </c>
      <c r="B329" s="6" t="s">
        <v>4148</v>
      </c>
      <c r="C329" s="6" t="s">
        <v>2542</v>
      </c>
      <c r="D329" s="6" t="s">
        <v>553</v>
      </c>
      <c r="E329" s="42">
        <f>countif(Constants!F:F,F329)</f>
        <v>1</v>
      </c>
      <c r="F329" s="21" t="str">
        <f>ifna(VLOOKUP($A329,Constants!$D:$F,3,false),"")</f>
        <v>TritonMassInAtomicMassUnit</v>
      </c>
      <c r="G329" s="43" t="str">
        <f t="shared" si="1"/>
        <v>3.0155007134</v>
      </c>
      <c r="H329" s="43">
        <f t="shared" si="2"/>
        <v>3.015500713</v>
      </c>
      <c r="I329" s="43" t="str">
        <f t="shared" si="3"/>
        <v>0.0000000025</v>
      </c>
      <c r="J329" s="43">
        <f t="shared" si="4"/>
        <v>0.0000000025</v>
      </c>
      <c r="K329" s="43" t="b">
        <f t="shared" si="5"/>
        <v>0</v>
      </c>
      <c r="L329" s="21" t="str">
        <f>IFERROR(__xludf.DUMMYFUNCTION("if(regexmatch(B329,""e(.*)$""),regexextract(B329,""e(.*)$""),"""")"),"")</f>
        <v/>
      </c>
      <c r="M329" s="21"/>
      <c r="N329" s="45">
        <f>countif(Constants!F:F,F329)</f>
        <v>1</v>
      </c>
      <c r="O329" s="21" t="str">
        <f>VLOOKUP(A329,Constants!D:D,1,false)</f>
        <v>triton mass in u</v>
      </c>
    </row>
    <row r="330">
      <c r="A330" s="6" t="s">
        <v>2146</v>
      </c>
      <c r="B330" s="6" t="s">
        <v>4149</v>
      </c>
      <c r="C330" s="6" t="s">
        <v>3519</v>
      </c>
      <c r="D330" s="6" t="s">
        <v>557</v>
      </c>
      <c r="E330" s="42">
        <f>countif(Constants!F:F,F330)</f>
        <v>1</v>
      </c>
      <c r="F330" s="21" t="str">
        <f>ifna(VLOOKUP($A330,Constants!$D:$F,3,false),"")</f>
        <v>TritonMolarMass</v>
      </c>
      <c r="G330" s="43" t="str">
        <f t="shared" si="1"/>
        <v>3.0155007134e-3</v>
      </c>
      <c r="H330" s="43">
        <f t="shared" si="2"/>
        <v>0.003015500713</v>
      </c>
      <c r="I330" s="43" t="str">
        <f t="shared" si="3"/>
        <v>0.0000000025e-3</v>
      </c>
      <c r="J330" s="43">
        <f t="shared" si="4"/>
        <v>0</v>
      </c>
      <c r="K330" s="43" t="b">
        <f t="shared" si="5"/>
        <v>0</v>
      </c>
      <c r="L330" s="21" t="str">
        <f>IFERROR(__xludf.DUMMYFUNCTION("if(regexmatch(B330,""e(.*)$""),regexextract(B330,""e(.*)$""),"""")"),"-3")</f>
        <v>-3</v>
      </c>
      <c r="M330" s="21"/>
      <c r="N330" s="45">
        <f>countif(Constants!F:F,F330)</f>
        <v>1</v>
      </c>
      <c r="O330" s="21" t="str">
        <f>VLOOKUP(A330,Constants!D:D,1,false)</f>
        <v>triton molar mass</v>
      </c>
    </row>
    <row r="331">
      <c r="A331" s="6" t="s">
        <v>2155</v>
      </c>
      <c r="B331" s="6" t="s">
        <v>4150</v>
      </c>
      <c r="C331" s="6" t="s">
        <v>2542</v>
      </c>
      <c r="E331" s="42">
        <f>countif(Constants!F:F,F331)</f>
        <v>1</v>
      </c>
      <c r="F331" s="21" t="str">
        <f>ifna(VLOOKUP($A331,Constants!$D:$F,3,false),"")</f>
        <v>TritonProtonMassRatio</v>
      </c>
      <c r="G331" s="43" t="str">
        <f t="shared" si="1"/>
        <v>2.9937170308</v>
      </c>
      <c r="H331" s="43">
        <f t="shared" si="2"/>
        <v>2.993717031</v>
      </c>
      <c r="I331" s="43" t="str">
        <f t="shared" si="3"/>
        <v>0.0000000025</v>
      </c>
      <c r="J331" s="43">
        <f t="shared" si="4"/>
        <v>0.0000000025</v>
      </c>
      <c r="K331" s="43" t="b">
        <f t="shared" si="5"/>
        <v>0</v>
      </c>
      <c r="L331" s="21" t="str">
        <f>IFERROR(__xludf.DUMMYFUNCTION("if(regexmatch(B331,""e(.*)$""),regexextract(B331,""e(.*)$""),"""")"),"")</f>
        <v/>
      </c>
      <c r="M331" s="21"/>
      <c r="N331" s="45">
        <f>countif(Constants!F:F,F331)</f>
        <v>1</v>
      </c>
      <c r="O331" s="21" t="str">
        <f>VLOOKUP(A331,Constants!D:D,1,false)</f>
        <v>triton-proton mass ratio</v>
      </c>
    </row>
    <row r="332">
      <c r="A332" s="6" t="s">
        <v>2168</v>
      </c>
      <c r="B332" s="6" t="s">
        <v>3720</v>
      </c>
      <c r="C332" s="6" t="s">
        <v>3721</v>
      </c>
      <c r="D332" s="6" t="s">
        <v>538</v>
      </c>
      <c r="E332" s="42">
        <f>countif(Constants!F:F,F332)</f>
        <v>1</v>
      </c>
      <c r="F332" s="21" t="str">
        <f>ifna(VLOOKUP($A332,Constants!$D:$F,3,false),"")</f>
        <v>UnifiedAtomicMassUnit</v>
      </c>
      <c r="G332" s="43" t="str">
        <f t="shared" si="1"/>
        <v>1.660538921e-27</v>
      </c>
      <c r="H332" s="43">
        <f t="shared" si="2"/>
        <v>0</v>
      </c>
      <c r="I332" s="43" t="str">
        <f t="shared" si="3"/>
        <v>0.000000073e-27</v>
      </c>
      <c r="J332" s="43">
        <f t="shared" si="4"/>
        <v>0</v>
      </c>
      <c r="K332" s="43" t="b">
        <f t="shared" si="5"/>
        <v>0</v>
      </c>
      <c r="L332" s="21" t="str">
        <f>IFERROR(__xludf.DUMMYFUNCTION("if(regexmatch(B332,""e(.*)$""),regexextract(B332,""e(.*)$""),"""")"),"-27")</f>
        <v>-27</v>
      </c>
      <c r="M332" s="21"/>
      <c r="N332" s="45">
        <f>countif(Constants!F:F,F332)</f>
        <v>1</v>
      </c>
      <c r="O332" s="21" t="str">
        <f>VLOOKUP(A332,Constants!D:D,1,false)</f>
        <v>unified atomic mass unit</v>
      </c>
    </row>
    <row r="333">
      <c r="A333" s="6" t="s">
        <v>2192</v>
      </c>
      <c r="B333" s="6" t="s">
        <v>4151</v>
      </c>
      <c r="C333" s="6" t="s">
        <v>4152</v>
      </c>
      <c r="D333" s="6" t="s">
        <v>814</v>
      </c>
      <c r="E333" s="42">
        <f>countif(Constants!F:F,F333)</f>
        <v>1</v>
      </c>
      <c r="F333" s="21" t="str">
        <f>ifna(VLOOKUP($A333,Constants!$D:$F,3,false),"")</f>
        <v>VonKlitzingConstant</v>
      </c>
      <c r="G333" s="43" t="str">
        <f t="shared" si="1"/>
        <v>25812.8074434</v>
      </c>
      <c r="H333" s="43">
        <f t="shared" si="2"/>
        <v>25812.80744</v>
      </c>
      <c r="I333" s="43" t="str">
        <f t="shared" si="3"/>
        <v>0.0000084</v>
      </c>
      <c r="J333" s="43">
        <f t="shared" si="4"/>
        <v>0.0000084</v>
      </c>
      <c r="K333" s="43" t="b">
        <f t="shared" si="5"/>
        <v>0</v>
      </c>
      <c r="L333" s="21" t="str">
        <f>IFERROR(__xludf.DUMMYFUNCTION("if(regexmatch(B333,""e(.*)$""),regexextract(B333,""e(.*)$""),"""")"),"")</f>
        <v/>
      </c>
      <c r="M333" s="21"/>
      <c r="N333" s="45">
        <f>countif(Constants!F:F,F333)</f>
        <v>1</v>
      </c>
      <c r="O333" s="21" t="str">
        <f>VLOOKUP(A333,Constants!D:D,1,false)</f>
        <v>von Klitzing constant</v>
      </c>
    </row>
    <row r="334">
      <c r="A334" s="6" t="s">
        <v>2197</v>
      </c>
      <c r="B334" s="46" t="s">
        <v>3703</v>
      </c>
      <c r="C334" s="46" t="s">
        <v>3704</v>
      </c>
      <c r="E334" s="42">
        <f>countif(Constants!F:F,F334)</f>
        <v>1</v>
      </c>
      <c r="F334" s="21" t="str">
        <f>ifna(VLOOKUP($A334,Constants!$D:$F,3,false),"")</f>
        <v>WeakMixingAngle</v>
      </c>
      <c r="G334" s="43" t="str">
        <f t="shared" si="1"/>
        <v>0.2223</v>
      </c>
      <c r="H334" s="43">
        <f t="shared" si="2"/>
        <v>0.2223</v>
      </c>
      <c r="I334" s="43" t="str">
        <f t="shared" si="3"/>
        <v>0.0021</v>
      </c>
      <c r="J334" s="43">
        <f t="shared" si="4"/>
        <v>0.0021</v>
      </c>
      <c r="K334" s="43" t="b">
        <f t="shared" si="5"/>
        <v>0</v>
      </c>
      <c r="L334" s="21" t="str">
        <f>IFERROR(__xludf.DUMMYFUNCTION("if(regexmatch(B334,""e(.*)$""),regexextract(B334,""e(.*)$""),"""")"),"")</f>
        <v/>
      </c>
      <c r="M334" s="21"/>
      <c r="N334" s="45">
        <f>countif(Constants!F:F,F334)</f>
        <v>1</v>
      </c>
      <c r="O334" s="21" t="str">
        <f>VLOOKUP(A334,Constants!D:D,1,false)</f>
        <v>weak mixing angle</v>
      </c>
    </row>
    <row r="335">
      <c r="A335" s="6" t="s">
        <v>2200</v>
      </c>
      <c r="B335" s="6" t="s">
        <v>4153</v>
      </c>
      <c r="C335" s="6" t="s">
        <v>4154</v>
      </c>
      <c r="D335" s="6" t="s">
        <v>804</v>
      </c>
      <c r="E335" s="42">
        <f>countif(Constants!F:F,F335)</f>
        <v>1</v>
      </c>
      <c r="F335" s="21" t="str">
        <f>ifna(VLOOKUP($A335,Constants!$D:$F,3,false),"")</f>
        <v>WienFrequencyDisplacementLawConstant</v>
      </c>
      <c r="G335" s="43" t="str">
        <f t="shared" si="1"/>
        <v>5.8789254e10</v>
      </c>
      <c r="H335" s="43">
        <f t="shared" si="2"/>
        <v>58789254000</v>
      </c>
      <c r="I335" s="43" t="str">
        <f t="shared" si="3"/>
        <v>0.0000053e10</v>
      </c>
      <c r="J335" s="43">
        <f t="shared" si="4"/>
        <v>53000</v>
      </c>
      <c r="K335" s="43" t="b">
        <f t="shared" si="5"/>
        <v>0</v>
      </c>
      <c r="L335" s="21" t="str">
        <f>IFERROR(__xludf.DUMMYFUNCTION("if(regexmatch(B335,""e(.*)$""),regexextract(B335,""e(.*)$""),"""")"),"10")</f>
        <v>10</v>
      </c>
      <c r="M335" s="21"/>
      <c r="N335" s="45">
        <f>countif(Constants!F:F,F335)</f>
        <v>1</v>
      </c>
      <c r="O335" s="21" t="str">
        <f>VLOOKUP(A335,Constants!D:D,1,false)</f>
        <v>Wien frequency displacement law constant</v>
      </c>
    </row>
    <row r="336">
      <c r="A336" s="6" t="s">
        <v>2204</v>
      </c>
      <c r="B336" s="6" t="s">
        <v>4155</v>
      </c>
      <c r="C336" s="6" t="s">
        <v>4156</v>
      </c>
      <c r="D336" s="6" t="s">
        <v>1955</v>
      </c>
      <c r="E336" s="42">
        <f>countif(Constants!F:F,F336)</f>
        <v>1</v>
      </c>
      <c r="F336" s="21" t="str">
        <f>ifna(VLOOKUP($A336,Constants!$D:$F,3,false),"")</f>
        <v>WienWavelengthDisplacementLawConstant</v>
      </c>
      <c r="G336" s="43" t="str">
        <f t="shared" si="1"/>
        <v>2.8977721e-3</v>
      </c>
      <c r="H336" s="43">
        <f t="shared" si="2"/>
        <v>0.0028977721</v>
      </c>
      <c r="I336" s="43" t="str">
        <f t="shared" si="3"/>
        <v>0.0000026e-3</v>
      </c>
      <c r="J336" s="43">
        <f t="shared" si="4"/>
        <v>0.0000000026</v>
      </c>
      <c r="K336" s="43" t="b">
        <f t="shared" si="5"/>
        <v>0</v>
      </c>
      <c r="L336" s="21" t="str">
        <f>IFERROR(__xludf.DUMMYFUNCTION("if(regexmatch(B336,""e(.*)$""),regexextract(B336,""e(.*)$""),"""")"),"-3")</f>
        <v>-3</v>
      </c>
      <c r="M336" s="21"/>
      <c r="N336" s="45">
        <f>countif(Constants!F:F,F336)</f>
        <v>1</v>
      </c>
      <c r="O336" s="21" t="str">
        <f>VLOOKUP(A336,Constants!D:D,1,false)</f>
        <v>Wien wavelength displacement law constant</v>
      </c>
    </row>
  </sheetData>
  <conditionalFormatting sqref="E2:E336">
    <cfRule type="cellIs" dxfId="0" priority="1" operator="notEqual">
      <formula>1</formula>
    </cfRule>
  </conditionalFormatting>
  <conditionalFormatting sqref="N1:N336">
    <cfRule type="cellIs" dxfId="3" priority="2" operator="equal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7.25"/>
    <col customWidth="1" min="6" max="6" width="39.38"/>
    <col customWidth="1" min="7" max="7" width="16.88"/>
    <col customWidth="1" min="8" max="8" width="18.0"/>
    <col customWidth="1" min="9" max="9" width="19.13"/>
    <col customWidth="1" min="10" max="10" width="18.0"/>
  </cols>
  <sheetData>
    <row r="1">
      <c r="A1" s="48" t="s">
        <v>249</v>
      </c>
      <c r="B1" s="48" t="s">
        <v>2210</v>
      </c>
      <c r="C1" s="48" t="s">
        <v>4157</v>
      </c>
      <c r="D1" s="10" t="s">
        <v>2212</v>
      </c>
      <c r="E1" s="38" t="s">
        <v>2213</v>
      </c>
      <c r="F1" s="39" t="s">
        <v>0</v>
      </c>
      <c r="G1" s="39" t="s">
        <v>2214</v>
      </c>
      <c r="H1" s="39" t="s">
        <v>2215</v>
      </c>
      <c r="I1" s="39" t="s">
        <v>2216</v>
      </c>
      <c r="J1" s="39" t="s">
        <v>2217</v>
      </c>
      <c r="K1" s="39" t="s">
        <v>2218</v>
      </c>
      <c r="L1" s="39" t="s">
        <v>2219</v>
      </c>
    </row>
    <row r="2">
      <c r="A2" s="34" t="s">
        <v>537</v>
      </c>
      <c r="B2" s="34" t="s">
        <v>4158</v>
      </c>
      <c r="C2" s="34" t="s">
        <v>538</v>
      </c>
      <c r="D2" s="13" t="str">
        <f t="shared" ref="D2:D325" si="1">SUBSTITUTE(SUBSTITUTE(C2,"{",""),"}","")</f>
        <v>kg</v>
      </c>
      <c r="E2" s="42">
        <f>countif(Constants!F:F,F2)</f>
        <v>1</v>
      </c>
      <c r="F2" s="21" t="str">
        <f>ifna(VLOOKUP($A2,Constants!$D:$F,3,false),"")</f>
        <v>AlphaParticleMass</v>
      </c>
      <c r="G2" s="21" t="str">
        <f>IFERROR(__xludf.DUMMYFUNCTION("REGEXREPLACE(substitute(substitute(B2,"" "",""""),""..."",""""),""\(.*\)"","""")"),"6.64465620e-27")</f>
        <v>6.64465620e-27</v>
      </c>
      <c r="H2" s="43">
        <f t="shared" ref="H2:H325" si="2">value(G2)</f>
        <v>0</v>
      </c>
      <c r="I2" s="21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43">
        <f t="shared" ref="J2:J325" si="3">if(LEN(I2),value(I2),"")</f>
        <v>0</v>
      </c>
      <c r="K2" s="43" t="b">
        <f t="shared" ref="K2:K325" si="4">ISNUMBER(search("...",B2))</f>
        <v>0</v>
      </c>
      <c r="L2" s="21" t="str">
        <f>IFERROR(__xludf.DUMMYFUNCTION("if(regexmatch(B2,""e(.*)$""),regexextract(B2,""e(.*)$""),"""")"),"-27")</f>
        <v>-27</v>
      </c>
    </row>
    <row r="3">
      <c r="A3" s="34" t="s">
        <v>542</v>
      </c>
      <c r="B3" s="34" t="s">
        <v>4159</v>
      </c>
      <c r="C3" s="34" t="s">
        <v>543</v>
      </c>
      <c r="D3" s="13" t="str">
        <f t="shared" si="1"/>
        <v>J</v>
      </c>
      <c r="E3" s="42">
        <f>countif(Constants!F:F,F3)</f>
        <v>1</v>
      </c>
      <c r="F3" s="21" t="str">
        <f>ifna(VLOOKUP($A3,Constants!$D:$F,3,false),"")</f>
        <v>AlphaParticleMassEnergyEquivalent</v>
      </c>
      <c r="G3" s="21" t="str">
        <f>IFERROR(__xludf.DUMMYFUNCTION("REGEXREPLACE(substitute(substitute(B3,"" "",""""),""..."",""""),""\(.*\)"","""")"),"5.97191917e-10")</f>
        <v>5.97191917e-10</v>
      </c>
      <c r="H3" s="43">
        <f t="shared" si="2"/>
        <v>0.000000000597191917</v>
      </c>
      <c r="I3" s="21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43">
        <f t="shared" si="3"/>
        <v>0</v>
      </c>
      <c r="K3" s="43" t="b">
        <f t="shared" si="4"/>
        <v>0</v>
      </c>
      <c r="L3" s="21" t="str">
        <f>IFERROR(__xludf.DUMMYFUNCTION("if(regexmatch(B3,""e(.*)$""),regexextract(B3,""e(.*)$""),"""")"),"-10")</f>
        <v>-10</v>
      </c>
    </row>
    <row r="4">
      <c r="A4" s="34" t="s">
        <v>547</v>
      </c>
      <c r="B4" s="34" t="s">
        <v>4160</v>
      </c>
      <c r="C4" s="34" t="s">
        <v>548</v>
      </c>
      <c r="D4" s="13" t="str">
        <f t="shared" si="1"/>
        <v>MeV</v>
      </c>
      <c r="E4" s="42">
        <f>countif(Constants!F:F,F4)</f>
        <v>1</v>
      </c>
      <c r="F4" s="21" t="str">
        <f>ifna(VLOOKUP($A4,Constants!$D:$F,3,false),"")</f>
        <v>AlphaParticleMassEnergyEquivalentInMeV</v>
      </c>
      <c r="G4" s="21" t="str">
        <f>IFERROR(__xludf.DUMMYFUNCTION("REGEXREPLACE(substitute(substitute(B4,"" "",""""),""..."",""""),""\(.*\)"","""")"),"3727.379109")</f>
        <v>3727.379109</v>
      </c>
      <c r="H4" s="43">
        <f t="shared" si="2"/>
        <v>3727.379109</v>
      </c>
      <c r="I4" s="21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43">
        <f t="shared" si="3"/>
        <v>0.00000093</v>
      </c>
      <c r="K4" s="43" t="b">
        <f t="shared" si="4"/>
        <v>0</v>
      </c>
      <c r="L4" s="21" t="str">
        <f>IFERROR(__xludf.DUMMYFUNCTION("if(regexmatch(B4,""e(.*)$""),regexextract(B4,""e(.*)$""),"""")"),"")</f>
        <v/>
      </c>
    </row>
    <row r="5">
      <c r="A5" s="34" t="s">
        <v>552</v>
      </c>
      <c r="B5" s="34" t="s">
        <v>4161</v>
      </c>
      <c r="C5" s="34" t="s">
        <v>553</v>
      </c>
      <c r="D5" s="13" t="str">
        <f t="shared" si="1"/>
        <v>u</v>
      </c>
      <c r="E5" s="42">
        <f>countif(Constants!F:F,F5)</f>
        <v>1</v>
      </c>
      <c r="F5" s="21" t="str">
        <f>ifna(VLOOKUP($A5,Constants!$D:$F,3,false),"")</f>
        <v>AlphaParticleMassInAtomicMassUnit</v>
      </c>
      <c r="G5" s="21" t="str">
        <f>IFERROR(__xludf.DUMMYFUNCTION("REGEXREPLACE(substitute(substitute(B5,"" "",""""),""..."",""""),""\(.*\)"","""")"),"4.001506179127")</f>
        <v>4.001506179127</v>
      </c>
      <c r="H5" s="43">
        <f t="shared" si="2"/>
        <v>4.001506179</v>
      </c>
      <c r="I5" s="21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43">
        <f t="shared" si="3"/>
        <v>0</v>
      </c>
      <c r="K5" s="43" t="b">
        <f t="shared" si="4"/>
        <v>0</v>
      </c>
      <c r="L5" s="21" t="str">
        <f>IFERROR(__xludf.DUMMYFUNCTION("if(regexmatch(B5,""e(.*)$""),regexextract(B5,""e(.*)$""),"""")"),"")</f>
        <v/>
      </c>
    </row>
    <row r="6">
      <c r="A6" s="34" t="s">
        <v>556</v>
      </c>
      <c r="B6" s="34" t="s">
        <v>4162</v>
      </c>
      <c r="C6" s="34" t="s">
        <v>4163</v>
      </c>
      <c r="D6" s="13" t="str">
        <f t="shared" si="1"/>
        <v>kg mol^-1</v>
      </c>
      <c r="E6" s="42">
        <f>countif(Constants!F:F,F6)</f>
        <v>1</v>
      </c>
      <c r="F6" s="21" t="str">
        <f>ifna(VLOOKUP($A6,Constants!$D:$F,3,false),"")</f>
        <v>AlphaParticleMolarMass</v>
      </c>
      <c r="G6" s="21" t="str">
        <f>IFERROR(__xludf.DUMMYFUNCTION("REGEXREPLACE(substitute(substitute(B6,"" "",""""),""..."",""""),""\(.*\)"","""")"),"4.001506179127e-3")</f>
        <v>4.001506179127e-3</v>
      </c>
      <c r="H6" s="43">
        <f t="shared" si="2"/>
        <v>0.004001506179</v>
      </c>
      <c r="I6" s="21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43">
        <f t="shared" si="3"/>
        <v>0</v>
      </c>
      <c r="K6" s="43" t="b">
        <f t="shared" si="4"/>
        <v>0</v>
      </c>
      <c r="L6" s="21" t="str">
        <f>IFERROR(__xludf.DUMMYFUNCTION("if(regexmatch(B6,""e(.*)$""),regexextract(B6,""e(.*)$""),"""")"),"-3")</f>
        <v>-3</v>
      </c>
    </row>
    <row r="7">
      <c r="A7" s="34" t="s">
        <v>531</v>
      </c>
      <c r="B7" s="34" t="s">
        <v>4164</v>
      </c>
      <c r="C7" s="34"/>
      <c r="D7" s="13" t="str">
        <f t="shared" si="1"/>
        <v/>
      </c>
      <c r="E7" s="42">
        <f>countif(Constants!F:F,F7)</f>
        <v>1</v>
      </c>
      <c r="F7" s="21" t="str">
        <f>ifna(VLOOKUP($A7,Constants!$D:$F,3,false),"")</f>
        <v>AlphaParticleElectronMassRatio</v>
      </c>
      <c r="G7" s="21" t="str">
        <f>IFERROR(__xludf.DUMMYFUNCTION("REGEXREPLACE(substitute(substitute(B7,"" "",""""),""..."",""""),""\(.*\)"","""")"),"7294.2995365")</f>
        <v>7294.2995365</v>
      </c>
      <c r="H7" s="43">
        <f t="shared" si="2"/>
        <v>7294.299537</v>
      </c>
      <c r="I7" s="21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43">
        <f t="shared" si="3"/>
        <v>0.000000031</v>
      </c>
      <c r="K7" s="43" t="b">
        <f t="shared" si="4"/>
        <v>0</v>
      </c>
      <c r="L7" s="21" t="str">
        <f>IFERROR(__xludf.DUMMYFUNCTION("if(regexmatch(B7,""e(.*)$""),regexextract(B7,""e(.*)$""),"""")"),"")</f>
        <v/>
      </c>
    </row>
    <row r="8">
      <c r="A8" s="34" t="s">
        <v>562</v>
      </c>
      <c r="B8" s="34" t="s">
        <v>4165</v>
      </c>
      <c r="C8" s="34"/>
      <c r="D8" s="13" t="str">
        <f t="shared" si="1"/>
        <v/>
      </c>
      <c r="E8" s="42">
        <f>countif(Constants!F:F,F8)</f>
        <v>1</v>
      </c>
      <c r="F8" s="21" t="str">
        <f>ifna(VLOOKUP($A8,Constants!$D:$F,3,false),"")</f>
        <v>AlphaParticleProtonMassRatio</v>
      </c>
      <c r="G8" s="21" t="str">
        <f>IFERROR(__xludf.DUMMYFUNCTION("REGEXREPLACE(substitute(substitute(B8,"" "",""""),""..."",""""),""\(.*\)"","""")"),"3.97259968951")</f>
        <v>3.97259968951</v>
      </c>
      <c r="H8" s="43">
        <f t="shared" si="2"/>
        <v>3.97259969</v>
      </c>
      <c r="I8" s="21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43">
        <f t="shared" si="3"/>
        <v>0</v>
      </c>
      <c r="K8" s="43" t="b">
        <f t="shared" si="4"/>
        <v>0</v>
      </c>
      <c r="L8" s="21" t="str">
        <f>IFERROR(__xludf.DUMMYFUNCTION("if(regexmatch(B8,""e(.*)$""),regexextract(B8,""e(.*)$""),"""")"),"")</f>
        <v/>
      </c>
    </row>
    <row r="9">
      <c r="A9" s="34" t="s">
        <v>573</v>
      </c>
      <c r="B9" s="34" t="s">
        <v>4166</v>
      </c>
      <c r="C9" s="34" t="s">
        <v>571</v>
      </c>
      <c r="D9" s="13" t="str">
        <f t="shared" si="1"/>
        <v>m</v>
      </c>
      <c r="E9" s="42">
        <f>countif(Constants!F:F,F9)</f>
        <v>1</v>
      </c>
      <c r="F9" s="21" t="str">
        <f>ifna(VLOOKUP($A9,Constants!$D:$F,3,false),"")</f>
        <v>AngstromStar</v>
      </c>
      <c r="G9" s="21" t="str">
        <f>IFERROR(__xludf.DUMMYFUNCTION("REGEXREPLACE(substitute(substitute(B9,"" "",""""),""..."",""""),""\(.*\)"","""")"),"1.00001498e-10")</f>
        <v>1.00001498e-10</v>
      </c>
      <c r="H9" s="43">
        <f t="shared" si="2"/>
        <v>0.000000000100001498</v>
      </c>
      <c r="I9" s="21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43">
        <f t="shared" si="3"/>
        <v>0</v>
      </c>
      <c r="K9" s="43" t="b">
        <f t="shared" si="4"/>
        <v>0</v>
      </c>
      <c r="L9" s="21" t="str">
        <f>IFERROR(__xludf.DUMMYFUNCTION("if(regexmatch(B9,""e(.*)$""),regexextract(B9,""e(.*)$""),"""")"),"-10")</f>
        <v>-10</v>
      </c>
    </row>
    <row r="10">
      <c r="A10" s="34" t="s">
        <v>575</v>
      </c>
      <c r="B10" s="34" t="s">
        <v>4167</v>
      </c>
      <c r="C10" s="34" t="s">
        <v>538</v>
      </c>
      <c r="D10" s="13" t="str">
        <f t="shared" si="1"/>
        <v>kg</v>
      </c>
      <c r="E10" s="42">
        <f>countif(Constants!F:F,F10)</f>
        <v>1</v>
      </c>
      <c r="F10" s="21" t="str">
        <f>ifna(VLOOKUP($A10,Constants!$D:$F,3,false),"")</f>
        <v>AtomicMassConstant</v>
      </c>
      <c r="G10" s="21" t="str">
        <f>IFERROR(__xludf.DUMMYFUNCTION("REGEXREPLACE(substitute(substitute(B10,"" "",""""),""..."",""""),""\(.*\)"","""")"),"1.660538782e-27")</f>
        <v>1.660538782e-27</v>
      </c>
      <c r="H10" s="43">
        <f t="shared" si="2"/>
        <v>0</v>
      </c>
      <c r="I10" s="21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43">
        <f t="shared" si="3"/>
        <v>0</v>
      </c>
      <c r="K10" s="43" t="b">
        <f t="shared" si="4"/>
        <v>0</v>
      </c>
      <c r="L10" s="21" t="str">
        <f>IFERROR(__xludf.DUMMYFUNCTION("if(regexmatch(B10,""e(.*)$""),regexextract(B10,""e(.*)$""),"""")"),"-27")</f>
        <v>-27</v>
      </c>
    </row>
    <row r="11">
      <c r="A11" s="34" t="s">
        <v>579</v>
      </c>
      <c r="B11" s="34" t="s">
        <v>4168</v>
      </c>
      <c r="C11" s="34" t="s">
        <v>543</v>
      </c>
      <c r="D11" s="13" t="str">
        <f t="shared" si="1"/>
        <v>J</v>
      </c>
      <c r="E11" s="42">
        <f>countif(Constants!F:F,F11)</f>
        <v>1</v>
      </c>
      <c r="F11" s="21" t="str">
        <f>ifna(VLOOKUP($A11,Constants!$D:$F,3,false),"")</f>
        <v>AtomicMassConstantEnergyEquivalent</v>
      </c>
      <c r="G11" s="21" t="str">
        <f>IFERROR(__xludf.DUMMYFUNCTION("REGEXREPLACE(substitute(substitute(B11,"" "",""""),""..."",""""),""\(.*\)"","""")"),"1.492417830e-10")</f>
        <v>1.492417830e-10</v>
      </c>
      <c r="H11" s="43">
        <f t="shared" si="2"/>
        <v>0.000000000149241783</v>
      </c>
      <c r="I11" s="21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43">
        <f t="shared" si="3"/>
        <v>0</v>
      </c>
      <c r="K11" s="43" t="b">
        <f t="shared" si="4"/>
        <v>0</v>
      </c>
      <c r="L11" s="21" t="str">
        <f>IFERROR(__xludf.DUMMYFUNCTION("if(regexmatch(B11,""e(.*)$""),regexextract(B11,""e(.*)$""),"""")"),"-10")</f>
        <v>-10</v>
      </c>
    </row>
    <row r="12">
      <c r="A12" s="34" t="s">
        <v>583</v>
      </c>
      <c r="B12" s="34" t="s">
        <v>4169</v>
      </c>
      <c r="C12" s="34" t="s">
        <v>548</v>
      </c>
      <c r="D12" s="13" t="str">
        <f t="shared" si="1"/>
        <v>MeV</v>
      </c>
      <c r="E12" s="42">
        <f>countif(Constants!F:F,F12)</f>
        <v>1</v>
      </c>
      <c r="F12" s="21" t="str">
        <f>ifna(VLOOKUP($A12,Constants!$D:$F,3,false),"")</f>
        <v>AtomicMassConstantEnergyEquivalentInMeV</v>
      </c>
      <c r="G12" s="21" t="str">
        <f>IFERROR(__xludf.DUMMYFUNCTION("REGEXREPLACE(substitute(substitute(B12,"" "",""""),""..."",""""),""\(.*\)"","""")"),"931.494028")</f>
        <v>931.494028</v>
      </c>
      <c r="H12" s="43">
        <f t="shared" si="2"/>
        <v>931.494028</v>
      </c>
      <c r="I12" s="21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43">
        <f t="shared" si="3"/>
        <v>0.00000023</v>
      </c>
      <c r="K12" s="43" t="b">
        <f t="shared" si="4"/>
        <v>0</v>
      </c>
      <c r="L12" s="21" t="str">
        <f>IFERROR(__xludf.DUMMYFUNCTION("if(regexmatch(B12,""e(.*)$""),regexextract(B12,""e(.*)$""),"""")"),"")</f>
        <v/>
      </c>
    </row>
    <row r="13">
      <c r="A13" s="34" t="s">
        <v>587</v>
      </c>
      <c r="B13" s="34" t="s">
        <v>4170</v>
      </c>
      <c r="C13" s="34" t="s">
        <v>175</v>
      </c>
      <c r="D13" s="13" t="str">
        <f t="shared" si="1"/>
        <v>eV</v>
      </c>
      <c r="E13" s="42">
        <f>countif(Constants!F:F,F13)</f>
        <v>1</v>
      </c>
      <c r="F13" s="21" t="str">
        <f>ifna(VLOOKUP($A13,Constants!$D:$F,3,false),"")</f>
        <v>AtomicMassUnitElectronVoltRelationship</v>
      </c>
      <c r="G13" s="21" t="str">
        <f>IFERROR(__xludf.DUMMYFUNCTION("REGEXREPLACE(substitute(substitute(B13,"" "",""""),""..."",""""),""\(.*\)"","""")"),"931.494028e6")</f>
        <v>931.494028e6</v>
      </c>
      <c r="H13" s="43">
        <f t="shared" si="2"/>
        <v>931494028</v>
      </c>
      <c r="I13" s="21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43">
        <f t="shared" si="3"/>
        <v>0.23</v>
      </c>
      <c r="K13" s="43" t="b">
        <f t="shared" si="4"/>
        <v>0</v>
      </c>
      <c r="L13" s="21" t="str">
        <f>IFERROR(__xludf.DUMMYFUNCTION("if(regexmatch(B13,""e(.*)$""),regexextract(B13,""e(.*)$""),"""")"),"6")</f>
        <v>6</v>
      </c>
    </row>
    <row r="14">
      <c r="A14" s="34" t="s">
        <v>592</v>
      </c>
      <c r="B14" s="34" t="s">
        <v>4171</v>
      </c>
      <c r="C14" s="34" t="s">
        <v>593</v>
      </c>
      <c r="D14" s="13" t="str">
        <f t="shared" si="1"/>
        <v>E_h</v>
      </c>
      <c r="E14" s="42">
        <f>countif(Constants!F:F,F14)</f>
        <v>1</v>
      </c>
      <c r="F14" s="21" t="str">
        <f>ifna(VLOOKUP($A14,Constants!$D:$F,3,false),"")</f>
        <v>AtomicMassUnitHartreeRelationship</v>
      </c>
      <c r="G14" s="21" t="str">
        <f>IFERROR(__xludf.DUMMYFUNCTION("REGEXREPLACE(substitute(substitute(B14,"" "",""""),""..."",""""),""\(.*\)"","""")"),"3.4231777149e7")</f>
        <v>3.4231777149e7</v>
      </c>
      <c r="H14" s="43">
        <f t="shared" si="2"/>
        <v>34231777.15</v>
      </c>
      <c r="I14" s="21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43">
        <f t="shared" si="3"/>
        <v>0.00049</v>
      </c>
      <c r="K14" s="43" t="b">
        <f t="shared" si="4"/>
        <v>0</v>
      </c>
      <c r="L14" s="21" t="str">
        <f>IFERROR(__xludf.DUMMYFUNCTION("if(regexmatch(B14,""e(.*)$""),regexextract(B14,""e(.*)$""),"""")"),"7")</f>
        <v>7</v>
      </c>
    </row>
    <row r="15">
      <c r="A15" s="34" t="s">
        <v>599</v>
      </c>
      <c r="B15" s="34" t="s">
        <v>4172</v>
      </c>
      <c r="C15" s="34" t="s">
        <v>600</v>
      </c>
      <c r="D15" s="13" t="str">
        <f t="shared" si="1"/>
        <v>Hz</v>
      </c>
      <c r="E15" s="42">
        <f>countif(Constants!F:F,F15)</f>
        <v>1</v>
      </c>
      <c r="F15" s="21" t="str">
        <f>ifna(VLOOKUP($A15,Constants!$D:$F,3,false),"")</f>
        <v>AtomicMassUnitHertzRelationship</v>
      </c>
      <c r="G15" s="21" t="str">
        <f>IFERROR(__xludf.DUMMYFUNCTION("REGEXREPLACE(substitute(substitute(B15,"" "",""""),""..."",""""),""\(.*\)"","""")"),"2.2523427369e23")</f>
        <v>2.2523427369e23</v>
      </c>
      <c r="H15" s="43">
        <f t="shared" si="2"/>
        <v>2.25234E+23</v>
      </c>
      <c r="I15" s="21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43">
        <f t="shared" si="3"/>
        <v>3200000000000</v>
      </c>
      <c r="K15" s="43" t="b">
        <f t="shared" si="4"/>
        <v>0</v>
      </c>
      <c r="L15" s="21" t="str">
        <f>IFERROR(__xludf.DUMMYFUNCTION("if(regexmatch(B15,""e(.*)$""),regexextract(B15,""e(.*)$""),"""")"),"23")</f>
        <v>23</v>
      </c>
    </row>
    <row r="16">
      <c r="A16" s="34" t="s">
        <v>605</v>
      </c>
      <c r="B16" s="34" t="s">
        <v>4173</v>
      </c>
      <c r="C16" s="34" t="s">
        <v>4174</v>
      </c>
      <c r="D16" s="13" t="str">
        <f t="shared" si="1"/>
        <v>m^-1</v>
      </c>
      <c r="E16" s="42">
        <f>countif(Constants!F:F,F16)</f>
        <v>1</v>
      </c>
      <c r="F16" s="21" t="str">
        <f>ifna(VLOOKUP($A16,Constants!$D:$F,3,false),"")</f>
        <v>AtomicMassUnitInverseMeterRelationship</v>
      </c>
      <c r="G16" s="21" t="str">
        <f>IFERROR(__xludf.DUMMYFUNCTION("REGEXREPLACE(substitute(substitute(B16,"" "",""""),""..."",""""),""\(.*\)"","""")"),"7.513006671e14")</f>
        <v>7.513006671e14</v>
      </c>
      <c r="H16" s="43">
        <f t="shared" si="2"/>
        <v>751300667100000</v>
      </c>
      <c r="I16" s="21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43">
        <f t="shared" si="3"/>
        <v>11000</v>
      </c>
      <c r="K16" s="43" t="b">
        <f t="shared" si="4"/>
        <v>0</v>
      </c>
      <c r="L16" s="21" t="str">
        <f>IFERROR(__xludf.DUMMYFUNCTION("if(regexmatch(B16,""e(.*)$""),regexextract(B16,""e(.*)$""),"""")"),"14")</f>
        <v>14</v>
      </c>
    </row>
    <row r="17">
      <c r="A17" s="34" t="s">
        <v>612</v>
      </c>
      <c r="B17" s="34" t="s">
        <v>4168</v>
      </c>
      <c r="C17" s="34" t="s">
        <v>543</v>
      </c>
      <c r="D17" s="13" t="str">
        <f t="shared" si="1"/>
        <v>J</v>
      </c>
      <c r="E17" s="42">
        <f>countif(Constants!F:F,F17)</f>
        <v>1</v>
      </c>
      <c r="F17" s="21" t="str">
        <f>ifna(VLOOKUP($A17,Constants!$D:$F,3,false),"")</f>
        <v>AtomicMassUnitJouleRelationship</v>
      </c>
      <c r="G17" s="21" t="str">
        <f>IFERROR(__xludf.DUMMYFUNCTION("REGEXREPLACE(substitute(substitute(B17,"" "",""""),""..."",""""),""\(.*\)"","""")"),"1.492417830e-10")</f>
        <v>1.492417830e-10</v>
      </c>
      <c r="H17" s="43">
        <f t="shared" si="2"/>
        <v>0.000000000149241783</v>
      </c>
      <c r="I17" s="21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43">
        <f t="shared" si="3"/>
        <v>0</v>
      </c>
      <c r="K17" s="43" t="b">
        <f t="shared" si="4"/>
        <v>0</v>
      </c>
      <c r="L17" s="21" t="str">
        <f>IFERROR(__xludf.DUMMYFUNCTION("if(regexmatch(B17,""e(.*)$""),regexextract(B17,""e(.*)$""),"""")"),"-10")</f>
        <v>-10</v>
      </c>
    </row>
    <row r="18">
      <c r="A18" s="34" t="s">
        <v>617</v>
      </c>
      <c r="B18" s="34" t="s">
        <v>4175</v>
      </c>
      <c r="C18" s="34" t="s">
        <v>618</v>
      </c>
      <c r="D18" s="13" t="str">
        <f t="shared" si="1"/>
        <v>K</v>
      </c>
      <c r="E18" s="42">
        <f>countif(Constants!F:F,F18)</f>
        <v>1</v>
      </c>
      <c r="F18" s="21" t="str">
        <f>ifna(VLOOKUP($A18,Constants!$D:$F,3,false),"")</f>
        <v>AtomicMassUnitKelvinRelationship</v>
      </c>
      <c r="G18" s="21" t="str">
        <f>IFERROR(__xludf.DUMMYFUNCTION("REGEXREPLACE(substitute(substitute(B18,"" "",""""),""..."",""""),""\(.*\)"","""")"),"1.0809527e13")</f>
        <v>1.0809527e13</v>
      </c>
      <c r="H18" s="43">
        <f t="shared" si="2"/>
        <v>10809527000000</v>
      </c>
      <c r="I18" s="21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43">
        <f t="shared" si="3"/>
        <v>190000</v>
      </c>
      <c r="K18" s="43" t="b">
        <f t="shared" si="4"/>
        <v>0</v>
      </c>
      <c r="L18" s="21" t="str">
        <f>IFERROR(__xludf.DUMMYFUNCTION("if(regexmatch(B18,""e(.*)$""),regexextract(B18,""e(.*)$""),"""")"),"13")</f>
        <v>13</v>
      </c>
    </row>
    <row r="19">
      <c r="A19" s="34" t="s">
        <v>623</v>
      </c>
      <c r="B19" s="34" t="s">
        <v>4167</v>
      </c>
      <c r="C19" s="34" t="s">
        <v>538</v>
      </c>
      <c r="D19" s="13" t="str">
        <f t="shared" si="1"/>
        <v>kg</v>
      </c>
      <c r="E19" s="42">
        <f>countif(Constants!F:F,F19)</f>
        <v>1</v>
      </c>
      <c r="F19" s="21" t="str">
        <f>ifna(VLOOKUP($A19,Constants!$D:$F,3,false),"")</f>
        <v>AtomicMassUnitKilogramRelationship</v>
      </c>
      <c r="G19" s="21" t="str">
        <f>IFERROR(__xludf.DUMMYFUNCTION("REGEXREPLACE(substitute(substitute(B19,"" "",""""),""..."",""""),""\(.*\)"","""")"),"1.660538782e-27")</f>
        <v>1.660538782e-27</v>
      </c>
      <c r="H19" s="43">
        <f t="shared" si="2"/>
        <v>0</v>
      </c>
      <c r="I19" s="21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43">
        <f t="shared" si="3"/>
        <v>0</v>
      </c>
      <c r="K19" s="43" t="b">
        <f t="shared" si="4"/>
        <v>0</v>
      </c>
      <c r="L19" s="21" t="str">
        <f>IFERROR(__xludf.DUMMYFUNCTION("if(regexmatch(B19,""e(.*)$""),regexextract(B19,""e(.*)$""),"""")"),"-27")</f>
        <v>-27</v>
      </c>
    </row>
    <row r="20">
      <c r="A20" s="34" t="s">
        <v>628</v>
      </c>
      <c r="B20" s="34" t="s">
        <v>4176</v>
      </c>
      <c r="C20" s="34" t="s">
        <v>4177</v>
      </c>
      <c r="D20" s="13" t="str">
        <f t="shared" si="1"/>
        <v>C^3 m^3 J^-2</v>
      </c>
      <c r="E20" s="42">
        <f>countif(Constants!F:F,F20)</f>
        <v>1</v>
      </c>
      <c r="F20" s="21" t="str">
        <f>ifna(VLOOKUP($A20,Constants!$D:$F,3,false),"")</f>
        <v>AtomicUnitOf1stHyperpolarizablity</v>
      </c>
      <c r="G20" s="21" t="str">
        <f>IFERROR(__xludf.DUMMYFUNCTION("REGEXREPLACE(substitute(substitute(B20,"" "",""""),""..."",""""),""\(.*\)"","""")"),"3.206361533e-53")</f>
        <v>3.206361533e-53</v>
      </c>
      <c r="H20" s="43">
        <f t="shared" si="2"/>
        <v>0</v>
      </c>
      <c r="I20" s="21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43">
        <f t="shared" si="3"/>
        <v>0</v>
      </c>
      <c r="K20" s="43" t="b">
        <f t="shared" si="4"/>
        <v>0</v>
      </c>
      <c r="L20" s="21" t="str">
        <f>IFERROR(__xludf.DUMMYFUNCTION("if(regexmatch(B20,""e(.*)$""),regexextract(B20,""e(.*)$""),"""")"),"-53")</f>
        <v>-53</v>
      </c>
    </row>
    <row r="21">
      <c r="A21" s="34" t="s">
        <v>635</v>
      </c>
      <c r="B21" s="34" t="s">
        <v>4178</v>
      </c>
      <c r="C21" s="34" t="s">
        <v>4179</v>
      </c>
      <c r="D21" s="13" t="str">
        <f t="shared" si="1"/>
        <v>C^4 m^4 J^-3</v>
      </c>
      <c r="E21" s="42">
        <f>countif(Constants!F:F,F21)</f>
        <v>1</v>
      </c>
      <c r="F21" s="21" t="str">
        <f>ifna(VLOOKUP($A21,Constants!$D:$F,3,false),"")</f>
        <v>AtomicUnitOf2ndHyperpolarizablity</v>
      </c>
      <c r="G21" s="21" t="str">
        <f>IFERROR(__xludf.DUMMYFUNCTION("REGEXREPLACE(substitute(substitute(B21,"" "",""""),""..."",""""),""\(.*\)"","""")"),"6.23538095e-65")</f>
        <v>6.23538095e-65</v>
      </c>
      <c r="H21" s="43">
        <f t="shared" si="2"/>
        <v>0</v>
      </c>
      <c r="I21" s="21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43">
        <f t="shared" si="3"/>
        <v>0</v>
      </c>
      <c r="K21" s="43" t="b">
        <f t="shared" si="4"/>
        <v>0</v>
      </c>
      <c r="L21" s="21" t="str">
        <f>IFERROR(__xludf.DUMMYFUNCTION("if(regexmatch(B21,""e(.*)$""),regexextract(B21,""e(.*)$""),"""")"),"-65")</f>
        <v>-65</v>
      </c>
    </row>
    <row r="22">
      <c r="A22" s="34" t="s">
        <v>642</v>
      </c>
      <c r="B22" s="34" t="s">
        <v>4180</v>
      </c>
      <c r="C22" s="34" t="s">
        <v>643</v>
      </c>
      <c r="D22" s="13" t="str">
        <f t="shared" si="1"/>
        <v>J s</v>
      </c>
      <c r="E22" s="42">
        <f>countif(Constants!F:F,F22)</f>
        <v>1</v>
      </c>
      <c r="F22" s="21" t="str">
        <f>ifna(VLOOKUP($A22,Constants!$D:$F,3,false),"")</f>
        <v>AtomicUnitOfAction</v>
      </c>
      <c r="G22" s="21" t="str">
        <f>IFERROR(__xludf.DUMMYFUNCTION("REGEXREPLACE(substitute(substitute(B22,"" "",""""),""..."",""""),""\(.*\)"","""")"),"1.054571628e-34")</f>
        <v>1.054571628e-34</v>
      </c>
      <c r="H22" s="43">
        <f t="shared" si="2"/>
        <v>0</v>
      </c>
      <c r="I22" s="21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43">
        <f t="shared" si="3"/>
        <v>0</v>
      </c>
      <c r="K22" s="43" t="b">
        <f t="shared" si="4"/>
        <v>0</v>
      </c>
      <c r="L22" s="21" t="str">
        <f>IFERROR(__xludf.DUMMYFUNCTION("if(regexmatch(B22,""e(.*)$""),regexextract(B22,""e(.*)$""),"""")"),"-34")</f>
        <v>-34</v>
      </c>
    </row>
    <row r="23">
      <c r="A23" s="34" t="s">
        <v>654</v>
      </c>
      <c r="B23" s="34" t="s">
        <v>4181</v>
      </c>
      <c r="C23" s="34" t="s">
        <v>4182</v>
      </c>
      <c r="D23" s="13" t="str">
        <f t="shared" si="1"/>
        <v>C m^-3</v>
      </c>
      <c r="E23" s="42">
        <f>countif(Constants!F:F,F23)</f>
        <v>1</v>
      </c>
      <c r="F23" s="21" t="str">
        <f>ifna(VLOOKUP($A23,Constants!$D:$F,3,false),"")</f>
        <v>AtomicUnitOfChargeDensity</v>
      </c>
      <c r="G23" s="21" t="str">
        <f>IFERROR(__xludf.DUMMYFUNCTION("REGEXREPLACE(substitute(substitute(B23,"" "",""""),""..."",""""),""\(.*\)"","""")"),"1.081202300e12")</f>
        <v>1.081202300e12</v>
      </c>
      <c r="H23" s="43">
        <f t="shared" si="2"/>
        <v>1081202300000</v>
      </c>
      <c r="I23" s="21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43">
        <f t="shared" si="3"/>
        <v>270</v>
      </c>
      <c r="K23" s="43" t="b">
        <f t="shared" si="4"/>
        <v>0</v>
      </c>
      <c r="L23" s="21" t="str">
        <f>IFERROR(__xludf.DUMMYFUNCTION("if(regexmatch(B23,""e(.*)$""),regexextract(B23,""e(.*)$""),"""")"),"12")</f>
        <v>12</v>
      </c>
    </row>
    <row r="24">
      <c r="A24" s="34" t="s">
        <v>660</v>
      </c>
      <c r="B24" s="34" t="s">
        <v>4183</v>
      </c>
      <c r="C24" s="34" t="s">
        <v>661</v>
      </c>
      <c r="D24" s="13" t="str">
        <f t="shared" si="1"/>
        <v>A</v>
      </c>
      <c r="E24" s="42">
        <f>countif(Constants!F:F,F24)</f>
        <v>1</v>
      </c>
      <c r="F24" s="21" t="str">
        <f>ifna(VLOOKUP($A24,Constants!$D:$F,3,false),"")</f>
        <v>AtomicUnitOfCurrent</v>
      </c>
      <c r="G24" s="21" t="str">
        <f>IFERROR(__xludf.DUMMYFUNCTION("REGEXREPLACE(substitute(substitute(B24,"" "",""""),""..."",""""),""\(.*\)"","""")"),"6.62361763e-3")</f>
        <v>6.62361763e-3</v>
      </c>
      <c r="H24" s="43">
        <f t="shared" si="2"/>
        <v>0.00662361763</v>
      </c>
      <c r="I24" s="21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43">
        <f t="shared" si="3"/>
        <v>0</v>
      </c>
      <c r="K24" s="43" t="b">
        <f t="shared" si="4"/>
        <v>0</v>
      </c>
      <c r="L24" s="21" t="str">
        <f>IFERROR(__xludf.DUMMYFUNCTION("if(regexmatch(B24,""e(.*)$""),regexextract(B24,""e(.*)$""),"""")"),"-3")</f>
        <v>-3</v>
      </c>
    </row>
    <row r="25">
      <c r="A25" s="34" t="s">
        <v>667</v>
      </c>
      <c r="B25" s="34" t="s">
        <v>4184</v>
      </c>
      <c r="C25" s="34" t="s">
        <v>666</v>
      </c>
      <c r="D25" s="13" t="str">
        <f t="shared" si="1"/>
        <v>C m</v>
      </c>
      <c r="E25" s="42">
        <f>countif(Constants!F:F,F25)</f>
        <v>1</v>
      </c>
      <c r="F25" s="18" t="s">
        <v>93</v>
      </c>
      <c r="G25" s="21" t="str">
        <f>IFERROR(__xludf.DUMMYFUNCTION("REGEXREPLACE(substitute(substitute(B25,"" "",""""),""..."",""""),""\(.*\)"","""")"),"8.47835281e-30")</f>
        <v>8.47835281e-30</v>
      </c>
      <c r="H25" s="43">
        <f t="shared" si="2"/>
        <v>0</v>
      </c>
      <c r="I25" s="21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43">
        <f t="shared" si="3"/>
        <v>0</v>
      </c>
      <c r="K25" s="43" t="b">
        <f t="shared" si="4"/>
        <v>0</v>
      </c>
      <c r="L25" s="21" t="str">
        <f>IFERROR(__xludf.DUMMYFUNCTION("if(regexmatch(B25,""e(.*)$""),regexextract(B25,""e(.*)$""),"""")"),"-30")</f>
        <v>-30</v>
      </c>
    </row>
    <row r="26">
      <c r="A26" s="34" t="s">
        <v>671</v>
      </c>
      <c r="B26" s="34" t="s">
        <v>4185</v>
      </c>
      <c r="C26" s="34" t="s">
        <v>4186</v>
      </c>
      <c r="D26" s="13" t="str">
        <f t="shared" si="1"/>
        <v>V m^-1</v>
      </c>
      <c r="E26" s="42">
        <f>countif(Constants!F:F,F26)</f>
        <v>1</v>
      </c>
      <c r="F26" s="21" t="str">
        <f>ifna(VLOOKUP($A26,Constants!$D:$F,3,false),"")</f>
        <v>AtomicUnitOfElectricField</v>
      </c>
      <c r="G26" s="21" t="str">
        <f>IFERROR(__xludf.DUMMYFUNCTION("REGEXREPLACE(substitute(substitute(B26,"" "",""""),""..."",""""),""\(.*\)"","""")"),"5.14220632e11")</f>
        <v>5.14220632e11</v>
      </c>
      <c r="H26" s="43">
        <f t="shared" si="2"/>
        <v>514220632000</v>
      </c>
      <c r="I26" s="21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43">
        <f t="shared" si="3"/>
        <v>130</v>
      </c>
      <c r="K26" s="43" t="b">
        <f t="shared" si="4"/>
        <v>0</v>
      </c>
      <c r="L26" s="21" t="str">
        <f>IFERROR(__xludf.DUMMYFUNCTION("if(regexmatch(B26,""e(.*)$""),regexextract(B26,""e(.*)$""),"""")"),"11")</f>
        <v>11</v>
      </c>
    </row>
    <row r="27">
      <c r="A27" s="34" t="s">
        <v>677</v>
      </c>
      <c r="B27" s="34" t="s">
        <v>4187</v>
      </c>
      <c r="C27" s="34" t="s">
        <v>4188</v>
      </c>
      <c r="D27" s="13" t="str">
        <f t="shared" si="1"/>
        <v>V m^-2</v>
      </c>
      <c r="E27" s="42">
        <f>countif(Constants!F:F,F27)</f>
        <v>1</v>
      </c>
      <c r="F27" s="21" t="str">
        <f>ifna(VLOOKUP($A27,Constants!$D:$F,3,false),"")</f>
        <v>AtomicUnitOfElectricFieldGradient</v>
      </c>
      <c r="G27" s="21" t="str">
        <f>IFERROR(__xludf.DUMMYFUNCTION("REGEXREPLACE(substitute(substitute(B27,"" "",""""),""..."",""""),""\(.*\)"","""")"),"9.71736166e21")</f>
        <v>9.71736166e21</v>
      </c>
      <c r="H27" s="43">
        <f t="shared" si="2"/>
        <v>9.71736E+21</v>
      </c>
      <c r="I27" s="21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43">
        <f t="shared" si="3"/>
        <v>2400000000000</v>
      </c>
      <c r="K27" s="43" t="b">
        <f t="shared" si="4"/>
        <v>0</v>
      </c>
      <c r="L27" s="21" t="str">
        <f>IFERROR(__xludf.DUMMYFUNCTION("if(regexmatch(B27,""e(.*)$""),regexextract(B27,""e(.*)$""),"""")"),"21")</f>
        <v>21</v>
      </c>
    </row>
    <row r="28">
      <c r="A28" s="34" t="s">
        <v>683</v>
      </c>
      <c r="B28" s="34" t="s">
        <v>4189</v>
      </c>
      <c r="C28" s="34" t="s">
        <v>4190</v>
      </c>
      <c r="D28" s="13" t="str">
        <f t="shared" si="1"/>
        <v>C^2 m^2 J^-1</v>
      </c>
      <c r="E28" s="42">
        <f>countif(Constants!F:F,F28)</f>
        <v>1</v>
      </c>
      <c r="F28" s="21" t="str">
        <f>ifna(VLOOKUP($A28,Constants!$D:$F,3,false),"")</f>
        <v>AtomicUnitOfElectricPolarizablity</v>
      </c>
      <c r="G28" s="21" t="str">
        <f>IFERROR(__xludf.DUMMYFUNCTION("REGEXREPLACE(substitute(substitute(B28,"" "",""""),""..."",""""),""\(.*\)"","""")"),"1.6487772536e-41")</f>
        <v>1.6487772536e-41</v>
      </c>
      <c r="H28" s="43">
        <f t="shared" si="2"/>
        <v>0</v>
      </c>
      <c r="I28" s="21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43">
        <f t="shared" si="3"/>
        <v>0</v>
      </c>
      <c r="K28" s="43" t="b">
        <f t="shared" si="4"/>
        <v>0</v>
      </c>
      <c r="L28" s="21" t="str">
        <f>IFERROR(__xludf.DUMMYFUNCTION("if(regexmatch(B28,""e(.*)$""),regexextract(B28,""e(.*)$""),"""")"),"-41")</f>
        <v>-41</v>
      </c>
    </row>
    <row r="29">
      <c r="A29" s="34" t="s">
        <v>689</v>
      </c>
      <c r="B29" s="34" t="s">
        <v>4191</v>
      </c>
      <c r="C29" s="34" t="s">
        <v>237</v>
      </c>
      <c r="D29" s="13" t="str">
        <f t="shared" si="1"/>
        <v>V</v>
      </c>
      <c r="E29" s="42">
        <f>countif(Constants!F:F,F29)</f>
        <v>1</v>
      </c>
      <c r="F29" s="21" t="str">
        <f>ifna(VLOOKUP($A29,Constants!$D:$F,3,false),"")</f>
        <v>AtomicUnitOfElectricPotential</v>
      </c>
      <c r="G29" s="21" t="str">
        <f>IFERROR(__xludf.DUMMYFUNCTION("REGEXREPLACE(substitute(substitute(B29,"" "",""""),""..."",""""),""\(.*\)"","""")"),"27.21138386")</f>
        <v>27.21138386</v>
      </c>
      <c r="H29" s="43">
        <f t="shared" si="2"/>
        <v>27.21138386</v>
      </c>
      <c r="I29" s="21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43">
        <f t="shared" si="3"/>
        <v>0.0000000068</v>
      </c>
      <c r="K29" s="43" t="b">
        <f t="shared" si="4"/>
        <v>0</v>
      </c>
      <c r="L29" s="21" t="str">
        <f>IFERROR(__xludf.DUMMYFUNCTION("if(regexmatch(B29,""e(.*)$""),regexextract(B29,""e(.*)$""),"""")"),"")</f>
        <v/>
      </c>
    </row>
    <row r="30">
      <c r="A30" s="34" t="s">
        <v>695</v>
      </c>
      <c r="B30" s="34" t="s">
        <v>4192</v>
      </c>
      <c r="C30" s="34" t="s">
        <v>694</v>
      </c>
      <c r="D30" s="13" t="str">
        <f t="shared" si="1"/>
        <v>C m^2</v>
      </c>
      <c r="E30" s="42">
        <f>countif(Constants!F:F,F30)</f>
        <v>1</v>
      </c>
      <c r="F30" s="47" t="s">
        <v>108</v>
      </c>
      <c r="G30" s="21" t="str">
        <f>IFERROR(__xludf.DUMMYFUNCTION("REGEXREPLACE(substitute(substitute(B30,"" "",""""),""..."",""""),""\(.*\)"","""")"),"4.48655107e-40")</f>
        <v>4.48655107e-40</v>
      </c>
      <c r="H30" s="43">
        <f t="shared" si="2"/>
        <v>0</v>
      </c>
      <c r="I30" s="21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43">
        <f t="shared" si="3"/>
        <v>0</v>
      </c>
      <c r="K30" s="43" t="b">
        <f t="shared" si="4"/>
        <v>0</v>
      </c>
      <c r="L30" s="21" t="str">
        <f>IFERROR(__xludf.DUMMYFUNCTION("if(regexmatch(B30,""e(.*)$""),regexextract(B30,""e(.*)$""),"""")"),"-40")</f>
        <v>-40</v>
      </c>
    </row>
    <row r="31">
      <c r="A31" s="34" t="s">
        <v>700</v>
      </c>
      <c r="B31" s="34" t="s">
        <v>4193</v>
      </c>
      <c r="C31" s="34" t="s">
        <v>543</v>
      </c>
      <c r="D31" s="13" t="str">
        <f t="shared" si="1"/>
        <v>J</v>
      </c>
      <c r="E31" s="42">
        <f>countif(Constants!F:F,F31)</f>
        <v>1</v>
      </c>
      <c r="F31" s="21" t="str">
        <f>ifna(VLOOKUP($A31,Constants!$D:$F,3,false),"")</f>
        <v>AtomicUnitOfEnergy</v>
      </c>
      <c r="G31" s="21" t="str">
        <f>IFERROR(__xludf.DUMMYFUNCTION("REGEXREPLACE(substitute(substitute(B31,"" "",""""),""..."",""""),""\(.*\)"","""")"),"4.35974394e-18")</f>
        <v>4.35974394e-18</v>
      </c>
      <c r="H31" s="43">
        <f t="shared" si="2"/>
        <v>0</v>
      </c>
      <c r="I31" s="21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43">
        <f t="shared" si="3"/>
        <v>0</v>
      </c>
      <c r="K31" s="43" t="b">
        <f t="shared" si="4"/>
        <v>0</v>
      </c>
      <c r="L31" s="21" t="str">
        <f>IFERROR(__xludf.DUMMYFUNCTION("if(regexmatch(B31,""e(.*)$""),regexextract(B31,""e(.*)$""),"""")"),"-18")</f>
        <v>-18</v>
      </c>
    </row>
    <row r="32">
      <c r="A32" s="34" t="s">
        <v>704</v>
      </c>
      <c r="B32" s="34" t="s">
        <v>4194</v>
      </c>
      <c r="C32" s="34" t="s">
        <v>705</v>
      </c>
      <c r="D32" s="13" t="str">
        <f t="shared" si="1"/>
        <v>N</v>
      </c>
      <c r="E32" s="42">
        <f>countif(Constants!F:F,F32)</f>
        <v>1</v>
      </c>
      <c r="F32" s="21" t="str">
        <f>ifna(VLOOKUP($A32,Constants!$D:$F,3,false),"")</f>
        <v>AtomicUnitOfForce</v>
      </c>
      <c r="G32" s="21" t="str">
        <f>IFERROR(__xludf.DUMMYFUNCTION("REGEXREPLACE(substitute(substitute(B32,"" "",""""),""..."",""""),""\(.*\)"","""")"),"8.23872206e-8")</f>
        <v>8.23872206e-8</v>
      </c>
      <c r="H32" s="43">
        <f t="shared" si="2"/>
        <v>0.0000000823872206</v>
      </c>
      <c r="I32" s="21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43">
        <f t="shared" si="3"/>
        <v>0</v>
      </c>
      <c r="K32" s="43" t="b">
        <f t="shared" si="4"/>
        <v>0</v>
      </c>
      <c r="L32" s="21" t="str">
        <f>IFERROR(__xludf.DUMMYFUNCTION("if(regexmatch(B32,""e(.*)$""),regexextract(B32,""e(.*)$""),"""")"),"-8")</f>
        <v>-8</v>
      </c>
    </row>
    <row r="33">
      <c r="A33" s="34" t="s">
        <v>709</v>
      </c>
      <c r="B33" s="34" t="s">
        <v>4195</v>
      </c>
      <c r="C33" s="34" t="s">
        <v>571</v>
      </c>
      <c r="D33" s="13" t="str">
        <f t="shared" si="1"/>
        <v>m</v>
      </c>
      <c r="E33" s="42">
        <f>countif(Constants!F:F,F33)</f>
        <v>1</v>
      </c>
      <c r="F33" s="21" t="str">
        <f>ifna(VLOOKUP($A33,Constants!$D:$F,3,false),"")</f>
        <v>AtomicUnitOfLength</v>
      </c>
      <c r="G33" s="21" t="str">
        <f>IFERROR(__xludf.DUMMYFUNCTION("REGEXREPLACE(substitute(substitute(B33,"" "",""""),""..."",""""),""\(.*\)"","""")"),"0.52917720859e-10")</f>
        <v>0.52917720859e-10</v>
      </c>
      <c r="H33" s="43">
        <f t="shared" si="2"/>
        <v>0</v>
      </c>
      <c r="I33" s="21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43">
        <f t="shared" si="3"/>
        <v>0</v>
      </c>
      <c r="K33" s="43" t="b">
        <f t="shared" si="4"/>
        <v>0</v>
      </c>
      <c r="L33" s="21" t="str">
        <f>IFERROR(__xludf.DUMMYFUNCTION("if(regexmatch(B33,""e(.*)$""),regexextract(B33,""e(.*)$""),"""")"),"-10")</f>
        <v>-10</v>
      </c>
    </row>
    <row r="34">
      <c r="A34" s="34" t="s">
        <v>715</v>
      </c>
      <c r="B34" s="34" t="s">
        <v>4196</v>
      </c>
      <c r="C34" s="34" t="s">
        <v>4197</v>
      </c>
      <c r="D34" s="13" t="str">
        <f t="shared" si="1"/>
        <v>J T^-1</v>
      </c>
      <c r="E34" s="42">
        <f>countif(Constants!F:F,F34)</f>
        <v>1</v>
      </c>
      <c r="F34" s="47" t="s">
        <v>119</v>
      </c>
      <c r="G34" s="21" t="str">
        <f>IFERROR(__xludf.DUMMYFUNCTION("REGEXREPLACE(substitute(substitute(B34,"" "",""""),""..."",""""),""\(.*\)"","""")"),"1.854801830e-23")</f>
        <v>1.854801830e-23</v>
      </c>
      <c r="H34" s="43">
        <f t="shared" si="2"/>
        <v>0</v>
      </c>
      <c r="I34" s="21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43">
        <f t="shared" si="3"/>
        <v>0</v>
      </c>
      <c r="K34" s="43" t="b">
        <f t="shared" si="4"/>
        <v>0</v>
      </c>
      <c r="L34" s="21" t="str">
        <f>IFERROR(__xludf.DUMMYFUNCTION("if(regexmatch(B34,""e(.*)$""),regexextract(B34,""e(.*)$""),"""")"),"-23")</f>
        <v>-23</v>
      </c>
    </row>
    <row r="35">
      <c r="A35" s="34" t="s">
        <v>4198</v>
      </c>
      <c r="B35" s="34" t="s">
        <v>4199</v>
      </c>
      <c r="C35" s="34" t="s">
        <v>721</v>
      </c>
      <c r="D35" s="13" t="str">
        <f t="shared" si="1"/>
        <v>T</v>
      </c>
      <c r="E35" s="42">
        <f>countif(Constants!F:F,F35)</f>
        <v>1</v>
      </c>
      <c r="F35" s="47" t="s">
        <v>122</v>
      </c>
      <c r="G35" s="21" t="str">
        <f>IFERROR(__xludf.DUMMYFUNCTION("REGEXREPLACE(substitute(substitute(B35,"" "",""""),""..."",""""),""\(.*\)"","""")"),"2.350517382e5")</f>
        <v>2.350517382e5</v>
      </c>
      <c r="H35" s="43">
        <f t="shared" si="2"/>
        <v>235051.7382</v>
      </c>
      <c r="I35" s="21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43">
        <f t="shared" si="3"/>
        <v>0.000059</v>
      </c>
      <c r="K35" s="43" t="b">
        <f t="shared" si="4"/>
        <v>0</v>
      </c>
      <c r="L35" s="21" t="str">
        <f>IFERROR(__xludf.DUMMYFUNCTION("if(regexmatch(B35,""e(.*)$""),regexextract(B35,""e(.*)$""),"""")"),"5")</f>
        <v>5</v>
      </c>
    </row>
    <row r="36">
      <c r="A36" s="34" t="s">
        <v>725</v>
      </c>
      <c r="B36" s="34" t="s">
        <v>4200</v>
      </c>
      <c r="C36" s="34" t="s">
        <v>4201</v>
      </c>
      <c r="D36" s="13" t="str">
        <f t="shared" si="1"/>
        <v>J T^-2</v>
      </c>
      <c r="E36" s="42">
        <f>countif(Constants!F:F,F36)</f>
        <v>1</v>
      </c>
      <c r="F36" s="21" t="str">
        <f>ifna(VLOOKUP($A36,Constants!$D:$F,3,false),"")</f>
        <v>AtomicUnitOfMagnetizability</v>
      </c>
      <c r="G36" s="21" t="str">
        <f>IFERROR(__xludf.DUMMYFUNCTION("REGEXREPLACE(substitute(substitute(B36,"" "",""""),""..."",""""),""\(.*\)"","""")"),"7.891036433e-29")</f>
        <v>7.891036433e-29</v>
      </c>
      <c r="H36" s="43">
        <f t="shared" si="2"/>
        <v>0</v>
      </c>
      <c r="I36" s="21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43">
        <f t="shared" si="3"/>
        <v>0</v>
      </c>
      <c r="K36" s="43" t="b">
        <f t="shared" si="4"/>
        <v>0</v>
      </c>
      <c r="L36" s="21" t="str">
        <f>IFERROR(__xludf.DUMMYFUNCTION("if(regexmatch(B36,""e(.*)$""),regexextract(B36,""e(.*)$""),"""")"),"-29")</f>
        <v>-29</v>
      </c>
    </row>
    <row r="37">
      <c r="A37" s="34" t="s">
        <v>731</v>
      </c>
      <c r="B37" s="34" t="s">
        <v>4202</v>
      </c>
      <c r="C37" s="34" t="s">
        <v>538</v>
      </c>
      <c r="D37" s="13" t="str">
        <f t="shared" si="1"/>
        <v>kg</v>
      </c>
      <c r="E37" s="42">
        <f>countif(Constants!F:F,F37)</f>
        <v>1</v>
      </c>
      <c r="F37" s="21" t="str">
        <f>ifna(VLOOKUP($A37,Constants!$D:$F,3,false),"")</f>
        <v>AtomicUnitOfMass</v>
      </c>
      <c r="G37" s="21" t="str">
        <f>IFERROR(__xludf.DUMMYFUNCTION("REGEXREPLACE(substitute(substitute(B37,"" "",""""),""..."",""""),""\(.*\)"","""")"),"9.10938215e-31")</f>
        <v>9.10938215e-31</v>
      </c>
      <c r="H37" s="43">
        <f t="shared" si="2"/>
        <v>0</v>
      </c>
      <c r="I37" s="21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43">
        <f t="shared" si="3"/>
        <v>0</v>
      </c>
      <c r="K37" s="43" t="b">
        <f t="shared" si="4"/>
        <v>0</v>
      </c>
      <c r="L37" s="21" t="str">
        <f>IFERROR(__xludf.DUMMYFUNCTION("if(regexmatch(B37,""e(.*)$""),regexextract(B37,""e(.*)$""),"""")"),"-31")</f>
        <v>-31</v>
      </c>
    </row>
    <row r="38">
      <c r="A38" s="34" t="s">
        <v>735</v>
      </c>
      <c r="B38" s="34" t="s">
        <v>4203</v>
      </c>
      <c r="C38" s="34" t="s">
        <v>4204</v>
      </c>
      <c r="D38" s="13" t="str">
        <f t="shared" si="1"/>
        <v>kg m s^-1</v>
      </c>
      <c r="E38" s="42">
        <f>countif(Constants!F:F,F38)</f>
        <v>1</v>
      </c>
      <c r="F38" s="21" t="str">
        <f>ifna(VLOOKUP($A38,Constants!$D:$F,3,false),"")</f>
        <v>AtomicUnitOfMomentum</v>
      </c>
      <c r="G38" s="21" t="str">
        <f>IFERROR(__xludf.DUMMYFUNCTION("REGEXREPLACE(substitute(substitute(B38,"" "",""""),""..."",""""),""\(.*\)"","""")"),"1.992851565e-24")</f>
        <v>1.992851565e-24</v>
      </c>
      <c r="H38" s="43">
        <f t="shared" si="2"/>
        <v>0</v>
      </c>
      <c r="I38" s="21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43">
        <f t="shared" si="3"/>
        <v>0</v>
      </c>
      <c r="K38" s="43" t="b">
        <f t="shared" si="4"/>
        <v>0</v>
      </c>
      <c r="L38" s="21" t="str">
        <f>IFERROR(__xludf.DUMMYFUNCTION("if(regexmatch(B38,""e(.*)$""),regexextract(B38,""e(.*)$""),"""")"),"-24")</f>
        <v>-24</v>
      </c>
    </row>
    <row r="39">
      <c r="A39" s="34" t="s">
        <v>742</v>
      </c>
      <c r="B39" s="34" t="s">
        <v>4205</v>
      </c>
      <c r="C39" s="34" t="s">
        <v>4206</v>
      </c>
      <c r="D39" s="13" t="str">
        <f t="shared" si="1"/>
        <v>F m^-1</v>
      </c>
      <c r="E39" s="42">
        <f>countif(Constants!F:F,F39)</f>
        <v>1</v>
      </c>
      <c r="F39" s="21" t="str">
        <f>ifna(VLOOKUP($A39,Constants!$D:$F,3,false),"")</f>
        <v>AtomicUnitOfPermittivity</v>
      </c>
      <c r="G39" s="21" t="str">
        <f>IFERROR(__xludf.DUMMYFUNCTION("REGEXREPLACE(substitute(substitute(B39,"" "",""""),""..."",""""),""\(.*\)"","""")"),"1.112650056e-10")</f>
        <v>1.112650056e-10</v>
      </c>
      <c r="H39" s="43">
        <f t="shared" si="2"/>
        <v>0.0000000001112650056</v>
      </c>
      <c r="I39" s="21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43" t="str">
        <f t="shared" si="3"/>
        <v/>
      </c>
      <c r="K39" s="43" t="b">
        <f t="shared" si="4"/>
        <v>1</v>
      </c>
      <c r="L39" s="21" t="str">
        <f>IFERROR(__xludf.DUMMYFUNCTION("if(regexmatch(B39,""e(.*)$""),regexextract(B39,""e(.*)$""),"""")"),"-10")</f>
        <v>-10</v>
      </c>
    </row>
    <row r="40">
      <c r="A40" s="34" t="s">
        <v>748</v>
      </c>
      <c r="B40" s="34" t="s">
        <v>4207</v>
      </c>
      <c r="C40" s="34" t="s">
        <v>749</v>
      </c>
      <c r="D40" s="13" t="str">
        <f t="shared" si="1"/>
        <v>s</v>
      </c>
      <c r="E40" s="42">
        <f>countif(Constants!F:F,F40)</f>
        <v>1</v>
      </c>
      <c r="F40" s="21" t="str">
        <f>ifna(VLOOKUP($A40,Constants!$D:$F,3,false),"")</f>
        <v>AtomicUnitOfTime</v>
      </c>
      <c r="G40" s="21" t="str">
        <f>IFERROR(__xludf.DUMMYFUNCTION("REGEXREPLACE(substitute(substitute(B40,"" "",""""),""..."",""""),""\(.*\)"","""")"),"2.418884326505e-17")</f>
        <v>2.418884326505e-17</v>
      </c>
      <c r="H40" s="43">
        <f t="shared" si="2"/>
        <v>0</v>
      </c>
      <c r="I40" s="21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43">
        <f t="shared" si="3"/>
        <v>0</v>
      </c>
      <c r="K40" s="43" t="b">
        <f t="shared" si="4"/>
        <v>0</v>
      </c>
      <c r="L40" s="21" t="str">
        <f>IFERROR(__xludf.DUMMYFUNCTION("if(regexmatch(B40,""e(.*)$""),regexextract(B40,""e(.*)$""),"""")"),"-17")</f>
        <v>-17</v>
      </c>
    </row>
    <row r="41">
      <c r="A41" s="34" t="s">
        <v>753</v>
      </c>
      <c r="B41" s="34" t="s">
        <v>4208</v>
      </c>
      <c r="C41" s="34" t="s">
        <v>4209</v>
      </c>
      <c r="D41" s="13" t="str">
        <f t="shared" si="1"/>
        <v>m s^-1</v>
      </c>
      <c r="E41" s="42">
        <f>countif(Constants!F:F,F41)</f>
        <v>1</v>
      </c>
      <c r="F41" s="21" t="str">
        <f>ifna(VLOOKUP($A41,Constants!$D:$F,3,false),"")</f>
        <v>AtomicUnitOfVelocity</v>
      </c>
      <c r="G41" s="21" t="str">
        <f>IFERROR(__xludf.DUMMYFUNCTION("REGEXREPLACE(substitute(substitute(B41,"" "",""""),""..."",""""),""\(.*\)"","""")"),"2.1876912541e6")</f>
        <v>2.1876912541e6</v>
      </c>
      <c r="H41" s="43">
        <f t="shared" si="2"/>
        <v>2187691.254</v>
      </c>
      <c r="I41" s="21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43">
        <f t="shared" si="3"/>
        <v>0.000015</v>
      </c>
      <c r="K41" s="43" t="b">
        <f t="shared" si="4"/>
        <v>0</v>
      </c>
      <c r="L41" s="21" t="str">
        <f>IFERROR(__xludf.DUMMYFUNCTION("if(regexmatch(B41,""e(.*)$""),regexextract(B41,""e(.*)$""),"""")"),"6")</f>
        <v>6</v>
      </c>
    </row>
    <row r="42">
      <c r="A42" s="34" t="s">
        <v>145</v>
      </c>
      <c r="B42" s="34" t="s">
        <v>4210</v>
      </c>
      <c r="C42" s="34" t="s">
        <v>4211</v>
      </c>
      <c r="D42" s="13" t="str">
        <f t="shared" si="1"/>
        <v>mol^-1</v>
      </c>
      <c r="E42" s="42">
        <f>countif(Constants!F:F,F42)</f>
        <v>1</v>
      </c>
      <c r="F42" s="21" t="str">
        <f>ifna(VLOOKUP($A42,Constants!$D:$F,3,false),"")</f>
        <v>AvogadroConstant</v>
      </c>
      <c r="G42" s="21" t="str">
        <f>IFERROR(__xludf.DUMMYFUNCTION("REGEXREPLACE(substitute(substitute(B42,"" "",""""),""..."",""""),""\(.*\)"","""")"),"6.02214179e23")</f>
        <v>6.02214179e23</v>
      </c>
      <c r="H42" s="43">
        <f t="shared" si="2"/>
        <v>6.02214E+23</v>
      </c>
      <c r="I42" s="21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43">
        <f t="shared" si="3"/>
        <v>300000000000000</v>
      </c>
      <c r="K42" s="43" t="b">
        <f t="shared" si="4"/>
        <v>0</v>
      </c>
      <c r="L42" s="21" t="str">
        <f>IFERROR(__xludf.DUMMYFUNCTION("if(regexmatch(B42,""e(.*)$""),regexextract(B42,""e(.*)$""),"""")"),"23")</f>
        <v>23</v>
      </c>
    </row>
    <row r="43">
      <c r="A43" s="34" t="s">
        <v>764</v>
      </c>
      <c r="B43" s="34" t="s">
        <v>4212</v>
      </c>
      <c r="C43" s="34" t="s">
        <v>4197</v>
      </c>
      <c r="D43" s="13" t="str">
        <f t="shared" si="1"/>
        <v>J T^-1</v>
      </c>
      <c r="E43" s="42">
        <f>countif(Constants!F:F,F43)</f>
        <v>1</v>
      </c>
      <c r="F43" s="21" t="str">
        <f>ifna(VLOOKUP($A43,Constants!$D:$F,3,false),"")</f>
        <v>BohrMagneton</v>
      </c>
      <c r="G43" s="21" t="str">
        <f>IFERROR(__xludf.DUMMYFUNCTION("REGEXREPLACE(substitute(substitute(B43,"" "",""""),""..."",""""),""\(.*\)"","""")"),"927.400915e-26")</f>
        <v>927.400915e-26</v>
      </c>
      <c r="H43" s="43">
        <f t="shared" si="2"/>
        <v>0</v>
      </c>
      <c r="I43" s="21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43">
        <f t="shared" si="3"/>
        <v>0</v>
      </c>
      <c r="K43" s="43" t="b">
        <f t="shared" si="4"/>
        <v>0</v>
      </c>
      <c r="L43" s="21" t="str">
        <f>IFERROR(__xludf.DUMMYFUNCTION("if(regexmatch(B43,""e(.*)$""),regexextract(B43,""e(.*)$""),"""")"),"-26")</f>
        <v>-26</v>
      </c>
    </row>
    <row r="44">
      <c r="A44" s="34" t="s">
        <v>773</v>
      </c>
      <c r="B44" s="34" t="s">
        <v>4213</v>
      </c>
      <c r="C44" s="34" t="s">
        <v>4214</v>
      </c>
      <c r="D44" s="13" t="str">
        <f t="shared" si="1"/>
        <v>Hz T^-1</v>
      </c>
      <c r="E44" s="42">
        <f>countif(Constants!F:F,F44)</f>
        <v>1</v>
      </c>
      <c r="F44" s="21" t="str">
        <f>ifna(VLOOKUP($A44,Constants!$D:$F,3,false),"")</f>
        <v>BohrMagnetonInHzPerT</v>
      </c>
      <c r="G44" s="21" t="str">
        <f>IFERROR(__xludf.DUMMYFUNCTION("REGEXREPLACE(substitute(substitute(B44,"" "",""""),""..."",""""),""\(.*\)"","""")"),"13.99624604e9")</f>
        <v>13.99624604e9</v>
      </c>
      <c r="H44" s="43">
        <f t="shared" si="2"/>
        <v>13996246040</v>
      </c>
      <c r="I44" s="21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43">
        <f t="shared" si="3"/>
        <v>3.5</v>
      </c>
      <c r="K44" s="43" t="b">
        <f t="shared" si="4"/>
        <v>0</v>
      </c>
      <c r="L44" s="21" t="str">
        <f>IFERROR(__xludf.DUMMYFUNCTION("if(regexmatch(B44,""e(.*)$""),regexextract(B44,""e(.*)$""),"""")"),"9")</f>
        <v>9</v>
      </c>
    </row>
    <row r="45">
      <c r="A45" s="34" t="s">
        <v>783</v>
      </c>
      <c r="B45" s="34" t="s">
        <v>4215</v>
      </c>
      <c r="C45" s="34" t="s">
        <v>4216</v>
      </c>
      <c r="D45" s="13" t="str">
        <f t="shared" si="1"/>
        <v>K T^-1</v>
      </c>
      <c r="E45" s="42">
        <f>countif(Constants!F:F,F45)</f>
        <v>1</v>
      </c>
      <c r="F45" s="21" t="str">
        <f>ifna(VLOOKUP($A45,Constants!$D:$F,3,false),"")</f>
        <v>BohrMagnetonInKPerT</v>
      </c>
      <c r="G45" s="21" t="str">
        <f>IFERROR(__xludf.DUMMYFUNCTION("REGEXREPLACE(substitute(substitute(B45,"" "",""""),""..."",""""),""\(.*\)"","""")"),"0.6717131")</f>
        <v>0.6717131</v>
      </c>
      <c r="H45" s="43">
        <f t="shared" si="2"/>
        <v>0.6717131</v>
      </c>
      <c r="I45" s="21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43">
        <f t="shared" si="3"/>
        <v>0.000000012</v>
      </c>
      <c r="K45" s="43" t="b">
        <f t="shared" si="4"/>
        <v>0</v>
      </c>
      <c r="L45" s="21" t="str">
        <f>IFERROR(__xludf.DUMMYFUNCTION("if(regexmatch(B45,""e(.*)$""),regexextract(B45,""e(.*)$""),"""")"),"")</f>
        <v/>
      </c>
    </row>
    <row r="46">
      <c r="A46" s="34" t="s">
        <v>768</v>
      </c>
      <c r="B46" s="34" t="s">
        <v>4217</v>
      </c>
      <c r="C46" s="34" t="s">
        <v>4218</v>
      </c>
      <c r="D46" s="13" t="str">
        <f t="shared" si="1"/>
        <v>eV T^-1</v>
      </c>
      <c r="E46" s="42">
        <f>countif(Constants!F:F,F46)</f>
        <v>1</v>
      </c>
      <c r="F46" s="21" t="str">
        <f>ifna(VLOOKUP($A46,Constants!$D:$F,3,false),"")</f>
        <v>BohrMagnetonInEVPerT</v>
      </c>
      <c r="G46" s="21" t="str">
        <f>IFERROR(__xludf.DUMMYFUNCTION("REGEXREPLACE(substitute(substitute(B46,"" "",""""),""..."",""""),""\(.*\)"","""")"),"5.7883817555e-5")</f>
        <v>5.7883817555e-5</v>
      </c>
      <c r="H46" s="43">
        <f t="shared" si="2"/>
        <v>0.00005788381756</v>
      </c>
      <c r="I46" s="21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43">
        <f t="shared" si="3"/>
        <v>0</v>
      </c>
      <c r="K46" s="43" t="b">
        <f t="shared" si="4"/>
        <v>0</v>
      </c>
      <c r="L46" s="21" t="str">
        <f>IFERROR(__xludf.DUMMYFUNCTION("if(regexmatch(B46,""e(.*)$""),regexextract(B46,""e(.*)$""),"""")"),"-5")</f>
        <v>-5</v>
      </c>
    </row>
    <row r="47">
      <c r="A47" s="34" t="s">
        <v>3288</v>
      </c>
      <c r="B47" s="34" t="s">
        <v>4219</v>
      </c>
      <c r="C47" s="34" t="s">
        <v>4220</v>
      </c>
      <c r="D47" s="13" t="str">
        <f t="shared" si="1"/>
        <v>m^-1 T^-1</v>
      </c>
      <c r="E47" s="42">
        <f>countif(Constants!F:F,F47)</f>
        <v>1</v>
      </c>
      <c r="F47" s="47" t="s">
        <v>3290</v>
      </c>
      <c r="G47" s="21" t="str">
        <f>IFERROR(__xludf.DUMMYFUNCTION("REGEXREPLACE(substitute(substitute(B47,"" "",""""),""..."",""""),""\(.*\)"","""")"),"46.6864515")</f>
        <v>46.6864515</v>
      </c>
      <c r="H47" s="43">
        <f t="shared" si="2"/>
        <v>46.6864515</v>
      </c>
      <c r="I47" s="21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43">
        <f t="shared" si="3"/>
        <v>0.000000012</v>
      </c>
      <c r="K47" s="43" t="b">
        <f t="shared" si="4"/>
        <v>0</v>
      </c>
      <c r="L47" s="21" t="str">
        <f>IFERROR(__xludf.DUMMYFUNCTION("if(regexmatch(B47,""e(.*)$""),regexextract(B47,""e(.*)$""),"""")"),"")</f>
        <v/>
      </c>
    </row>
    <row r="48">
      <c r="A48" s="34" t="s">
        <v>788</v>
      </c>
      <c r="B48" s="34" t="s">
        <v>4195</v>
      </c>
      <c r="C48" s="34" t="s">
        <v>571</v>
      </c>
      <c r="D48" s="13" t="str">
        <f t="shared" si="1"/>
        <v>m</v>
      </c>
      <c r="E48" s="42">
        <f>countif(Constants!F:F,F48)</f>
        <v>1</v>
      </c>
      <c r="F48" s="21" t="str">
        <f>ifna(VLOOKUP($A48,Constants!$D:$F,3,false),"")</f>
        <v>BohrRadius</v>
      </c>
      <c r="G48" s="21" t="str">
        <f>IFERROR(__xludf.DUMMYFUNCTION("REGEXREPLACE(substitute(substitute(B48,"" "",""""),""..."",""""),""\(.*\)"","""")"),"0.52917720859e-10")</f>
        <v>0.52917720859e-10</v>
      </c>
      <c r="H48" s="43">
        <f t="shared" si="2"/>
        <v>0</v>
      </c>
      <c r="I48" s="21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43">
        <f t="shared" si="3"/>
        <v>0</v>
      </c>
      <c r="K48" s="43" t="b">
        <f t="shared" si="4"/>
        <v>0</v>
      </c>
      <c r="L48" s="21" t="str">
        <f>IFERROR(__xludf.DUMMYFUNCTION("if(regexmatch(B48,""e(.*)$""),regexextract(B48,""e(.*)$""),"""")"),"-10")</f>
        <v>-10</v>
      </c>
    </row>
    <row r="49">
      <c r="A49" s="34" t="s">
        <v>791</v>
      </c>
      <c r="B49" s="34" t="s">
        <v>4221</v>
      </c>
      <c r="C49" s="34" t="s">
        <v>4222</v>
      </c>
      <c r="D49" s="13" t="str">
        <f t="shared" si="1"/>
        <v>J K^-1</v>
      </c>
      <c r="E49" s="42">
        <f>countif(Constants!F:F,F49)</f>
        <v>1</v>
      </c>
      <c r="F49" s="21" t="str">
        <f>ifna(VLOOKUP($A49,Constants!$D:$F,3,false),"")</f>
        <v>BoltzmannConstant</v>
      </c>
      <c r="G49" s="21" t="str">
        <f>IFERROR(__xludf.DUMMYFUNCTION("REGEXREPLACE(substitute(substitute(B49,"" "",""""),""..."",""""),""\(.*\)"","""")"),"1.3806504e-23")</f>
        <v>1.3806504e-23</v>
      </c>
      <c r="H49" s="43">
        <f t="shared" si="2"/>
        <v>0</v>
      </c>
      <c r="I49" s="21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43">
        <f t="shared" si="3"/>
        <v>0</v>
      </c>
      <c r="K49" s="43" t="b">
        <f t="shared" si="4"/>
        <v>0</v>
      </c>
      <c r="L49" s="21" t="str">
        <f>IFERROR(__xludf.DUMMYFUNCTION("if(regexmatch(B49,""e(.*)$""),regexextract(B49,""e(.*)$""),"""")"),"-23")</f>
        <v>-23</v>
      </c>
    </row>
    <row r="50">
      <c r="A50" s="34" t="s">
        <v>803</v>
      </c>
      <c r="B50" s="34" t="s">
        <v>4223</v>
      </c>
      <c r="C50" s="34" t="s">
        <v>4224</v>
      </c>
      <c r="D50" s="13" t="str">
        <f t="shared" si="1"/>
        <v>Hz K^-1</v>
      </c>
      <c r="E50" s="42">
        <f>countif(Constants!F:F,F50)</f>
        <v>1</v>
      </c>
      <c r="F50" s="21" t="str">
        <f>ifna(VLOOKUP($A50,Constants!$D:$F,3,false),"")</f>
        <v>BoltzmannConstantInHzPerK</v>
      </c>
      <c r="G50" s="21" t="str">
        <f>IFERROR(__xludf.DUMMYFUNCTION("REGEXREPLACE(substitute(substitute(B50,"" "",""""),""..."",""""),""\(.*\)"","""")"),"2.0836644e10")</f>
        <v>2.0836644e10</v>
      </c>
      <c r="H50" s="43">
        <f t="shared" si="2"/>
        <v>20836644000</v>
      </c>
      <c r="I50" s="21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43">
        <f t="shared" si="3"/>
        <v>360</v>
      </c>
      <c r="K50" s="43" t="b">
        <f t="shared" si="4"/>
        <v>0</v>
      </c>
      <c r="L50" s="21" t="str">
        <f>IFERROR(__xludf.DUMMYFUNCTION("if(regexmatch(B50,""e(.*)$""),regexextract(B50,""e(.*)$""),"""")"),"10")</f>
        <v>10</v>
      </c>
    </row>
    <row r="51">
      <c r="A51" s="34" t="s">
        <v>798</v>
      </c>
      <c r="B51" s="34" t="s">
        <v>4225</v>
      </c>
      <c r="C51" s="34" t="s">
        <v>4226</v>
      </c>
      <c r="D51" s="13" t="str">
        <f t="shared" si="1"/>
        <v>eV K^-1</v>
      </c>
      <c r="E51" s="42">
        <f>countif(Constants!F:F,F51)</f>
        <v>1</v>
      </c>
      <c r="F51" s="21" t="str">
        <f>ifna(VLOOKUP($A51,Constants!$D:$F,3,false),"")</f>
        <v>BoltzmannConstantInEVPerK</v>
      </c>
      <c r="G51" s="21" t="str">
        <f>IFERROR(__xludf.DUMMYFUNCTION("REGEXREPLACE(substitute(substitute(B51,"" "",""""),""..."",""""),""\(.*\)"","""")"),"8.617343e-5")</f>
        <v>8.617343e-5</v>
      </c>
      <c r="H51" s="43">
        <f t="shared" si="2"/>
        <v>0.00008617343</v>
      </c>
      <c r="I51" s="21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43">
        <f t="shared" si="3"/>
        <v>0</v>
      </c>
      <c r="K51" s="43" t="b">
        <f t="shared" si="4"/>
        <v>0</v>
      </c>
      <c r="L51" s="21" t="str">
        <f>IFERROR(__xludf.DUMMYFUNCTION("if(regexmatch(B51,""e(.*)$""),regexextract(B51,""e(.*)$""),"""")"),"-5")</f>
        <v>-5</v>
      </c>
    </row>
    <row r="52">
      <c r="A52" s="34" t="s">
        <v>3299</v>
      </c>
      <c r="B52" s="34" t="s">
        <v>4227</v>
      </c>
      <c r="C52" s="34" t="s">
        <v>4228</v>
      </c>
      <c r="D52" s="13" t="str">
        <f t="shared" si="1"/>
        <v>m^-1 K^-1</v>
      </c>
      <c r="E52" s="42">
        <f>countif(Constants!F:F,F52)</f>
        <v>1</v>
      </c>
      <c r="F52" s="47" t="s">
        <v>3302</v>
      </c>
      <c r="G52" s="21" t="str">
        <f>IFERROR(__xludf.DUMMYFUNCTION("REGEXREPLACE(substitute(substitute(B52,"" "",""""),""..."",""""),""\(.*\)"","""")"),"69.50356")</f>
        <v>69.50356</v>
      </c>
      <c r="H52" s="43">
        <f t="shared" si="2"/>
        <v>69.50356</v>
      </c>
      <c r="I52" s="21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43">
        <f t="shared" si="3"/>
        <v>0.0000012</v>
      </c>
      <c r="K52" s="43" t="b">
        <f t="shared" si="4"/>
        <v>0</v>
      </c>
      <c r="L52" s="21" t="str">
        <f>IFERROR(__xludf.DUMMYFUNCTION("if(regexmatch(B52,""e(.*)$""),regexextract(B52,""e(.*)$""),"""")"),"")</f>
        <v/>
      </c>
    </row>
    <row r="53">
      <c r="A53" s="34" t="s">
        <v>813</v>
      </c>
      <c r="B53" s="34" t="s">
        <v>4229</v>
      </c>
      <c r="C53" s="34" t="s">
        <v>816</v>
      </c>
      <c r="D53" s="13" t="str">
        <f t="shared" si="1"/>
        <v>Ohm</v>
      </c>
      <c r="E53" s="42">
        <f>countif(Constants!F:F,F53)</f>
        <v>1</v>
      </c>
      <c r="F53" s="21" t="str">
        <f>ifna(VLOOKUP($A53,Constants!$D:$F,3,false),"")</f>
        <v>CharacteristicImpedanceOfVacuum</v>
      </c>
      <c r="G53" s="21" t="str">
        <f>IFERROR(__xludf.DUMMYFUNCTION("REGEXREPLACE(substitute(substitute(B53,"" "",""""),""..."",""""),""\(.*\)"","""")"),"376.730313461")</f>
        <v>376.730313461</v>
      </c>
      <c r="H53" s="43">
        <f t="shared" si="2"/>
        <v>376.7303135</v>
      </c>
      <c r="I53" s="21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43" t="str">
        <f t="shared" si="3"/>
        <v/>
      </c>
      <c r="K53" s="43" t="b">
        <f t="shared" si="4"/>
        <v>1</v>
      </c>
      <c r="L53" s="21" t="str">
        <f>IFERROR(__xludf.DUMMYFUNCTION("if(regexmatch(B53,""e(.*)$""),regexextract(B53,""e(.*)$""),"""")"),"")</f>
        <v/>
      </c>
    </row>
    <row r="54">
      <c r="A54" s="34" t="s">
        <v>819</v>
      </c>
      <c r="B54" s="34" t="s">
        <v>4230</v>
      </c>
      <c r="C54" s="34" t="s">
        <v>571</v>
      </c>
      <c r="D54" s="13" t="str">
        <f t="shared" si="1"/>
        <v>m</v>
      </c>
      <c r="E54" s="42">
        <f>countif(Constants!F:F,F54)</f>
        <v>1</v>
      </c>
      <c r="F54" s="21" t="str">
        <f>ifna(VLOOKUP($A54,Constants!$D:$F,3,false),"")</f>
        <v>ClassicalElectronRadius</v>
      </c>
      <c r="G54" s="21" t="str">
        <f>IFERROR(__xludf.DUMMYFUNCTION("REGEXREPLACE(substitute(substitute(B54,"" "",""""),""..."",""""),""\(.*\)"","""")"),"2.8179402894e-15")</f>
        <v>2.8179402894e-15</v>
      </c>
      <c r="H54" s="43">
        <f t="shared" si="2"/>
        <v>0</v>
      </c>
      <c r="I54" s="21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43">
        <f t="shared" si="3"/>
        <v>0</v>
      </c>
      <c r="K54" s="43" t="b">
        <f t="shared" si="4"/>
        <v>0</v>
      </c>
      <c r="L54" s="21" t="str">
        <f>IFERROR(__xludf.DUMMYFUNCTION("if(regexmatch(B54,""e(.*)$""),regexextract(B54,""e(.*)$""),"""")"),"-15")</f>
        <v>-15</v>
      </c>
    </row>
    <row r="55">
      <c r="A55" s="34" t="s">
        <v>823</v>
      </c>
      <c r="B55" s="34" t="s">
        <v>4231</v>
      </c>
      <c r="C55" s="34" t="s">
        <v>571</v>
      </c>
      <c r="D55" s="13" t="str">
        <f t="shared" si="1"/>
        <v>m</v>
      </c>
      <c r="E55" s="42">
        <f>countif(Constants!F:F,F55)</f>
        <v>1</v>
      </c>
      <c r="F55" s="21" t="str">
        <f>ifna(VLOOKUP($A55,Constants!$D:$F,3,false),"")</f>
        <v>ComptonWavelength</v>
      </c>
      <c r="G55" s="21" t="str">
        <f>IFERROR(__xludf.DUMMYFUNCTION("REGEXREPLACE(substitute(substitute(B55,"" "",""""),""..."",""""),""\(.*\)"","""")"),"2.4263102175e-12")</f>
        <v>2.4263102175e-12</v>
      </c>
      <c r="H55" s="43">
        <f t="shared" si="2"/>
        <v>0</v>
      </c>
      <c r="I55" s="21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43">
        <f t="shared" si="3"/>
        <v>0</v>
      </c>
      <c r="K55" s="43" t="b">
        <f t="shared" si="4"/>
        <v>0</v>
      </c>
      <c r="L55" s="21" t="str">
        <f>IFERROR(__xludf.DUMMYFUNCTION("if(regexmatch(B55,""e(.*)$""),regexextract(B55,""e(.*)$""),"""")"),"-12")</f>
        <v>-12</v>
      </c>
    </row>
    <row r="56">
      <c r="A56" s="34" t="s">
        <v>1901</v>
      </c>
      <c r="B56" s="34" t="s">
        <v>4232</v>
      </c>
      <c r="C56" s="34" t="s">
        <v>571</v>
      </c>
      <c r="D56" s="13" t="str">
        <f t="shared" si="1"/>
        <v>m</v>
      </c>
      <c r="E56" s="42">
        <f>countif(Constants!F:F,F56)</f>
        <v>2</v>
      </c>
      <c r="F56" s="47" t="s">
        <v>261</v>
      </c>
      <c r="G56" s="21" t="str">
        <f>IFERROR(__xludf.DUMMYFUNCTION("REGEXREPLACE(substitute(substitute(B56,"" "",""""),""..."",""""),""\(.*\)"","""")"),"386.15926459e-15")</f>
        <v>386.15926459e-15</v>
      </c>
      <c r="H56" s="43">
        <f t="shared" si="2"/>
        <v>0</v>
      </c>
      <c r="I56" s="21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43">
        <f t="shared" si="3"/>
        <v>0</v>
      </c>
      <c r="K56" s="43" t="b">
        <f t="shared" si="4"/>
        <v>0</v>
      </c>
      <c r="L56" s="21" t="str">
        <f>IFERROR(__xludf.DUMMYFUNCTION("if(regexmatch(B56,""e(.*)$""),regexextract(B56,""e(.*)$""),"""")"),"-15")</f>
        <v>-15</v>
      </c>
    </row>
    <row r="57">
      <c r="A57" s="34" t="s">
        <v>827</v>
      </c>
      <c r="B57" s="34" t="s">
        <v>4233</v>
      </c>
      <c r="C57" s="34" t="s">
        <v>828</v>
      </c>
      <c r="D57" s="13" t="str">
        <f t="shared" si="1"/>
        <v>S</v>
      </c>
      <c r="E57" s="42">
        <f>countif(Constants!F:F,F57)</f>
        <v>1</v>
      </c>
      <c r="F57" s="21" t="str">
        <f>ifna(VLOOKUP($A57,Constants!$D:$F,3,false),"")</f>
        <v>ConductanceQuantum</v>
      </c>
      <c r="G57" s="21" t="str">
        <f>IFERROR(__xludf.DUMMYFUNCTION("REGEXREPLACE(substitute(substitute(B57,"" "",""""),""..."",""""),""\(.*\)"","""")"),"7.7480917004e-5")</f>
        <v>7.7480917004e-5</v>
      </c>
      <c r="H57" s="43">
        <f t="shared" si="2"/>
        <v>0.000077480917</v>
      </c>
      <c r="I57" s="21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43">
        <f t="shared" si="3"/>
        <v>0</v>
      </c>
      <c r="K57" s="43" t="b">
        <f t="shared" si="4"/>
        <v>0</v>
      </c>
      <c r="L57" s="21" t="str">
        <f>IFERROR(__xludf.DUMMYFUNCTION("if(regexmatch(B57,""e(.*)$""),regexextract(B57,""e(.*)$""),"""")"),"-5")</f>
        <v>-5</v>
      </c>
    </row>
    <row r="58">
      <c r="A58" s="34" t="s">
        <v>846</v>
      </c>
      <c r="B58" s="34" t="s">
        <v>2326</v>
      </c>
      <c r="C58" s="34" t="s">
        <v>4234</v>
      </c>
      <c r="D58" s="13" t="str">
        <f t="shared" si="1"/>
        <v>Hz V^-1</v>
      </c>
      <c r="E58" s="42">
        <f>countif(Constants!F:F,F58)</f>
        <v>1</v>
      </c>
      <c r="F58" s="21" t="str">
        <f>ifna(VLOOKUP($A58,Constants!$D:$F,3,false),"")</f>
        <v>ConventionalValueOfJosephsonConstant</v>
      </c>
      <c r="G58" s="21" t="str">
        <f>IFERROR(__xludf.DUMMYFUNCTION("REGEXREPLACE(substitute(substitute(B58,"" "",""""),""..."",""""),""\(.*\)"","""")"),"483597.9e9")</f>
        <v>483597.9e9</v>
      </c>
      <c r="H58" s="43">
        <f t="shared" si="2"/>
        <v>483597900000000</v>
      </c>
      <c r="I58" s="21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43" t="str">
        <f t="shared" si="3"/>
        <v/>
      </c>
      <c r="K58" s="43" t="b">
        <f t="shared" si="4"/>
        <v>0</v>
      </c>
      <c r="L58" s="21" t="str">
        <f>IFERROR(__xludf.DUMMYFUNCTION("if(regexmatch(B58,""e(.*)$""),regexextract(B58,""e(.*)$""),"""")"),"9")</f>
        <v>9</v>
      </c>
    </row>
    <row r="59">
      <c r="A59" s="34" t="s">
        <v>858</v>
      </c>
      <c r="B59" s="34" t="s">
        <v>2328</v>
      </c>
      <c r="C59" s="34" t="s">
        <v>816</v>
      </c>
      <c r="D59" s="13" t="str">
        <f t="shared" si="1"/>
        <v>Ohm</v>
      </c>
      <c r="E59" s="42">
        <f>countif(Constants!F:F,F59)</f>
        <v>1</v>
      </c>
      <c r="F59" s="21" t="str">
        <f>ifna(VLOOKUP($A59,Constants!$D:$F,3,false),"")</f>
        <v>ConventionalValueOfVonKlitzingConstant</v>
      </c>
      <c r="G59" s="21" t="str">
        <f>IFERROR(__xludf.DUMMYFUNCTION("REGEXREPLACE(substitute(substitute(B59,"" "",""""),""..."",""""),""\(.*\)"","""")"),"25812.807")</f>
        <v>25812.807</v>
      </c>
      <c r="H59" s="43">
        <f t="shared" si="2"/>
        <v>25812.807</v>
      </c>
      <c r="I59" s="21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43" t="str">
        <f t="shared" si="3"/>
        <v/>
      </c>
      <c r="K59" s="43" t="b">
        <f t="shared" si="4"/>
        <v>0</v>
      </c>
      <c r="L59" s="21" t="str">
        <f>IFERROR(__xludf.DUMMYFUNCTION("if(regexmatch(B59,""e(.*)$""),regexextract(B59,""e(.*)$""),"""")"),"")</f>
        <v/>
      </c>
    </row>
    <row r="60">
      <c r="A60" s="34" t="s">
        <v>3311</v>
      </c>
      <c r="B60" s="34" t="s">
        <v>4235</v>
      </c>
      <c r="C60" s="34" t="s">
        <v>571</v>
      </c>
      <c r="D60" s="13" t="str">
        <f t="shared" si="1"/>
        <v>m</v>
      </c>
      <c r="E60" s="42">
        <f>countif(Constants!F:F,F60)</f>
        <v>1</v>
      </c>
      <c r="F60" s="47" t="s">
        <v>272</v>
      </c>
      <c r="G60" s="21" t="str">
        <f>IFERROR(__xludf.DUMMYFUNCTION("REGEXREPLACE(substitute(substitute(B60,"" "",""""),""..."",""""),""\(.*\)"","""")"),"1.00207699e-13")</f>
        <v>1.00207699e-13</v>
      </c>
      <c r="H60" s="43">
        <f t="shared" si="2"/>
        <v>0</v>
      </c>
      <c r="I60" s="21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43">
        <f t="shared" si="3"/>
        <v>0</v>
      </c>
      <c r="K60" s="43" t="b">
        <f t="shared" si="4"/>
        <v>0</v>
      </c>
      <c r="L60" s="21" t="str">
        <f>IFERROR(__xludf.DUMMYFUNCTION("if(regexmatch(B60,""e(.*)$""),regexextract(B60,""e(.*)$""),"""")"),"-13")</f>
        <v>-13</v>
      </c>
    </row>
    <row r="61">
      <c r="A61" s="34" t="s">
        <v>881</v>
      </c>
      <c r="B61" s="34" t="s">
        <v>4236</v>
      </c>
      <c r="C61" s="34"/>
      <c r="D61" s="13" t="str">
        <f t="shared" si="1"/>
        <v/>
      </c>
      <c r="E61" s="42">
        <f>countif(Constants!F:F,F61)</f>
        <v>1</v>
      </c>
      <c r="F61" s="21" t="str">
        <f>ifna(VLOOKUP($A61,Constants!$D:$F,3,false),"")</f>
        <v>DeuteronGFactor</v>
      </c>
      <c r="G61" s="21" t="str">
        <f>IFERROR(__xludf.DUMMYFUNCTION("REGEXREPLACE(substitute(substitute(B61,"" "",""""),""..."",""""),""\(.*\)"","""")"),"0.8574382308")</f>
        <v>0.8574382308</v>
      </c>
      <c r="H61" s="43">
        <f t="shared" si="2"/>
        <v>0.8574382308</v>
      </c>
      <c r="I61" s="21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43">
        <f t="shared" si="3"/>
        <v>0</v>
      </c>
      <c r="K61" s="43" t="b">
        <f t="shared" si="4"/>
        <v>0</v>
      </c>
      <c r="L61" s="21" t="str">
        <f>IFERROR(__xludf.DUMMYFUNCTION("if(regexmatch(B61,""e(.*)$""),regexextract(B61,""e(.*)$""),"""")"),"")</f>
        <v/>
      </c>
    </row>
    <row r="62">
      <c r="A62" s="34" t="s">
        <v>886</v>
      </c>
      <c r="B62" s="34" t="s">
        <v>4237</v>
      </c>
      <c r="C62" s="34" t="s">
        <v>4197</v>
      </c>
      <c r="D62" s="13" t="str">
        <f t="shared" si="1"/>
        <v>J T^-1</v>
      </c>
      <c r="E62" s="42">
        <f>countif(Constants!F:F,F62)</f>
        <v>1</v>
      </c>
      <c r="F62" s="47" t="s">
        <v>276</v>
      </c>
      <c r="G62" s="21" t="str">
        <f>IFERROR(__xludf.DUMMYFUNCTION("REGEXREPLACE(substitute(substitute(B62,"" "",""""),""..."",""""),""\(.*\)"","""")"),"0.433073465e-26")</f>
        <v>0.433073465e-26</v>
      </c>
      <c r="H62" s="43">
        <f t="shared" si="2"/>
        <v>0</v>
      </c>
      <c r="I62" s="21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43">
        <f t="shared" si="3"/>
        <v>0</v>
      </c>
      <c r="K62" s="43" t="b">
        <f t="shared" si="4"/>
        <v>0</v>
      </c>
      <c r="L62" s="21" t="str">
        <f>IFERROR(__xludf.DUMMYFUNCTION("if(regexmatch(B62,""e(.*)$""),regexextract(B62,""e(.*)$""),"""")"),"-26")</f>
        <v>-26</v>
      </c>
    </row>
    <row r="63">
      <c r="A63" s="34" t="s">
        <v>891</v>
      </c>
      <c r="B63" s="34" t="s">
        <v>4238</v>
      </c>
      <c r="C63" s="34"/>
      <c r="D63" s="13" t="str">
        <f t="shared" si="1"/>
        <v/>
      </c>
      <c r="E63" s="42">
        <f>countif(Constants!F:F,F63)</f>
        <v>1</v>
      </c>
      <c r="F63" s="47" t="s">
        <v>277</v>
      </c>
      <c r="G63" s="21" t="str">
        <f>IFERROR(__xludf.DUMMYFUNCTION("REGEXREPLACE(substitute(substitute(B63,"" "",""""),""..."",""""),""\(.*\)"","""")"),"0.4669754556e-3")</f>
        <v>0.4669754556e-3</v>
      </c>
      <c r="H63" s="43">
        <f t="shared" si="2"/>
        <v>0.0004669754556</v>
      </c>
      <c r="I63" s="21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43">
        <f t="shared" si="3"/>
        <v>0</v>
      </c>
      <c r="K63" s="43" t="b">
        <f t="shared" si="4"/>
        <v>0</v>
      </c>
      <c r="L63" s="21" t="str">
        <f>IFERROR(__xludf.DUMMYFUNCTION("if(regexmatch(B63,""e(.*)$""),regexextract(B63,""e(.*)$""),"""")"),"-3")</f>
        <v>-3</v>
      </c>
    </row>
    <row r="64">
      <c r="A64" s="34" t="s">
        <v>896</v>
      </c>
      <c r="B64" s="34" t="s">
        <v>4236</v>
      </c>
      <c r="C64" s="34"/>
      <c r="D64" s="13" t="str">
        <f t="shared" si="1"/>
        <v/>
      </c>
      <c r="E64" s="42">
        <f>countif(Constants!F:F,F64)</f>
        <v>1</v>
      </c>
      <c r="F64" s="47" t="s">
        <v>278</v>
      </c>
      <c r="G64" s="21" t="str">
        <f>IFERROR(__xludf.DUMMYFUNCTION("REGEXREPLACE(substitute(substitute(B64,"" "",""""),""..."",""""),""\(.*\)"","""")"),"0.8574382308")</f>
        <v>0.8574382308</v>
      </c>
      <c r="H64" s="43">
        <f t="shared" si="2"/>
        <v>0.8574382308</v>
      </c>
      <c r="I64" s="21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43">
        <f t="shared" si="3"/>
        <v>0</v>
      </c>
      <c r="K64" s="43" t="b">
        <f t="shared" si="4"/>
        <v>0</v>
      </c>
      <c r="L64" s="21" t="str">
        <f>IFERROR(__xludf.DUMMYFUNCTION("if(regexmatch(B64,""e(.*)$""),regexextract(B64,""e(.*)$""),"""")"),"")</f>
        <v/>
      </c>
    </row>
    <row r="65">
      <c r="A65" s="34" t="s">
        <v>900</v>
      </c>
      <c r="B65" s="34" t="s">
        <v>4239</v>
      </c>
      <c r="C65" s="34" t="s">
        <v>538</v>
      </c>
      <c r="D65" s="13" t="str">
        <f t="shared" si="1"/>
        <v>kg</v>
      </c>
      <c r="E65" s="42">
        <f>countif(Constants!F:F,F65)</f>
        <v>1</v>
      </c>
      <c r="F65" s="21" t="str">
        <f>ifna(VLOOKUP($A65,Constants!$D:$F,3,false),"")</f>
        <v>DeuteronMass</v>
      </c>
      <c r="G65" s="21" t="str">
        <f>IFERROR(__xludf.DUMMYFUNCTION("REGEXREPLACE(substitute(substitute(B65,"" "",""""),""..."",""""),""\(.*\)"","""")"),"3.34358320e-27")</f>
        <v>3.34358320e-27</v>
      </c>
      <c r="H65" s="43">
        <f t="shared" si="2"/>
        <v>0</v>
      </c>
      <c r="I65" s="21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43">
        <f t="shared" si="3"/>
        <v>0</v>
      </c>
      <c r="K65" s="43" t="b">
        <f t="shared" si="4"/>
        <v>0</v>
      </c>
      <c r="L65" s="21" t="str">
        <f>IFERROR(__xludf.DUMMYFUNCTION("if(regexmatch(B65,""e(.*)$""),regexextract(B65,""e(.*)$""),"""")"),"-27")</f>
        <v>-27</v>
      </c>
    </row>
    <row r="66">
      <c r="A66" s="34" t="s">
        <v>904</v>
      </c>
      <c r="B66" s="34" t="s">
        <v>4240</v>
      </c>
      <c r="C66" s="34" t="s">
        <v>543</v>
      </c>
      <c r="D66" s="13" t="str">
        <f t="shared" si="1"/>
        <v>J</v>
      </c>
      <c r="E66" s="42">
        <f>countif(Constants!F:F,F66)</f>
        <v>1</v>
      </c>
      <c r="F66" s="21" t="str">
        <f>ifna(VLOOKUP($A66,Constants!$D:$F,3,false),"")</f>
        <v>DeuteronMassEnergyEquivalent</v>
      </c>
      <c r="G66" s="21" t="str">
        <f>IFERROR(__xludf.DUMMYFUNCTION("REGEXREPLACE(substitute(substitute(B66,"" "",""""),""..."",""""),""\(.*\)"","""")"),"3.00506272e-10")</f>
        <v>3.00506272e-10</v>
      </c>
      <c r="H66" s="43">
        <f t="shared" si="2"/>
        <v>0.000000000300506272</v>
      </c>
      <c r="I66" s="21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43">
        <f t="shared" si="3"/>
        <v>0</v>
      </c>
      <c r="K66" s="43" t="b">
        <f t="shared" si="4"/>
        <v>0</v>
      </c>
      <c r="L66" s="21" t="str">
        <f>IFERROR(__xludf.DUMMYFUNCTION("if(regexmatch(B66,""e(.*)$""),regexextract(B66,""e(.*)$""),"""")"),"-10")</f>
        <v>-10</v>
      </c>
    </row>
    <row r="67">
      <c r="A67" s="34" t="s">
        <v>908</v>
      </c>
      <c r="B67" s="34" t="s">
        <v>4241</v>
      </c>
      <c r="C67" s="34" t="s">
        <v>548</v>
      </c>
      <c r="D67" s="13" t="str">
        <f t="shared" si="1"/>
        <v>MeV</v>
      </c>
      <c r="E67" s="42">
        <f>countif(Constants!F:F,F67)</f>
        <v>1</v>
      </c>
      <c r="F67" s="21" t="str">
        <f>ifna(VLOOKUP($A67,Constants!$D:$F,3,false),"")</f>
        <v>DeuteronMassEnergyEquivalentInMeV</v>
      </c>
      <c r="G67" s="21" t="str">
        <f>IFERROR(__xludf.DUMMYFUNCTION("REGEXREPLACE(substitute(substitute(B67,"" "",""""),""..."",""""),""\(.*\)"","""")"),"1875.612793")</f>
        <v>1875.612793</v>
      </c>
      <c r="H67" s="43">
        <f t="shared" si="2"/>
        <v>1875.612793</v>
      </c>
      <c r="I67" s="21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43">
        <f t="shared" si="3"/>
        <v>0.00000047</v>
      </c>
      <c r="K67" s="43" t="b">
        <f t="shared" si="4"/>
        <v>0</v>
      </c>
      <c r="L67" s="21" t="str">
        <f>IFERROR(__xludf.DUMMYFUNCTION("if(regexmatch(B67,""e(.*)$""),regexextract(B67,""e(.*)$""),"""")"),"")</f>
        <v/>
      </c>
    </row>
    <row r="68">
      <c r="A68" s="34" t="s">
        <v>911</v>
      </c>
      <c r="B68" s="34" t="s">
        <v>4242</v>
      </c>
      <c r="C68" s="34" t="s">
        <v>553</v>
      </c>
      <c r="D68" s="13" t="str">
        <f t="shared" si="1"/>
        <v>u</v>
      </c>
      <c r="E68" s="42">
        <f>countif(Constants!F:F,F68)</f>
        <v>1</v>
      </c>
      <c r="F68" s="21" t="str">
        <f>ifna(VLOOKUP($A68,Constants!$D:$F,3,false),"")</f>
        <v>DeuteronMassInAtomicMassUnit</v>
      </c>
      <c r="G68" s="21" t="str">
        <f>IFERROR(__xludf.DUMMYFUNCTION("REGEXREPLACE(substitute(substitute(B68,"" "",""""),""..."",""""),""\(.*\)"","""")"),"2.013553212724")</f>
        <v>2.013553212724</v>
      </c>
      <c r="H68" s="43">
        <f t="shared" si="2"/>
        <v>2.013553213</v>
      </c>
      <c r="I68" s="21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43">
        <f t="shared" si="3"/>
        <v>0</v>
      </c>
      <c r="K68" s="43" t="b">
        <f t="shared" si="4"/>
        <v>0</v>
      </c>
      <c r="L68" s="21" t="str">
        <f>IFERROR(__xludf.DUMMYFUNCTION("if(regexmatch(B68,""e(.*)$""),regexextract(B68,""e(.*)$""),"""")"),"")</f>
        <v/>
      </c>
    </row>
    <row r="69">
      <c r="A69" s="34" t="s">
        <v>914</v>
      </c>
      <c r="B69" s="34" t="s">
        <v>4243</v>
      </c>
      <c r="C69" s="34" t="s">
        <v>4163</v>
      </c>
      <c r="D69" s="13" t="str">
        <f t="shared" si="1"/>
        <v>kg mol^-1</v>
      </c>
      <c r="E69" s="42">
        <f>countif(Constants!F:F,F69)</f>
        <v>1</v>
      </c>
      <c r="F69" s="21" t="str">
        <f>ifna(VLOOKUP($A69,Constants!$D:$F,3,false),"")</f>
        <v>DeuteronMolarMass</v>
      </c>
      <c r="G69" s="21" t="str">
        <f>IFERROR(__xludf.DUMMYFUNCTION("REGEXREPLACE(substitute(substitute(B69,"" "",""""),""..."",""""),""\(.*\)"","""")"),"2.013553212724e-3")</f>
        <v>2.013553212724e-3</v>
      </c>
      <c r="H69" s="43">
        <f t="shared" si="2"/>
        <v>0.002013553213</v>
      </c>
      <c r="I69" s="21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43">
        <f t="shared" si="3"/>
        <v>0</v>
      </c>
      <c r="K69" s="43" t="b">
        <f t="shared" si="4"/>
        <v>0</v>
      </c>
      <c r="L69" s="21" t="str">
        <f>IFERROR(__xludf.DUMMYFUNCTION("if(regexmatch(B69,""e(.*)$""),regexextract(B69,""e(.*)$""),"""")"),"-3")</f>
        <v>-3</v>
      </c>
    </row>
    <row r="70">
      <c r="A70" s="34" t="s">
        <v>936</v>
      </c>
      <c r="B70" s="34" t="s">
        <v>4244</v>
      </c>
      <c r="C70" s="34" t="s">
        <v>571</v>
      </c>
      <c r="D70" s="13" t="str">
        <f t="shared" si="1"/>
        <v>m</v>
      </c>
      <c r="E70" s="42">
        <f>countif(Constants!F:F,F70)</f>
        <v>1</v>
      </c>
      <c r="F70" s="21" t="str">
        <f>ifna(VLOOKUP($A70,Constants!$D:$F,3,false),"")</f>
        <v>DeuteronRmsChargeRadius</v>
      </c>
      <c r="G70" s="21" t="str">
        <f>IFERROR(__xludf.DUMMYFUNCTION("REGEXREPLACE(substitute(substitute(B70,"" "",""""),""..."",""""),""\(.*\)"","""")"),"2.1402e-15")</f>
        <v>2.1402e-15</v>
      </c>
      <c r="H70" s="43">
        <f t="shared" si="2"/>
        <v>0</v>
      </c>
      <c r="I70" s="21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43">
        <f t="shared" si="3"/>
        <v>0</v>
      </c>
      <c r="K70" s="43" t="b">
        <f t="shared" si="4"/>
        <v>0</v>
      </c>
      <c r="L70" s="21" t="str">
        <f>IFERROR(__xludf.DUMMYFUNCTION("if(regexmatch(B70,""e(.*)$""),regexextract(B70,""e(.*)$""),"""")"),"-15")</f>
        <v>-15</v>
      </c>
    </row>
    <row r="71">
      <c r="A71" s="34" t="s">
        <v>4245</v>
      </c>
      <c r="B71" s="34" t="s">
        <v>4246</v>
      </c>
      <c r="C71" s="34"/>
      <c r="D71" s="13" t="str">
        <f t="shared" si="1"/>
        <v/>
      </c>
      <c r="E71" s="42">
        <f>countif(Constants!F:F,F71)</f>
        <v>1</v>
      </c>
      <c r="F71" s="47" t="s">
        <v>273</v>
      </c>
      <c r="G71" s="21" t="str">
        <f>IFERROR(__xludf.DUMMYFUNCTION("REGEXREPLACE(substitute(substitute(B71,"" "",""""),""..."",""""),""\(.*\)"","""")"),"-4.664345537e-4")</f>
        <v>-4.664345537e-4</v>
      </c>
      <c r="H71" s="43">
        <f t="shared" si="2"/>
        <v>-0.0004664345537</v>
      </c>
      <c r="I71" s="21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43">
        <f t="shared" si="3"/>
        <v>0</v>
      </c>
      <c r="K71" s="43" t="b">
        <f t="shared" si="4"/>
        <v>0</v>
      </c>
      <c r="L71" s="21" t="str">
        <f>IFERROR(__xludf.DUMMYFUNCTION("if(regexmatch(B71,""e(.*)$""),regexextract(B71,""e(.*)$""),"""")"),"-4")</f>
        <v>-4</v>
      </c>
    </row>
    <row r="72">
      <c r="A72" s="34" t="s">
        <v>876</v>
      </c>
      <c r="B72" s="34" t="s">
        <v>4247</v>
      </c>
      <c r="C72" s="34"/>
      <c r="D72" s="13" t="str">
        <f t="shared" si="1"/>
        <v/>
      </c>
      <c r="E72" s="42">
        <f>countif(Constants!F:F,F72)</f>
        <v>1</v>
      </c>
      <c r="F72" s="21" t="str">
        <f>ifna(VLOOKUP($A72,Constants!$D:$F,3,false),"")</f>
        <v>DeuteronElectronMassRatio</v>
      </c>
      <c r="G72" s="21" t="str">
        <f>IFERROR(__xludf.DUMMYFUNCTION("REGEXREPLACE(substitute(substitute(B72,"" "",""""),""..."",""""),""\(.*\)"","""")"),"3670.4829654")</f>
        <v>3670.4829654</v>
      </c>
      <c r="H72" s="43">
        <f t="shared" si="2"/>
        <v>3670.482965</v>
      </c>
      <c r="I72" s="21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43">
        <f t="shared" si="3"/>
        <v>0.000000016</v>
      </c>
      <c r="K72" s="43" t="b">
        <f t="shared" si="4"/>
        <v>0</v>
      </c>
      <c r="L72" s="21" t="str">
        <f>IFERROR(__xludf.DUMMYFUNCTION("if(regexmatch(B72,""e(.*)$""),regexextract(B72,""e(.*)$""),"""")"),"")</f>
        <v/>
      </c>
    </row>
    <row r="73">
      <c r="A73" s="34" t="s">
        <v>4248</v>
      </c>
      <c r="B73" s="34" t="s">
        <v>4249</v>
      </c>
      <c r="C73" s="34"/>
      <c r="D73" s="13" t="str">
        <f t="shared" si="1"/>
        <v/>
      </c>
      <c r="E73" s="42">
        <f>countif(Constants!F:F,F73)</f>
        <v>1</v>
      </c>
      <c r="F73" s="47" t="s">
        <v>281</v>
      </c>
      <c r="G73" s="21" t="str">
        <f>IFERROR(__xludf.DUMMYFUNCTION("REGEXREPLACE(substitute(substitute(B73,"" "",""""),""..."",""""),""\(.*\)"","""")"),"-0.44820652")</f>
        <v>-0.44820652</v>
      </c>
      <c r="H73" s="43">
        <f t="shared" si="2"/>
        <v>-0.44820652</v>
      </c>
      <c r="I73" s="21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43">
        <f t="shared" si="3"/>
        <v>0.0000000011</v>
      </c>
      <c r="K73" s="43" t="b">
        <f t="shared" si="4"/>
        <v>0</v>
      </c>
      <c r="L73" s="21" t="str">
        <f>IFERROR(__xludf.DUMMYFUNCTION("if(regexmatch(B73,""e(.*)$""),regexextract(B73,""e(.*)$""),"""")"),"")</f>
        <v/>
      </c>
    </row>
    <row r="74">
      <c r="A74" s="34" t="s">
        <v>4250</v>
      </c>
      <c r="B74" s="34" t="s">
        <v>4251</v>
      </c>
      <c r="C74" s="34"/>
      <c r="D74" s="13" t="str">
        <f t="shared" si="1"/>
        <v/>
      </c>
      <c r="E74" s="42">
        <f>countif(Constants!F:F,F74)</f>
        <v>1</v>
      </c>
      <c r="F74" s="47" t="s">
        <v>282</v>
      </c>
      <c r="G74" s="21" t="str">
        <f>IFERROR(__xludf.DUMMYFUNCTION("REGEXREPLACE(substitute(substitute(B74,"" "",""""),""..."",""""),""\(.*\)"","""")"),"0.3070122070")</f>
        <v>0.3070122070</v>
      </c>
      <c r="H74" s="43">
        <f t="shared" si="2"/>
        <v>0.307012207</v>
      </c>
      <c r="I74" s="21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43">
        <f t="shared" si="3"/>
        <v>0</v>
      </c>
      <c r="K74" s="43" t="b">
        <f t="shared" si="4"/>
        <v>0</v>
      </c>
      <c r="L74" s="21" t="str">
        <f>IFERROR(__xludf.DUMMYFUNCTION("if(regexmatch(B74,""e(.*)$""),regexextract(B74,""e(.*)$""),"""")"),"")</f>
        <v/>
      </c>
    </row>
    <row r="75">
      <c r="A75" s="34" t="s">
        <v>928</v>
      </c>
      <c r="B75" s="34" t="s">
        <v>4252</v>
      </c>
      <c r="C75" s="34"/>
      <c r="D75" s="13" t="str">
        <f t="shared" si="1"/>
        <v/>
      </c>
      <c r="E75" s="42">
        <f>countif(Constants!F:F,F75)</f>
        <v>1</v>
      </c>
      <c r="F75" s="21" t="str">
        <f>ifna(VLOOKUP($A75,Constants!$D:$F,3,false),"")</f>
        <v>DeuteronProtonMassRatio</v>
      </c>
      <c r="G75" s="21" t="str">
        <f>IFERROR(__xludf.DUMMYFUNCTION("REGEXREPLACE(substitute(substitute(B75,"" "",""""),""..."",""""),""\(.*\)"","""")"),"1.99900750108")</f>
        <v>1.99900750108</v>
      </c>
      <c r="H75" s="43">
        <f t="shared" si="2"/>
        <v>1.999007501</v>
      </c>
      <c r="I75" s="21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43">
        <f t="shared" si="3"/>
        <v>0</v>
      </c>
      <c r="K75" s="43" t="b">
        <f t="shared" si="4"/>
        <v>0</v>
      </c>
      <c r="L75" s="21" t="str">
        <f>IFERROR(__xludf.DUMMYFUNCTION("if(regexmatch(B75,""e(.*)$""),regexextract(B75,""e(.*)$""),"""")"),"")</f>
        <v/>
      </c>
    </row>
    <row r="76">
      <c r="A76" s="34" t="s">
        <v>2177</v>
      </c>
      <c r="B76" s="34" t="s">
        <v>4253</v>
      </c>
      <c r="C76" s="34" t="s">
        <v>4206</v>
      </c>
      <c r="D76" s="13" t="str">
        <f t="shared" si="1"/>
        <v>F m^-1</v>
      </c>
      <c r="E76" s="42">
        <f>countif(Constants!F:F,F76)</f>
        <v>1</v>
      </c>
      <c r="F76" s="18" t="s">
        <v>286</v>
      </c>
      <c r="G76" s="21" t="str">
        <f>IFERROR(__xludf.DUMMYFUNCTION("REGEXREPLACE(substitute(substitute(B76,"" "",""""),""..."",""""),""\(.*\)"","""")"),"8.854187817e-12")</f>
        <v>8.854187817e-12</v>
      </c>
      <c r="H76" s="43">
        <f t="shared" si="2"/>
        <v>0</v>
      </c>
      <c r="I76" s="21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43" t="str">
        <f t="shared" si="3"/>
        <v/>
      </c>
      <c r="K76" s="43" t="b">
        <f t="shared" si="4"/>
        <v>1</v>
      </c>
      <c r="L76" s="21" t="str">
        <f>IFERROR(__xludf.DUMMYFUNCTION("if(regexmatch(B76,""e(.*)$""),regexextract(B76,""e(.*)$""),"""")"),"-12")</f>
        <v>-12</v>
      </c>
    </row>
    <row r="77">
      <c r="A77" s="34" t="s">
        <v>940</v>
      </c>
      <c r="B77" s="34" t="s">
        <v>4254</v>
      </c>
      <c r="C77" s="34" t="s">
        <v>4255</v>
      </c>
      <c r="D77" s="13" t="str">
        <f t="shared" si="1"/>
        <v>C kg^-1</v>
      </c>
      <c r="E77" s="42">
        <f>countif(Constants!F:F,F77)</f>
        <v>1</v>
      </c>
      <c r="F77" s="21" t="str">
        <f>ifna(VLOOKUP($A77,Constants!$D:$F,3,false),"")</f>
        <v>ElectronChargeToMassQuotient</v>
      </c>
      <c r="G77" s="21" t="str">
        <f>IFERROR(__xludf.DUMMYFUNCTION("REGEXREPLACE(substitute(substitute(B77,"" "",""""),""..."",""""),""\(.*\)"","""")"),"-1.758820150e11")</f>
        <v>-1.758820150e11</v>
      </c>
      <c r="H77" s="43">
        <f t="shared" si="2"/>
        <v>-175882015000</v>
      </c>
      <c r="I77" s="21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43">
        <f t="shared" si="3"/>
        <v>44</v>
      </c>
      <c r="K77" s="43" t="b">
        <f t="shared" si="4"/>
        <v>0</v>
      </c>
      <c r="L77" s="21" t="str">
        <f>IFERROR(__xludf.DUMMYFUNCTION("if(regexmatch(B77,""e(.*)$""),regexextract(B77,""e(.*)$""),"""")"),"11")</f>
        <v>11</v>
      </c>
    </row>
    <row r="78">
      <c r="A78" s="34" t="s">
        <v>956</v>
      </c>
      <c r="B78" s="34" t="s">
        <v>4256</v>
      </c>
      <c r="C78" s="34"/>
      <c r="D78" s="13" t="str">
        <f t="shared" si="1"/>
        <v/>
      </c>
      <c r="E78" s="42">
        <f>countif(Constants!F:F,F78)</f>
        <v>1</v>
      </c>
      <c r="F78" s="21" t="str">
        <f>ifna(VLOOKUP($A78,Constants!$D:$F,3,false),"")</f>
        <v>ElectronGFactor</v>
      </c>
      <c r="G78" s="21" t="str">
        <f>IFERROR(__xludf.DUMMYFUNCTION("REGEXREPLACE(substitute(substitute(B78,"" "",""""),""..."",""""),""\(.*\)"","""")"),"-2.0023193043622")</f>
        <v>-2.0023193043622</v>
      </c>
      <c r="H78" s="43">
        <f t="shared" si="2"/>
        <v>-2.002319304</v>
      </c>
      <c r="I78" s="21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43">
        <f t="shared" si="3"/>
        <v>0</v>
      </c>
      <c r="K78" s="43" t="b">
        <f t="shared" si="4"/>
        <v>0</v>
      </c>
      <c r="L78" s="21" t="str">
        <f>IFERROR(__xludf.DUMMYFUNCTION("if(regexmatch(B78,""e(.*)$""),regexextract(B78,""e(.*)$""),"""")"),"")</f>
        <v/>
      </c>
    </row>
    <row r="79">
      <c r="A79" s="34" t="s">
        <v>962</v>
      </c>
      <c r="B79" s="34" t="s">
        <v>4257</v>
      </c>
      <c r="C79" s="34" t="s">
        <v>4258</v>
      </c>
      <c r="D79" s="13" t="str">
        <f t="shared" si="1"/>
        <v>s^-1 T^-1</v>
      </c>
      <c r="E79" s="42">
        <f>countif(Constants!F:F,F79)</f>
        <v>1</v>
      </c>
      <c r="F79" s="47" t="s">
        <v>291</v>
      </c>
      <c r="G79" s="21" t="str">
        <f>IFERROR(__xludf.DUMMYFUNCTION("REGEXREPLACE(substitute(substitute(B79,"" "",""""),""..."",""""),""\(.*\)"","""")"),"1.760859770e11")</f>
        <v>1.760859770e11</v>
      </c>
      <c r="H79" s="43">
        <f t="shared" si="2"/>
        <v>176085977000</v>
      </c>
      <c r="I79" s="21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43">
        <f t="shared" si="3"/>
        <v>44</v>
      </c>
      <c r="K79" s="43" t="b">
        <f t="shared" si="4"/>
        <v>0</v>
      </c>
      <c r="L79" s="21" t="str">
        <f>IFERROR(__xludf.DUMMYFUNCTION("if(regexmatch(B79,""e(.*)$""),regexextract(B79,""e(.*)$""),"""")"),"11")</f>
        <v>11</v>
      </c>
    </row>
    <row r="80">
      <c r="A80" s="34" t="s">
        <v>970</v>
      </c>
      <c r="B80" s="34" t="s">
        <v>4259</v>
      </c>
      <c r="C80" s="34" t="s">
        <v>4260</v>
      </c>
      <c r="D80" s="13" t="str">
        <f t="shared" si="1"/>
        <v>MHz T^-1</v>
      </c>
      <c r="E80" s="42">
        <f>countif(Constants!F:F,F80)</f>
        <v>1</v>
      </c>
      <c r="F80" s="18" t="s">
        <v>3344</v>
      </c>
      <c r="G80" s="21" t="str">
        <f>IFERROR(__xludf.DUMMYFUNCTION("REGEXREPLACE(substitute(substitute(B80,"" "",""""),""..."",""""),""\(.*\)"","""")"),"28024.95364")</f>
        <v>28024.95364</v>
      </c>
      <c r="H80" s="43">
        <f t="shared" si="2"/>
        <v>28024.95364</v>
      </c>
      <c r="I80" s="21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43">
        <f t="shared" si="3"/>
        <v>0.000007</v>
      </c>
      <c r="K80" s="43" t="b">
        <f t="shared" si="4"/>
        <v>0</v>
      </c>
      <c r="L80" s="21" t="str">
        <f>IFERROR(__xludf.DUMMYFUNCTION("if(regexmatch(B80,""e(.*)$""),regexextract(B80,""e(.*)$""),"""")"),"")</f>
        <v/>
      </c>
    </row>
    <row r="81">
      <c r="A81" s="34" t="s">
        <v>980</v>
      </c>
      <c r="B81" s="34" t="s">
        <v>4261</v>
      </c>
      <c r="C81" s="34" t="s">
        <v>4197</v>
      </c>
      <c r="D81" s="13" t="str">
        <f t="shared" si="1"/>
        <v>J T^-1</v>
      </c>
      <c r="E81" s="42">
        <f>countif(Constants!F:F,F81)</f>
        <v>1</v>
      </c>
      <c r="F81" s="47" t="s">
        <v>293</v>
      </c>
      <c r="G81" s="21" t="str">
        <f>IFERROR(__xludf.DUMMYFUNCTION("REGEXREPLACE(substitute(substitute(B81,"" "",""""),""..."",""""),""\(.*\)"","""")"),"-928.476377e-26")</f>
        <v>-928.476377e-26</v>
      </c>
      <c r="H81" s="43">
        <f t="shared" si="2"/>
        <v>0</v>
      </c>
      <c r="I81" s="21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43">
        <f t="shared" si="3"/>
        <v>0</v>
      </c>
      <c r="K81" s="43" t="b">
        <f t="shared" si="4"/>
        <v>0</v>
      </c>
      <c r="L81" s="21" t="str">
        <f>IFERROR(__xludf.DUMMYFUNCTION("if(regexmatch(B81,""e(.*)$""),regexextract(B81,""e(.*)$""),"""")"),"-26")</f>
        <v>-26</v>
      </c>
    </row>
    <row r="82">
      <c r="A82" s="34" t="s">
        <v>985</v>
      </c>
      <c r="B82" s="34" t="s">
        <v>4262</v>
      </c>
      <c r="C82" s="34"/>
      <c r="D82" s="13" t="str">
        <f t="shared" si="1"/>
        <v/>
      </c>
      <c r="E82" s="42">
        <f>countif(Constants!F:F,F82)</f>
        <v>1</v>
      </c>
      <c r="F82" s="47" t="s">
        <v>294</v>
      </c>
      <c r="G82" s="21" t="str">
        <f>IFERROR(__xludf.DUMMYFUNCTION("REGEXREPLACE(substitute(substitute(B82,"" "",""""),""..."",""""),""\(.*\)"","""")"),"1.15965218111e-3")</f>
        <v>1.15965218111e-3</v>
      </c>
      <c r="H82" s="43">
        <f t="shared" si="2"/>
        <v>0.001159652181</v>
      </c>
      <c r="I82" s="21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43">
        <f t="shared" si="3"/>
        <v>0</v>
      </c>
      <c r="K82" s="43" t="b">
        <f t="shared" si="4"/>
        <v>0</v>
      </c>
      <c r="L82" s="21" t="str">
        <f>IFERROR(__xludf.DUMMYFUNCTION("if(regexmatch(B82,""e(.*)$""),regexextract(B82,""e(.*)$""),"""")"),"-3")</f>
        <v>-3</v>
      </c>
    </row>
    <row r="83">
      <c r="A83" s="34" t="s">
        <v>990</v>
      </c>
      <c r="B83" s="34" t="s">
        <v>4263</v>
      </c>
      <c r="C83" s="34"/>
      <c r="D83" s="13" t="str">
        <f t="shared" si="1"/>
        <v/>
      </c>
      <c r="E83" s="42">
        <f>countif(Constants!F:F,F83)</f>
        <v>1</v>
      </c>
      <c r="F83" s="47" t="s">
        <v>295</v>
      </c>
      <c r="G83" s="21" t="str">
        <f>IFERROR(__xludf.DUMMYFUNCTION("REGEXREPLACE(substitute(substitute(B83,"" "",""""),""..."",""""),""\(.*\)"","""")"),"-1.00115965218111")</f>
        <v>-1.00115965218111</v>
      </c>
      <c r="H83" s="43">
        <f t="shared" si="2"/>
        <v>-1.001159652</v>
      </c>
      <c r="I83" s="21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43">
        <f t="shared" si="3"/>
        <v>0</v>
      </c>
      <c r="K83" s="43" t="b">
        <f t="shared" si="4"/>
        <v>0</v>
      </c>
      <c r="L83" s="21" t="str">
        <f>IFERROR(__xludf.DUMMYFUNCTION("if(regexmatch(B83,""e(.*)$""),regexextract(B83,""e(.*)$""),"""")"),"")</f>
        <v/>
      </c>
    </row>
    <row r="84">
      <c r="A84" s="34" t="s">
        <v>995</v>
      </c>
      <c r="B84" s="34" t="s">
        <v>4264</v>
      </c>
      <c r="C84" s="34"/>
      <c r="D84" s="13" t="str">
        <f t="shared" si="1"/>
        <v/>
      </c>
      <c r="E84" s="42">
        <f>countif(Constants!F:F,F84)</f>
        <v>1</v>
      </c>
      <c r="F84" s="47" t="s">
        <v>296</v>
      </c>
      <c r="G84" s="21" t="str">
        <f>IFERROR(__xludf.DUMMYFUNCTION("REGEXREPLACE(substitute(substitute(B84,"" "",""""),""..."",""""),""\(.*\)"","""")"),"-1838.28197092")</f>
        <v>-1838.28197092</v>
      </c>
      <c r="H84" s="43">
        <f t="shared" si="2"/>
        <v>-1838.281971</v>
      </c>
      <c r="I84" s="21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43">
        <f t="shared" si="3"/>
        <v>0.000000008</v>
      </c>
      <c r="K84" s="43" t="b">
        <f t="shared" si="4"/>
        <v>0</v>
      </c>
      <c r="L84" s="21" t="str">
        <f>IFERROR(__xludf.DUMMYFUNCTION("if(regexmatch(B84,""e(.*)$""),regexextract(B84,""e(.*)$""),"""")"),"")</f>
        <v/>
      </c>
    </row>
    <row r="85">
      <c r="A85" s="34" t="s">
        <v>999</v>
      </c>
      <c r="B85" s="34" t="s">
        <v>4202</v>
      </c>
      <c r="C85" s="34" t="s">
        <v>538</v>
      </c>
      <c r="D85" s="13" t="str">
        <f t="shared" si="1"/>
        <v>kg</v>
      </c>
      <c r="E85" s="42">
        <f>countif(Constants!F:F,F85)</f>
        <v>1</v>
      </c>
      <c r="F85" s="21" t="str">
        <f>ifna(VLOOKUP($A85,Constants!$D:$F,3,false),"")</f>
        <v>ElectronMass</v>
      </c>
      <c r="G85" s="21" t="str">
        <f>IFERROR(__xludf.DUMMYFUNCTION("REGEXREPLACE(substitute(substitute(B85,"" "",""""),""..."",""""),""\(.*\)"","""")"),"9.10938215e-31")</f>
        <v>9.10938215e-31</v>
      </c>
      <c r="H85" s="43">
        <f t="shared" si="2"/>
        <v>0</v>
      </c>
      <c r="I85" s="21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43">
        <f t="shared" si="3"/>
        <v>0</v>
      </c>
      <c r="K85" s="43" t="b">
        <f t="shared" si="4"/>
        <v>0</v>
      </c>
      <c r="L85" s="21" t="str">
        <f>IFERROR(__xludf.DUMMYFUNCTION("if(regexmatch(B85,""e(.*)$""),regexextract(B85,""e(.*)$""),"""")"),"-31")</f>
        <v>-31</v>
      </c>
    </row>
    <row r="86">
      <c r="A86" s="34" t="s">
        <v>1004</v>
      </c>
      <c r="B86" s="34" t="s">
        <v>4265</v>
      </c>
      <c r="C86" s="34" t="s">
        <v>543</v>
      </c>
      <c r="D86" s="13" t="str">
        <f t="shared" si="1"/>
        <v>J</v>
      </c>
      <c r="E86" s="42">
        <f>countif(Constants!F:F,F86)</f>
        <v>1</v>
      </c>
      <c r="F86" s="21" t="str">
        <f>ifna(VLOOKUP($A86,Constants!$D:$F,3,false),"")</f>
        <v>ElectronMassEnergyEquivalent</v>
      </c>
      <c r="G86" s="21" t="str">
        <f>IFERROR(__xludf.DUMMYFUNCTION("REGEXREPLACE(substitute(substitute(B86,"" "",""""),""..."",""""),""\(.*\)"","""")"),"8.18710438e-14")</f>
        <v>8.18710438e-14</v>
      </c>
      <c r="H86" s="43">
        <f t="shared" si="2"/>
        <v>0</v>
      </c>
      <c r="I86" s="21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43">
        <f t="shared" si="3"/>
        <v>0</v>
      </c>
      <c r="K86" s="43" t="b">
        <f t="shared" si="4"/>
        <v>0</v>
      </c>
      <c r="L86" s="21" t="str">
        <f>IFERROR(__xludf.DUMMYFUNCTION("if(regexmatch(B86,""e(.*)$""),regexextract(B86,""e(.*)$""),"""")"),"-14")</f>
        <v>-14</v>
      </c>
    </row>
    <row r="87">
      <c r="A87" s="34" t="s">
        <v>1008</v>
      </c>
      <c r="B87" s="34" t="s">
        <v>4266</v>
      </c>
      <c r="C87" s="34" t="s">
        <v>548</v>
      </c>
      <c r="D87" s="13" t="str">
        <f t="shared" si="1"/>
        <v>MeV</v>
      </c>
      <c r="E87" s="42">
        <f>countif(Constants!F:F,F87)</f>
        <v>1</v>
      </c>
      <c r="F87" s="21" t="str">
        <f>ifna(VLOOKUP($A87,Constants!$D:$F,3,false),"")</f>
        <v>ElectronMassEnergyEquivalentInMeV</v>
      </c>
      <c r="G87" s="21" t="str">
        <f>IFERROR(__xludf.DUMMYFUNCTION("REGEXREPLACE(substitute(substitute(B87,"" "",""""),""..."",""""),""\(.*\)"","""")"),"0.510998910")</f>
        <v>0.510998910</v>
      </c>
      <c r="H87" s="43">
        <f t="shared" si="2"/>
        <v>0.51099891</v>
      </c>
      <c r="I87" s="21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43">
        <f t="shared" si="3"/>
        <v>0.00000000013</v>
      </c>
      <c r="K87" s="43" t="b">
        <f t="shared" si="4"/>
        <v>0</v>
      </c>
      <c r="L87" s="21" t="str">
        <f>IFERROR(__xludf.DUMMYFUNCTION("if(regexmatch(B87,""e(.*)$""),regexextract(B87,""e(.*)$""),"""")"),"")</f>
        <v/>
      </c>
    </row>
    <row r="88">
      <c r="A88" s="34" t="s">
        <v>1011</v>
      </c>
      <c r="B88" s="34" t="s">
        <v>4267</v>
      </c>
      <c r="C88" s="34" t="s">
        <v>553</v>
      </c>
      <c r="D88" s="13" t="str">
        <f t="shared" si="1"/>
        <v>u</v>
      </c>
      <c r="E88" s="42">
        <f>countif(Constants!F:F,F88)</f>
        <v>1</v>
      </c>
      <c r="F88" s="21" t="str">
        <f>ifna(VLOOKUP($A88,Constants!$D:$F,3,false),"")</f>
        <v>ElectronMassInAtomicMassUnit</v>
      </c>
      <c r="G88" s="21" t="str">
        <f>IFERROR(__xludf.DUMMYFUNCTION("REGEXREPLACE(substitute(substitute(B88,"" "",""""),""..."",""""),""\(.*\)"","""")"),"5.4857990943e-4")</f>
        <v>5.4857990943e-4</v>
      </c>
      <c r="H88" s="43">
        <f t="shared" si="2"/>
        <v>0.0005485799094</v>
      </c>
      <c r="I88" s="21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43">
        <f t="shared" si="3"/>
        <v>0</v>
      </c>
      <c r="K88" s="43" t="b">
        <f t="shared" si="4"/>
        <v>0</v>
      </c>
      <c r="L88" s="21" t="str">
        <f>IFERROR(__xludf.DUMMYFUNCTION("if(regexmatch(B88,""e(.*)$""),regexextract(B88,""e(.*)$""),"""")"),"-4")</f>
        <v>-4</v>
      </c>
    </row>
    <row r="89">
      <c r="A89" s="34" t="s">
        <v>1014</v>
      </c>
      <c r="B89" s="34" t="s">
        <v>4268</v>
      </c>
      <c r="C89" s="34" t="s">
        <v>4163</v>
      </c>
      <c r="D89" s="13" t="str">
        <f t="shared" si="1"/>
        <v>kg mol^-1</v>
      </c>
      <c r="E89" s="42">
        <f>countif(Constants!F:F,F89)</f>
        <v>1</v>
      </c>
      <c r="F89" s="21" t="str">
        <f>ifna(VLOOKUP($A89,Constants!$D:$F,3,false),"")</f>
        <v>ElectronMolarMass</v>
      </c>
      <c r="G89" s="21" t="str">
        <f>IFERROR(__xludf.DUMMYFUNCTION("REGEXREPLACE(substitute(substitute(B89,"" "",""""),""..."",""""),""\(.*\)"","""")"),"5.4857990943e-7")</f>
        <v>5.4857990943e-7</v>
      </c>
      <c r="H89" s="43">
        <f t="shared" si="2"/>
        <v>0.0000005485799094</v>
      </c>
      <c r="I89" s="21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43">
        <f t="shared" si="3"/>
        <v>0</v>
      </c>
      <c r="K89" s="43" t="b">
        <f t="shared" si="4"/>
        <v>0</v>
      </c>
      <c r="L89" s="21" t="str">
        <f>IFERROR(__xludf.DUMMYFUNCTION("if(regexmatch(B89,""e(.*)$""),regexextract(B89,""e(.*)$""),"""")"),"-7")</f>
        <v>-7</v>
      </c>
    </row>
    <row r="90">
      <c r="A90" s="34" t="s">
        <v>1055</v>
      </c>
      <c r="B90" s="34" t="s">
        <v>4269</v>
      </c>
      <c r="C90" s="34"/>
      <c r="D90" s="13" t="str">
        <f t="shared" si="1"/>
        <v/>
      </c>
      <c r="E90" s="42">
        <f>countif(Constants!F:F,F90)</f>
        <v>1</v>
      </c>
      <c r="F90" s="21" t="str">
        <f>ifna(VLOOKUP($A90,Constants!$D:$F,3,false),"")</f>
        <v>ElectronToAlphaParticleMassRatio</v>
      </c>
      <c r="G90" s="21" t="str">
        <f>IFERROR(__xludf.DUMMYFUNCTION("REGEXREPLACE(substitute(substitute(B90,"" "",""""),""..."",""""),""\(.*\)"","""")"),"1.37093355570e-4")</f>
        <v>1.37093355570e-4</v>
      </c>
      <c r="H90" s="43">
        <f t="shared" si="2"/>
        <v>0.0001370933556</v>
      </c>
      <c r="I90" s="21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43">
        <f t="shared" si="3"/>
        <v>0</v>
      </c>
      <c r="K90" s="43" t="b">
        <f t="shared" si="4"/>
        <v>0</v>
      </c>
      <c r="L90" s="21" t="str">
        <f>IFERROR(__xludf.DUMMYFUNCTION("if(regexmatch(B90,""e(.*)$""),regexextract(B90,""e(.*)$""),"""")"),"-4")</f>
        <v>-4</v>
      </c>
    </row>
    <row r="91">
      <c r="A91" s="34" t="s">
        <v>1060</v>
      </c>
      <c r="B91" s="34" t="s">
        <v>4270</v>
      </c>
      <c r="C91" s="34"/>
      <c r="D91" s="13" t="str">
        <f t="shared" si="1"/>
        <v/>
      </c>
      <c r="E91" s="42">
        <f>countif(Constants!F:F,F91)</f>
        <v>1</v>
      </c>
      <c r="F91" s="47" t="s">
        <v>307</v>
      </c>
      <c r="G91" s="21" t="str">
        <f>IFERROR(__xludf.DUMMYFUNCTION("REGEXREPLACE(substitute(substitute(B91,"" "",""""),""..."",""""),""\(.*\)"","""")"),"864.058257")</f>
        <v>864.058257</v>
      </c>
      <c r="H91" s="43">
        <f t="shared" si="2"/>
        <v>864.058257</v>
      </c>
      <c r="I91" s="21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43">
        <f t="shared" si="3"/>
        <v>0.0000001</v>
      </c>
      <c r="K91" s="43" t="b">
        <f t="shared" si="4"/>
        <v>0</v>
      </c>
      <c r="L91" s="21" t="str">
        <f>IFERROR(__xludf.DUMMYFUNCTION("if(regexmatch(B91,""e(.*)$""),regexextract(B91,""e(.*)$""),"""")"),"")</f>
        <v/>
      </c>
    </row>
    <row r="92">
      <c r="A92" s="34" t="s">
        <v>1065</v>
      </c>
      <c r="B92" s="34" t="s">
        <v>4271</v>
      </c>
      <c r="C92" s="34"/>
      <c r="D92" s="13" t="str">
        <f t="shared" si="1"/>
        <v/>
      </c>
      <c r="E92" s="42">
        <f>countif(Constants!F:F,F92)</f>
        <v>1</v>
      </c>
      <c r="F92" s="47" t="s">
        <v>308</v>
      </c>
      <c r="G92" s="21" t="str">
        <f>IFERROR(__xludf.DUMMYFUNCTION("REGEXREPLACE(substitute(substitute(B92,"" "",""""),""..."",""""),""\(.*\)"","""")"),"-658.2275971")</f>
        <v>-658.2275971</v>
      </c>
      <c r="H92" s="43">
        <f t="shared" si="2"/>
        <v>-658.2275971</v>
      </c>
      <c r="I92" s="21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43">
        <f t="shared" si="3"/>
        <v>0.000000072</v>
      </c>
      <c r="K92" s="43" t="b">
        <f t="shared" si="4"/>
        <v>0</v>
      </c>
      <c r="L92" s="21" t="str">
        <f>IFERROR(__xludf.DUMMYFUNCTION("if(regexmatch(B92,""e(.*)$""),regexextract(B92,""e(.*)$""),"""")"),"")</f>
        <v/>
      </c>
    </row>
    <row r="93">
      <c r="A93" s="34" t="s">
        <v>1073</v>
      </c>
      <c r="B93" s="34" t="s">
        <v>4272</v>
      </c>
      <c r="C93" s="34" t="s">
        <v>543</v>
      </c>
      <c r="D93" s="13" t="str">
        <f t="shared" si="1"/>
        <v>J</v>
      </c>
      <c r="E93" s="42">
        <f>countif(Constants!F:F,F93)</f>
        <v>1</v>
      </c>
      <c r="F93" s="21" t="str">
        <f>ifna(VLOOKUP($A93,Constants!$D:$F,3,false),"")</f>
        <v>ElectronVolt</v>
      </c>
      <c r="G93" s="21" t="str">
        <f>IFERROR(__xludf.DUMMYFUNCTION("REGEXREPLACE(substitute(substitute(B93,"" "",""""),""..."",""""),""\(.*\)"","""")"),"1.602176487e-19")</f>
        <v>1.602176487e-19</v>
      </c>
      <c r="H93" s="43">
        <f t="shared" si="2"/>
        <v>0</v>
      </c>
      <c r="I93" s="21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43">
        <f t="shared" si="3"/>
        <v>0</v>
      </c>
      <c r="K93" s="43" t="b">
        <f t="shared" si="4"/>
        <v>0</v>
      </c>
      <c r="L93" s="21" t="str">
        <f>IFERROR(__xludf.DUMMYFUNCTION("if(regexmatch(B93,""e(.*)$""),regexextract(B93,""e(.*)$""),"""")"),"-19")</f>
        <v>-19</v>
      </c>
    </row>
    <row r="94">
      <c r="A94" s="34" t="s">
        <v>1078</v>
      </c>
      <c r="B94" s="34" t="s">
        <v>4273</v>
      </c>
      <c r="C94" s="34" t="s">
        <v>553</v>
      </c>
      <c r="D94" s="13" t="str">
        <f t="shared" si="1"/>
        <v>u</v>
      </c>
      <c r="E94" s="42">
        <f>countif(Constants!F:F,F94)</f>
        <v>1</v>
      </c>
      <c r="F94" s="21" t="str">
        <f>ifna(VLOOKUP($A94,Constants!$D:$F,3,false),"")</f>
        <v>ElectronVoltAtomicMassUnitRelationship</v>
      </c>
      <c r="G94" s="21" t="str">
        <f>IFERROR(__xludf.DUMMYFUNCTION("REGEXREPLACE(substitute(substitute(B94,"" "",""""),""..."",""""),""\(.*\)"","""")"),"1.073544188e-9")</f>
        <v>1.073544188e-9</v>
      </c>
      <c r="H94" s="43">
        <f t="shared" si="2"/>
        <v>0.000000001073544188</v>
      </c>
      <c r="I94" s="21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43">
        <f t="shared" si="3"/>
        <v>0</v>
      </c>
      <c r="K94" s="43" t="b">
        <f t="shared" si="4"/>
        <v>0</v>
      </c>
      <c r="L94" s="21" t="str">
        <f>IFERROR(__xludf.DUMMYFUNCTION("if(regexmatch(B94,""e(.*)$""),regexextract(B94,""e(.*)$""),"""")"),"-9")</f>
        <v>-9</v>
      </c>
    </row>
    <row r="95">
      <c r="A95" s="34" t="s">
        <v>1084</v>
      </c>
      <c r="B95" s="34" t="s">
        <v>4274</v>
      </c>
      <c r="C95" s="34" t="s">
        <v>593</v>
      </c>
      <c r="D95" s="13" t="str">
        <f t="shared" si="1"/>
        <v>E_h</v>
      </c>
      <c r="E95" s="42">
        <f>countif(Constants!F:F,F95)</f>
        <v>1</v>
      </c>
      <c r="F95" s="21" t="str">
        <f>ifna(VLOOKUP($A95,Constants!$D:$F,3,false),"")</f>
        <v>ElectronVoltHartreeRelationship</v>
      </c>
      <c r="G95" s="21" t="str">
        <f>IFERROR(__xludf.DUMMYFUNCTION("REGEXREPLACE(substitute(substitute(B95,"" "",""""),""..."",""""),""\(.*\)"","""")"),"3.674932540e-2")</f>
        <v>3.674932540e-2</v>
      </c>
      <c r="H95" s="43">
        <f t="shared" si="2"/>
        <v>0.0367493254</v>
      </c>
      <c r="I95" s="21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43">
        <f t="shared" si="3"/>
        <v>0</v>
      </c>
      <c r="K95" s="43" t="b">
        <f t="shared" si="4"/>
        <v>0</v>
      </c>
      <c r="L95" s="21" t="str">
        <f>IFERROR(__xludf.DUMMYFUNCTION("if(regexmatch(B95,""e(.*)$""),regexextract(B95,""e(.*)$""),"""")"),"-2")</f>
        <v>-2</v>
      </c>
    </row>
    <row r="96">
      <c r="A96" s="34" t="s">
        <v>1090</v>
      </c>
      <c r="B96" s="34" t="s">
        <v>4275</v>
      </c>
      <c r="C96" s="34" t="s">
        <v>600</v>
      </c>
      <c r="D96" s="13" t="str">
        <f t="shared" si="1"/>
        <v>Hz</v>
      </c>
      <c r="E96" s="42">
        <f>countif(Constants!F:F,F96)</f>
        <v>1</v>
      </c>
      <c r="F96" s="21" t="str">
        <f>ifna(VLOOKUP($A96,Constants!$D:$F,3,false),"")</f>
        <v>ElectronVoltHertzRelationship</v>
      </c>
      <c r="G96" s="21" t="str">
        <f>IFERROR(__xludf.DUMMYFUNCTION("REGEXREPLACE(substitute(substitute(B96,"" "",""""),""..."",""""),""\(.*\)"","""")"),"2.417989454e14")</f>
        <v>2.417989454e14</v>
      </c>
      <c r="H96" s="43">
        <f t="shared" si="2"/>
        <v>241798945400000</v>
      </c>
      <c r="I96" s="21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43">
        <f t="shared" si="3"/>
        <v>60000</v>
      </c>
      <c r="K96" s="43" t="b">
        <f t="shared" si="4"/>
        <v>0</v>
      </c>
      <c r="L96" s="21" t="str">
        <f>IFERROR(__xludf.DUMMYFUNCTION("if(regexmatch(B96,""e(.*)$""),regexextract(B96,""e(.*)$""),"""")"),"14")</f>
        <v>14</v>
      </c>
    </row>
    <row r="97">
      <c r="A97" s="34" t="s">
        <v>1096</v>
      </c>
      <c r="B97" s="34" t="s">
        <v>4276</v>
      </c>
      <c r="C97" s="34" t="s">
        <v>4174</v>
      </c>
      <c r="D97" s="13" t="str">
        <f t="shared" si="1"/>
        <v>m^-1</v>
      </c>
      <c r="E97" s="42">
        <f>countif(Constants!F:F,F97)</f>
        <v>1</v>
      </c>
      <c r="F97" s="21" t="str">
        <f>ifna(VLOOKUP($A97,Constants!$D:$F,3,false),"")</f>
        <v>ElectronVoltInverseMeterRelationship</v>
      </c>
      <c r="G97" s="21" t="str">
        <f>IFERROR(__xludf.DUMMYFUNCTION("REGEXREPLACE(substitute(substitute(B97,"" "",""""),""..."",""""),""\(.*\)"","""")"),"8.06554465e5")</f>
        <v>8.06554465e5</v>
      </c>
      <c r="H97" s="43">
        <f t="shared" si="2"/>
        <v>806554.465</v>
      </c>
      <c r="I97" s="21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43">
        <f t="shared" si="3"/>
        <v>0.0002</v>
      </c>
      <c r="K97" s="43" t="b">
        <f t="shared" si="4"/>
        <v>0</v>
      </c>
      <c r="L97" s="21" t="str">
        <f>IFERROR(__xludf.DUMMYFUNCTION("if(regexmatch(B97,""e(.*)$""),regexextract(B97,""e(.*)$""),"""")"),"5")</f>
        <v>5</v>
      </c>
    </row>
    <row r="98">
      <c r="A98" s="34" t="s">
        <v>1102</v>
      </c>
      <c r="B98" s="34" t="s">
        <v>4272</v>
      </c>
      <c r="C98" s="34" t="s">
        <v>543</v>
      </c>
      <c r="D98" s="13" t="str">
        <f t="shared" si="1"/>
        <v>J</v>
      </c>
      <c r="E98" s="42">
        <f>countif(Constants!F:F,F98)</f>
        <v>1</v>
      </c>
      <c r="F98" s="21" t="str">
        <f>ifna(VLOOKUP($A98,Constants!$D:$F,3,false),"")</f>
        <v>ElectronVoltJouleRelationship</v>
      </c>
      <c r="G98" s="21" t="str">
        <f>IFERROR(__xludf.DUMMYFUNCTION("REGEXREPLACE(substitute(substitute(B98,"" "",""""),""..."",""""),""\(.*\)"","""")"),"1.602176487e-19")</f>
        <v>1.602176487e-19</v>
      </c>
      <c r="H98" s="43">
        <f t="shared" si="2"/>
        <v>0</v>
      </c>
      <c r="I98" s="21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43">
        <f t="shared" si="3"/>
        <v>0</v>
      </c>
      <c r="K98" s="43" t="b">
        <f t="shared" si="4"/>
        <v>0</v>
      </c>
      <c r="L98" s="21" t="str">
        <f>IFERROR(__xludf.DUMMYFUNCTION("if(regexmatch(B98,""e(.*)$""),regexextract(B98,""e(.*)$""),"""")"),"-19")</f>
        <v>-19</v>
      </c>
    </row>
    <row r="99">
      <c r="A99" s="34" t="s">
        <v>1108</v>
      </c>
      <c r="B99" s="34" t="s">
        <v>4277</v>
      </c>
      <c r="C99" s="34" t="s">
        <v>618</v>
      </c>
      <c r="D99" s="13" t="str">
        <f t="shared" si="1"/>
        <v>K</v>
      </c>
      <c r="E99" s="42">
        <f>countif(Constants!F:F,F99)</f>
        <v>1</v>
      </c>
      <c r="F99" s="21" t="str">
        <f>ifna(VLOOKUP($A99,Constants!$D:$F,3,false),"")</f>
        <v>ElectronVoltKelvinRelationship</v>
      </c>
      <c r="G99" s="21" t="str">
        <f>IFERROR(__xludf.DUMMYFUNCTION("REGEXREPLACE(substitute(substitute(B99,"" "",""""),""..."",""""),""\(.*\)"","""")"),"1.1604505e4")</f>
        <v>1.1604505e4</v>
      </c>
      <c r="H99" s="43">
        <f t="shared" si="2"/>
        <v>11604.505</v>
      </c>
      <c r="I99" s="21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43">
        <f t="shared" si="3"/>
        <v>0.0002</v>
      </c>
      <c r="K99" s="43" t="b">
        <f t="shared" si="4"/>
        <v>0</v>
      </c>
      <c r="L99" s="21" t="str">
        <f>IFERROR(__xludf.DUMMYFUNCTION("if(regexmatch(B99,""e(.*)$""),regexextract(B99,""e(.*)$""),"""")"),"4")</f>
        <v>4</v>
      </c>
    </row>
    <row r="100">
      <c r="A100" s="34" t="s">
        <v>1114</v>
      </c>
      <c r="B100" s="34" t="s">
        <v>4278</v>
      </c>
      <c r="C100" s="34" t="s">
        <v>538</v>
      </c>
      <c r="D100" s="13" t="str">
        <f t="shared" si="1"/>
        <v>kg</v>
      </c>
      <c r="E100" s="42">
        <f>countif(Constants!F:F,F100)</f>
        <v>1</v>
      </c>
      <c r="F100" s="21" t="str">
        <f>ifna(VLOOKUP($A100,Constants!$D:$F,3,false),"")</f>
        <v>ElectronVoltKilogramRelationship</v>
      </c>
      <c r="G100" s="21" t="str">
        <f>IFERROR(__xludf.DUMMYFUNCTION("REGEXREPLACE(substitute(substitute(B100,"" "",""""),""..."",""""),""\(.*\)"","""")"),"1.782661758e-36")</f>
        <v>1.782661758e-36</v>
      </c>
      <c r="H100" s="43">
        <f t="shared" si="2"/>
        <v>0</v>
      </c>
      <c r="I100" s="21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43">
        <f t="shared" si="3"/>
        <v>0</v>
      </c>
      <c r="K100" s="43" t="b">
        <f t="shared" si="4"/>
        <v>0</v>
      </c>
      <c r="L100" s="21" t="str">
        <f>IFERROR(__xludf.DUMMYFUNCTION("if(regexmatch(B100,""e(.*)$""),regexextract(B100,""e(.*)$""),"""")"),"-36")</f>
        <v>-36</v>
      </c>
    </row>
    <row r="101">
      <c r="A101" s="34" t="s">
        <v>4279</v>
      </c>
      <c r="B101" s="34" t="s">
        <v>4280</v>
      </c>
      <c r="C101" s="34"/>
      <c r="D101" s="13" t="str">
        <f t="shared" si="1"/>
        <v/>
      </c>
      <c r="E101" s="42">
        <f>countif(Constants!F:F,F101)</f>
        <v>1</v>
      </c>
      <c r="F101" s="47" t="s">
        <v>288</v>
      </c>
      <c r="G101" s="21" t="str">
        <f>IFERROR(__xludf.DUMMYFUNCTION("REGEXREPLACE(substitute(substitute(B101,"" "",""""),""..."",""""),""\(.*\)"","""")"),"-2143.923498")</f>
        <v>-2143.923498</v>
      </c>
      <c r="H101" s="43">
        <f t="shared" si="2"/>
        <v>-2143.923498</v>
      </c>
      <c r="I101" s="21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43">
        <f t="shared" si="3"/>
        <v>0.00000018</v>
      </c>
      <c r="K101" s="43" t="b">
        <f t="shared" si="4"/>
        <v>0</v>
      </c>
      <c r="L101" s="21" t="str">
        <f>IFERROR(__xludf.DUMMYFUNCTION("if(regexmatch(B101,""e(.*)$""),regexextract(B101,""e(.*)$""),"""")"),"")</f>
        <v/>
      </c>
    </row>
    <row r="102">
      <c r="A102" s="34" t="s">
        <v>951</v>
      </c>
      <c r="B102" s="34" t="s">
        <v>4281</v>
      </c>
      <c r="C102" s="34"/>
      <c r="D102" s="13" t="str">
        <f t="shared" si="1"/>
        <v/>
      </c>
      <c r="E102" s="42">
        <f>countif(Constants!F:F,F102)</f>
        <v>1</v>
      </c>
      <c r="F102" s="21" t="str">
        <f>ifna(VLOOKUP($A102,Constants!$D:$F,3,false),"")</f>
        <v>ElectronDeuteronMassRatio</v>
      </c>
      <c r="G102" s="21" t="str">
        <f>IFERROR(__xludf.DUMMYFUNCTION("REGEXREPLACE(substitute(substitute(B102,"" "",""""),""..."",""""),""\(.*\)"","""")"),"2.7244371093e-4")</f>
        <v>2.7244371093e-4</v>
      </c>
      <c r="H102" s="43">
        <f t="shared" si="2"/>
        <v>0.0002724437109</v>
      </c>
      <c r="I102" s="21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43">
        <f t="shared" si="3"/>
        <v>0</v>
      </c>
      <c r="K102" s="43" t="b">
        <f t="shared" si="4"/>
        <v>0</v>
      </c>
      <c r="L102" s="21" t="str">
        <f>IFERROR(__xludf.DUMMYFUNCTION("if(regexmatch(B102,""e(.*)$""),regexextract(B102,""e(.*)$""),"""")"),"-4")</f>
        <v>-4</v>
      </c>
    </row>
    <row r="103">
      <c r="A103" s="34" t="s">
        <v>4282</v>
      </c>
      <c r="B103" s="34" t="s">
        <v>4283</v>
      </c>
      <c r="C103" s="34"/>
      <c r="D103" s="13" t="str">
        <f t="shared" si="1"/>
        <v/>
      </c>
      <c r="E103" s="42">
        <f>countif(Constants!F:F,F103)</f>
        <v>1</v>
      </c>
      <c r="F103" s="47" t="s">
        <v>298</v>
      </c>
      <c r="G103" s="21" t="str">
        <f>IFERROR(__xludf.DUMMYFUNCTION("REGEXREPLACE(substitute(substitute(B103,"" "",""""),""..."",""""),""\(.*\)"","""")"),"206.7669877")</f>
        <v>206.7669877</v>
      </c>
      <c r="H103" s="43">
        <f t="shared" si="2"/>
        <v>206.7669877</v>
      </c>
      <c r="I103" s="21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43">
        <f t="shared" si="3"/>
        <v>0.000000052</v>
      </c>
      <c r="K103" s="43" t="b">
        <f t="shared" si="4"/>
        <v>0</v>
      </c>
      <c r="L103" s="21" t="str">
        <f>IFERROR(__xludf.DUMMYFUNCTION("if(regexmatch(B103,""e(.*)$""),regexextract(B103,""e(.*)$""),"""")"),"")</f>
        <v/>
      </c>
    </row>
    <row r="104">
      <c r="A104" s="34" t="s">
        <v>1023</v>
      </c>
      <c r="B104" s="34" t="s">
        <v>4284</v>
      </c>
      <c r="C104" s="34"/>
      <c r="D104" s="13" t="str">
        <f t="shared" si="1"/>
        <v/>
      </c>
      <c r="E104" s="42">
        <f>countif(Constants!F:F,F104)</f>
        <v>1</v>
      </c>
      <c r="F104" s="21" t="str">
        <f>ifna(VLOOKUP($A104,Constants!$D:$F,3,false),"")</f>
        <v>ElectronMuonMassRatio</v>
      </c>
      <c r="G104" s="21" t="str">
        <f>IFERROR(__xludf.DUMMYFUNCTION("REGEXREPLACE(substitute(substitute(B104,"" "",""""),""..."",""""),""\(.*\)"","""")"),"4.83633171e-3")</f>
        <v>4.83633171e-3</v>
      </c>
      <c r="H104" s="43">
        <f t="shared" si="2"/>
        <v>0.00483633171</v>
      </c>
      <c r="I104" s="21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43">
        <f t="shared" si="3"/>
        <v>0</v>
      </c>
      <c r="K104" s="43" t="b">
        <f t="shared" si="4"/>
        <v>0</v>
      </c>
      <c r="L104" s="21" t="str">
        <f>IFERROR(__xludf.DUMMYFUNCTION("if(regexmatch(B104,""e(.*)$""),regexextract(B104,""e(.*)$""),"""")"),"-3")</f>
        <v>-3</v>
      </c>
    </row>
    <row r="105">
      <c r="A105" s="34" t="s">
        <v>4285</v>
      </c>
      <c r="B105" s="34" t="s">
        <v>4286</v>
      </c>
      <c r="C105" s="34"/>
      <c r="D105" s="13" t="str">
        <f t="shared" si="1"/>
        <v/>
      </c>
      <c r="E105" s="42">
        <f>countif(Constants!F:F,F105)</f>
        <v>1</v>
      </c>
      <c r="F105" s="47" t="s">
        <v>300</v>
      </c>
      <c r="G105" s="21" t="str">
        <f>IFERROR(__xludf.DUMMYFUNCTION("REGEXREPLACE(substitute(substitute(B105,"" "",""""),""..."",""""),""\(.*\)"","""")"),"960.92050")</f>
        <v>960.92050</v>
      </c>
      <c r="H105" s="43">
        <f t="shared" si="2"/>
        <v>960.9205</v>
      </c>
      <c r="I105" s="21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43">
        <f t="shared" si="3"/>
        <v>0.0000023</v>
      </c>
      <c r="K105" s="43" t="b">
        <f t="shared" si="4"/>
        <v>0</v>
      </c>
      <c r="L105" s="21" t="str">
        <f>IFERROR(__xludf.DUMMYFUNCTION("if(regexmatch(B105,""e(.*)$""),regexextract(B105,""e(.*)$""),"""")"),"")</f>
        <v/>
      </c>
    </row>
    <row r="106">
      <c r="A106" s="34" t="s">
        <v>1033</v>
      </c>
      <c r="B106" s="34" t="s">
        <v>4287</v>
      </c>
      <c r="C106" s="34"/>
      <c r="D106" s="13" t="str">
        <f t="shared" si="1"/>
        <v/>
      </c>
      <c r="E106" s="42">
        <f>countif(Constants!F:F,F106)</f>
        <v>1</v>
      </c>
      <c r="F106" s="21" t="str">
        <f>ifna(VLOOKUP($A106,Constants!$D:$F,3,false),"")</f>
        <v>ElectronNeutronMassRatio</v>
      </c>
      <c r="G106" s="21" t="str">
        <f>IFERROR(__xludf.DUMMYFUNCTION("REGEXREPLACE(substitute(substitute(B106,"" "",""""),""..."",""""),""\(.*\)"","""")"),"5.4386734459e-4")</f>
        <v>5.4386734459e-4</v>
      </c>
      <c r="H106" s="43">
        <f t="shared" si="2"/>
        <v>0.0005438673446</v>
      </c>
      <c r="I106" s="21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43">
        <f t="shared" si="3"/>
        <v>0</v>
      </c>
      <c r="K106" s="43" t="b">
        <f t="shared" si="4"/>
        <v>0</v>
      </c>
      <c r="L106" s="21" t="str">
        <f>IFERROR(__xludf.DUMMYFUNCTION("if(regexmatch(B106,""e(.*)$""),regexextract(B106,""e(.*)$""),"""")"),"-4")</f>
        <v>-4</v>
      </c>
    </row>
    <row r="107">
      <c r="A107" s="34" t="s">
        <v>4288</v>
      </c>
      <c r="B107" s="34" t="s">
        <v>4289</v>
      </c>
      <c r="C107" s="34"/>
      <c r="D107" s="13" t="str">
        <f t="shared" si="1"/>
        <v/>
      </c>
      <c r="E107" s="42">
        <f>countif(Constants!F:F,F107)</f>
        <v>1</v>
      </c>
      <c r="F107" s="47" t="s">
        <v>302</v>
      </c>
      <c r="G107" s="21" t="str">
        <f>IFERROR(__xludf.DUMMYFUNCTION("REGEXREPLACE(substitute(substitute(B107,"" "",""""),""..."",""""),""\(.*\)"","""")"),"-658.2106848")</f>
        <v>-658.2106848</v>
      </c>
      <c r="H107" s="43">
        <f t="shared" si="2"/>
        <v>-658.2106848</v>
      </c>
      <c r="I107" s="21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43">
        <f t="shared" si="3"/>
        <v>0.000000054</v>
      </c>
      <c r="K107" s="43" t="b">
        <f t="shared" si="4"/>
        <v>0</v>
      </c>
      <c r="L107" s="21" t="str">
        <f>IFERROR(__xludf.DUMMYFUNCTION("if(regexmatch(B107,""e(.*)$""),regexextract(B107,""e(.*)$""),"""")"),"")</f>
        <v/>
      </c>
    </row>
    <row r="108">
      <c r="A108" s="34" t="s">
        <v>1043</v>
      </c>
      <c r="B108" s="34" t="s">
        <v>4290</v>
      </c>
      <c r="C108" s="34"/>
      <c r="D108" s="13" t="str">
        <f t="shared" si="1"/>
        <v/>
      </c>
      <c r="E108" s="42">
        <f>countif(Constants!F:F,F108)</f>
        <v>1</v>
      </c>
      <c r="F108" s="21" t="str">
        <f>ifna(VLOOKUP($A108,Constants!$D:$F,3,false),"")</f>
        <v>ElectronProtonMassRatio</v>
      </c>
      <c r="G108" s="21" t="str">
        <f>IFERROR(__xludf.DUMMYFUNCTION("REGEXREPLACE(substitute(substitute(B108,"" "",""""),""..."",""""),""\(.*\)"","""")"),"5.4461702177e-4")</f>
        <v>5.4461702177e-4</v>
      </c>
      <c r="H108" s="43">
        <f t="shared" si="2"/>
        <v>0.0005446170218</v>
      </c>
      <c r="I108" s="21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43">
        <f t="shared" si="3"/>
        <v>0</v>
      </c>
      <c r="K108" s="43" t="b">
        <f t="shared" si="4"/>
        <v>0</v>
      </c>
      <c r="L108" s="21" t="str">
        <f>IFERROR(__xludf.DUMMYFUNCTION("if(regexmatch(B108,""e(.*)$""),regexextract(B108,""e(.*)$""),"""")"),"-4")</f>
        <v>-4</v>
      </c>
    </row>
    <row r="109">
      <c r="A109" s="34" t="s">
        <v>1051</v>
      </c>
      <c r="B109" s="34" t="s">
        <v>4291</v>
      </c>
      <c r="C109" s="34"/>
      <c r="D109" s="13" t="str">
        <f t="shared" si="1"/>
        <v/>
      </c>
      <c r="E109" s="42">
        <f>countif(Constants!F:F,F109)</f>
        <v>1</v>
      </c>
      <c r="F109" s="21" t="str">
        <f>ifna(VLOOKUP($A109,Constants!$D:$F,3,false),"")</f>
        <v>ElectronTauMassRatio</v>
      </c>
      <c r="G109" s="21" t="str">
        <f>IFERROR(__xludf.DUMMYFUNCTION("REGEXREPLACE(substitute(substitute(B109,"" "",""""),""..."",""""),""\(.*\)"","""")"),"2.87564e-4")</f>
        <v>2.87564e-4</v>
      </c>
      <c r="H109" s="43">
        <f t="shared" si="2"/>
        <v>0.000287564</v>
      </c>
      <c r="I109" s="21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43">
        <f t="shared" si="3"/>
        <v>0.00000000047</v>
      </c>
      <c r="K109" s="43" t="b">
        <f t="shared" si="4"/>
        <v>0</v>
      </c>
      <c r="L109" s="21" t="str">
        <f>IFERROR(__xludf.DUMMYFUNCTION("if(regexmatch(B109,""e(.*)$""),regexextract(B109,""e(.*)$""),"""")"),"-4")</f>
        <v>-4</v>
      </c>
    </row>
    <row r="110">
      <c r="A110" s="34" t="s">
        <v>3384</v>
      </c>
      <c r="B110" s="34" t="s">
        <v>4275</v>
      </c>
      <c r="C110" s="34" t="s">
        <v>4292</v>
      </c>
      <c r="D110" s="13" t="str">
        <f t="shared" si="1"/>
        <v>A J^-1</v>
      </c>
      <c r="E110" s="42">
        <f>countif(Constants!F:F,F110)</f>
        <v>1</v>
      </c>
      <c r="F110" s="47" t="s">
        <v>317</v>
      </c>
      <c r="G110" s="21" t="str">
        <f>IFERROR(__xludf.DUMMYFUNCTION("REGEXREPLACE(substitute(substitute(B110,"" "",""""),""..."",""""),""\(.*\)"","""")"),"2.417989454e14")</f>
        <v>2.417989454e14</v>
      </c>
      <c r="H110" s="43">
        <f t="shared" si="2"/>
        <v>241798945400000</v>
      </c>
      <c r="I110" s="21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43">
        <f t="shared" si="3"/>
        <v>60000</v>
      </c>
      <c r="K110" s="43" t="b">
        <f t="shared" si="4"/>
        <v>0</v>
      </c>
      <c r="L110" s="21" t="str">
        <f>IFERROR(__xludf.DUMMYFUNCTION("if(regexmatch(B110,""e(.*)$""),regexextract(B110,""e(.*)$""),"""")"),"14")</f>
        <v>14</v>
      </c>
    </row>
    <row r="111">
      <c r="A111" s="34" t="s">
        <v>1129</v>
      </c>
      <c r="B111" s="34" t="s">
        <v>4293</v>
      </c>
      <c r="C111" s="34" t="s">
        <v>4294</v>
      </c>
      <c r="D111" s="13" t="str">
        <f t="shared" si="1"/>
        <v>C mol^-1</v>
      </c>
      <c r="E111" s="42">
        <f>countif(Constants!F:F,F111)</f>
        <v>1</v>
      </c>
      <c r="F111" s="21" t="str">
        <f>ifna(VLOOKUP($A111,Constants!$D:$F,3,false),"")</f>
        <v>FaradayConstant</v>
      </c>
      <c r="G111" s="21" t="str">
        <f>IFERROR(__xludf.DUMMYFUNCTION("REGEXREPLACE(substitute(substitute(B111,"" "",""""),""..."",""""),""\(.*\)"","""")"),"96485.3399")</f>
        <v>96485.3399</v>
      </c>
      <c r="H111" s="43">
        <f t="shared" si="2"/>
        <v>96485.3399</v>
      </c>
      <c r="I111" s="21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43">
        <f t="shared" si="3"/>
        <v>0.000024</v>
      </c>
      <c r="K111" s="43" t="b">
        <f t="shared" si="4"/>
        <v>0</v>
      </c>
      <c r="L111" s="21" t="str">
        <f>IFERROR(__xludf.DUMMYFUNCTION("if(regexmatch(B111,""e(.*)$""),regexextract(B111,""e(.*)$""),"""")"),"")</f>
        <v/>
      </c>
    </row>
    <row r="112">
      <c r="A112" s="34" t="s">
        <v>1135</v>
      </c>
      <c r="B112" s="34" t="s">
        <v>4295</v>
      </c>
      <c r="C112" s="34" t="s">
        <v>4296</v>
      </c>
      <c r="D112" s="13" t="str">
        <f t="shared" si="1"/>
        <v>C_90 mol^-1</v>
      </c>
      <c r="E112" s="42">
        <f>countif(Constants!F:F,F112)</f>
        <v>1</v>
      </c>
      <c r="F112" s="21" t="str">
        <f>ifna(VLOOKUP($A112,Constants!$D:$F,3,false),"")</f>
        <v>FaradayConstantConventionalElectricCurrent</v>
      </c>
      <c r="G112" s="21" t="str">
        <f>IFERROR(__xludf.DUMMYFUNCTION("REGEXREPLACE(substitute(substitute(B112,"" "",""""),""..."",""""),""\(.*\)"","""")"),"96485.3401")</f>
        <v>96485.3401</v>
      </c>
      <c r="H112" s="43">
        <f t="shared" si="2"/>
        <v>96485.3401</v>
      </c>
      <c r="I112" s="21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43">
        <f t="shared" si="3"/>
        <v>0.000048</v>
      </c>
      <c r="K112" s="43" t="b">
        <f t="shared" si="4"/>
        <v>0</v>
      </c>
      <c r="L112" s="21" t="str">
        <f>IFERROR(__xludf.DUMMYFUNCTION("if(regexmatch(B112,""e(.*)$""),regexextract(B112,""e(.*)$""),"""")"),"")</f>
        <v/>
      </c>
    </row>
    <row r="113">
      <c r="A113" s="34" t="s">
        <v>1140</v>
      </c>
      <c r="B113" s="34" t="s">
        <v>4297</v>
      </c>
      <c r="C113" s="34" t="s">
        <v>4298</v>
      </c>
      <c r="D113" s="13" t="str">
        <f t="shared" si="1"/>
        <v>GeV^-2</v>
      </c>
      <c r="E113" s="42">
        <f>countif(Constants!F:F,F113)</f>
        <v>1</v>
      </c>
      <c r="F113" s="21" t="str">
        <f>ifna(VLOOKUP($A113,Constants!$D:$F,3,false),"")</f>
        <v>FermiCouplingConstant</v>
      </c>
      <c r="G113" s="21" t="str">
        <f>IFERROR(__xludf.DUMMYFUNCTION("REGEXREPLACE(substitute(substitute(B113,"" "",""""),""..."",""""),""\(.*\)"","""")"),"1.16637e-5")</f>
        <v>1.16637e-5</v>
      </c>
      <c r="H113" s="43">
        <f t="shared" si="2"/>
        <v>0.0000116637</v>
      </c>
      <c r="I113" s="21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43">
        <f t="shared" si="3"/>
        <v>0</v>
      </c>
      <c r="K113" s="43" t="b">
        <f t="shared" si="4"/>
        <v>0</v>
      </c>
      <c r="L113" s="21" t="str">
        <f>IFERROR(__xludf.DUMMYFUNCTION("if(regexmatch(B113,""e(.*)$""),regexextract(B113,""e(.*)$""),"""")"),"-5")</f>
        <v>-5</v>
      </c>
    </row>
    <row r="114">
      <c r="A114" s="34" t="s">
        <v>1146</v>
      </c>
      <c r="B114" s="34" t="s">
        <v>4299</v>
      </c>
      <c r="C114" s="34"/>
      <c r="D114" s="13" t="str">
        <f t="shared" si="1"/>
        <v/>
      </c>
      <c r="E114" s="42">
        <f>countif(Constants!F:F,F114)</f>
        <v>1</v>
      </c>
      <c r="F114" s="21" t="str">
        <f>ifna(VLOOKUP($A114,Constants!$D:$F,3,false),"")</f>
        <v>FineStructureConstant</v>
      </c>
      <c r="G114" s="21" t="str">
        <f>IFERROR(__xludf.DUMMYFUNCTION("REGEXREPLACE(substitute(substitute(B114,"" "",""""),""..."",""""),""\(.*\)"","""")"),"7.2973525376e-3")</f>
        <v>7.2973525376e-3</v>
      </c>
      <c r="H114" s="43">
        <f t="shared" si="2"/>
        <v>0.007297352538</v>
      </c>
      <c r="I114" s="21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43">
        <f t="shared" si="3"/>
        <v>0</v>
      </c>
      <c r="K114" s="43" t="b">
        <f t="shared" si="4"/>
        <v>0</v>
      </c>
      <c r="L114" s="21" t="str">
        <f>IFERROR(__xludf.DUMMYFUNCTION("if(regexmatch(B114,""e(.*)$""),regexextract(B114,""e(.*)$""),"""")"),"-3")</f>
        <v>-3</v>
      </c>
    </row>
    <row r="115">
      <c r="A115" s="34" t="s">
        <v>1150</v>
      </c>
      <c r="B115" s="34" t="s">
        <v>4300</v>
      </c>
      <c r="C115" s="34" t="s">
        <v>4301</v>
      </c>
      <c r="D115" s="13" t="str">
        <f t="shared" si="1"/>
        <v>W m^2</v>
      </c>
      <c r="E115" s="42">
        <f>countif(Constants!F:F,F115)</f>
        <v>1</v>
      </c>
      <c r="F115" s="21" t="str">
        <f>ifna(VLOOKUP($A115,Constants!$D:$F,3,false),"")</f>
        <v>FirstRadiationConstant</v>
      </c>
      <c r="G115" s="21" t="str">
        <f>IFERROR(__xludf.DUMMYFUNCTION("REGEXREPLACE(substitute(substitute(B115,"" "",""""),""..."",""""),""\(.*\)"","""")"),"3.74177118e-16")</f>
        <v>3.74177118e-16</v>
      </c>
      <c r="H115" s="43">
        <f t="shared" si="2"/>
        <v>0</v>
      </c>
      <c r="I115" s="21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43">
        <f t="shared" si="3"/>
        <v>0</v>
      </c>
      <c r="K115" s="43" t="b">
        <f t="shared" si="4"/>
        <v>0</v>
      </c>
      <c r="L115" s="21" t="str">
        <f>IFERROR(__xludf.DUMMYFUNCTION("if(regexmatch(B115,""e(.*)$""),regexextract(B115,""e(.*)$""),"""")"),"-16")</f>
        <v>-16</v>
      </c>
    </row>
    <row r="116">
      <c r="A116" s="34" t="s">
        <v>1156</v>
      </c>
      <c r="B116" s="34" t="s">
        <v>4302</v>
      </c>
      <c r="C116" s="34" t="s">
        <v>4303</v>
      </c>
      <c r="D116" s="13" t="str">
        <f t="shared" si="1"/>
        <v>W m^2 sr^-1</v>
      </c>
      <c r="E116" s="42">
        <f>countif(Constants!F:F,F116)</f>
        <v>1</v>
      </c>
      <c r="F116" s="21" t="str">
        <f>ifna(VLOOKUP($A116,Constants!$D:$F,3,false),"")</f>
        <v>FirstRadiationConstantForSpectralRadiance</v>
      </c>
      <c r="G116" s="21" t="str">
        <f>IFERROR(__xludf.DUMMYFUNCTION("REGEXREPLACE(substitute(substitute(B116,"" "",""""),""..."",""""),""\(.*\)"","""")"),"1.191042759e-16")</f>
        <v>1.191042759e-16</v>
      </c>
      <c r="H116" s="43">
        <f t="shared" si="2"/>
        <v>0</v>
      </c>
      <c r="I116" s="21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43">
        <f t="shared" si="3"/>
        <v>0</v>
      </c>
      <c r="K116" s="43" t="b">
        <f t="shared" si="4"/>
        <v>0</v>
      </c>
      <c r="L116" s="21" t="str">
        <f>IFERROR(__xludf.DUMMYFUNCTION("if(regexmatch(B116,""e(.*)$""),regexextract(B116,""e(.*)$""),"""")"),"-16")</f>
        <v>-16</v>
      </c>
    </row>
    <row r="117">
      <c r="A117" s="34" t="s">
        <v>1177</v>
      </c>
      <c r="B117" s="34" t="s">
        <v>4191</v>
      </c>
      <c r="C117" s="34" t="s">
        <v>175</v>
      </c>
      <c r="D117" s="13" t="str">
        <f t="shared" si="1"/>
        <v>eV</v>
      </c>
      <c r="E117" s="42">
        <f>countif(Constants!F:F,F117)</f>
        <v>1</v>
      </c>
      <c r="F117" s="21" t="str">
        <f>ifna(VLOOKUP($A117,Constants!$D:$F,3,false),"")</f>
        <v>HartreeEnergyInEV</v>
      </c>
      <c r="G117" s="21" t="str">
        <f>IFERROR(__xludf.DUMMYFUNCTION("REGEXREPLACE(substitute(substitute(B117,"" "",""""),""..."",""""),""\(.*\)"","""")"),"27.21138386")</f>
        <v>27.21138386</v>
      </c>
      <c r="H117" s="43">
        <f t="shared" si="2"/>
        <v>27.21138386</v>
      </c>
      <c r="I117" s="21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43">
        <f t="shared" si="3"/>
        <v>0.0000000068</v>
      </c>
      <c r="K117" s="43" t="b">
        <f t="shared" si="4"/>
        <v>0</v>
      </c>
      <c r="L117" s="21" t="str">
        <f>IFERROR(__xludf.DUMMYFUNCTION("if(regexmatch(B117,""e(.*)$""),regexextract(B117,""e(.*)$""),"""")"),"")</f>
        <v/>
      </c>
    </row>
    <row r="118">
      <c r="A118" s="34" t="s">
        <v>4304</v>
      </c>
      <c r="B118" s="34" t="s">
        <v>4193</v>
      </c>
      <c r="C118" s="34" t="s">
        <v>543</v>
      </c>
      <c r="D118" s="13" t="str">
        <f t="shared" si="1"/>
        <v>J</v>
      </c>
      <c r="E118" s="42">
        <f>countif(Constants!F:F,F118)</f>
        <v>1</v>
      </c>
      <c r="F118" s="47" t="s">
        <v>325</v>
      </c>
      <c r="G118" s="21" t="str">
        <f>IFERROR(__xludf.DUMMYFUNCTION("REGEXREPLACE(substitute(substitute(B118,"" "",""""),""..."",""""),""\(.*\)"","""")"),"4.35974394e-18")</f>
        <v>4.35974394e-18</v>
      </c>
      <c r="H118" s="43">
        <f t="shared" si="2"/>
        <v>0</v>
      </c>
      <c r="I118" s="21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43">
        <f t="shared" si="3"/>
        <v>0</v>
      </c>
      <c r="K118" s="43" t="b">
        <f t="shared" si="4"/>
        <v>0</v>
      </c>
      <c r="L118" s="21" t="str">
        <f>IFERROR(__xludf.DUMMYFUNCTION("if(regexmatch(B118,""e(.*)$""),regexextract(B118,""e(.*)$""),"""")"),"-18")</f>
        <v>-18</v>
      </c>
    </row>
    <row r="119">
      <c r="A119" s="34" t="s">
        <v>1162</v>
      </c>
      <c r="B119" s="34" t="s">
        <v>4305</v>
      </c>
      <c r="C119" s="34" t="s">
        <v>553</v>
      </c>
      <c r="D119" s="13" t="str">
        <f t="shared" si="1"/>
        <v>u</v>
      </c>
      <c r="E119" s="42">
        <f>countif(Constants!F:F,F119)</f>
        <v>1</v>
      </c>
      <c r="F119" s="21" t="str">
        <f>ifna(VLOOKUP($A119,Constants!$D:$F,3,false),"")</f>
        <v>HartreeAtomicMassUnitRelationship</v>
      </c>
      <c r="G119" s="21" t="str">
        <f>IFERROR(__xludf.DUMMYFUNCTION("REGEXREPLACE(substitute(substitute(B119,"" "",""""),""..."",""""),""\(.*\)"","""")"),"2.9212622986e-8")</f>
        <v>2.9212622986e-8</v>
      </c>
      <c r="H119" s="43">
        <f t="shared" si="2"/>
        <v>0.00000002921262299</v>
      </c>
      <c r="I119" s="21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43">
        <f t="shared" si="3"/>
        <v>0</v>
      </c>
      <c r="K119" s="43" t="b">
        <f t="shared" si="4"/>
        <v>0</v>
      </c>
      <c r="L119" s="21" t="str">
        <f>IFERROR(__xludf.DUMMYFUNCTION("if(regexmatch(B119,""e(.*)$""),regexextract(B119,""e(.*)$""),"""")"),"-8")</f>
        <v>-8</v>
      </c>
    </row>
    <row r="120">
      <c r="A120" s="34" t="s">
        <v>1168</v>
      </c>
      <c r="B120" s="34" t="s">
        <v>4191</v>
      </c>
      <c r="C120" s="34" t="s">
        <v>175</v>
      </c>
      <c r="D120" s="13" t="str">
        <f t="shared" si="1"/>
        <v>eV</v>
      </c>
      <c r="E120" s="42">
        <f>countif(Constants!F:F,F120)</f>
        <v>1</v>
      </c>
      <c r="F120" s="21" t="str">
        <f>ifna(VLOOKUP($A120,Constants!$D:$F,3,false),"")</f>
        <v>HartreeElectronVoltRelationship</v>
      </c>
      <c r="G120" s="21" t="str">
        <f>IFERROR(__xludf.DUMMYFUNCTION("REGEXREPLACE(substitute(substitute(B120,"" "",""""),""..."",""""),""\(.*\)"","""")"),"27.21138386")</f>
        <v>27.21138386</v>
      </c>
      <c r="H120" s="43">
        <f t="shared" si="2"/>
        <v>27.21138386</v>
      </c>
      <c r="I120" s="21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43">
        <f t="shared" si="3"/>
        <v>0.0000000068</v>
      </c>
      <c r="K120" s="43" t="b">
        <f t="shared" si="4"/>
        <v>0</v>
      </c>
      <c r="L120" s="21" t="str">
        <f>IFERROR(__xludf.DUMMYFUNCTION("if(regexmatch(B120,""e(.*)$""),regexextract(B120,""e(.*)$""),"""")"),"")</f>
        <v/>
      </c>
    </row>
    <row r="121">
      <c r="A121" s="34" t="s">
        <v>1180</v>
      </c>
      <c r="B121" s="34" t="s">
        <v>4306</v>
      </c>
      <c r="C121" s="34" t="s">
        <v>600</v>
      </c>
      <c r="D121" s="13" t="str">
        <f t="shared" si="1"/>
        <v>Hz</v>
      </c>
      <c r="E121" s="42">
        <f>countif(Constants!F:F,F121)</f>
        <v>1</v>
      </c>
      <c r="F121" s="21" t="str">
        <f>ifna(VLOOKUP($A121,Constants!$D:$F,3,false),"")</f>
        <v>HartreeHertzRelationship</v>
      </c>
      <c r="G121" s="21" t="str">
        <f>IFERROR(__xludf.DUMMYFUNCTION("REGEXREPLACE(substitute(substitute(B121,"" "",""""),""..."",""""),""\(.*\)"","""")"),"6.579683920722e15")</f>
        <v>6.579683920722e15</v>
      </c>
      <c r="H121" s="43">
        <f t="shared" si="2"/>
        <v>6.57968E+15</v>
      </c>
      <c r="I121" s="21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43">
        <f t="shared" si="3"/>
        <v>440</v>
      </c>
      <c r="K121" s="43" t="b">
        <f t="shared" si="4"/>
        <v>0</v>
      </c>
      <c r="L121" s="21" t="str">
        <f>IFERROR(__xludf.DUMMYFUNCTION("if(regexmatch(B121,""e(.*)$""),regexextract(B121,""e(.*)$""),"""")"),"15")</f>
        <v>15</v>
      </c>
    </row>
    <row r="122">
      <c r="A122" s="34" t="s">
        <v>1185</v>
      </c>
      <c r="B122" s="34" t="s">
        <v>4307</v>
      </c>
      <c r="C122" s="34" t="s">
        <v>4174</v>
      </c>
      <c r="D122" s="13" t="str">
        <f t="shared" si="1"/>
        <v>m^-1</v>
      </c>
      <c r="E122" s="42">
        <f>countif(Constants!F:F,F122)</f>
        <v>1</v>
      </c>
      <c r="F122" s="21" t="str">
        <f>ifna(VLOOKUP($A122,Constants!$D:$F,3,false),"")</f>
        <v>HartreeInverseMeterRelationship</v>
      </c>
      <c r="G122" s="21" t="str">
        <f>IFERROR(__xludf.DUMMYFUNCTION("REGEXREPLACE(substitute(substitute(B122,"" "",""""),""..."",""""),""\(.*\)"","""")"),"2.194746313705e7")</f>
        <v>2.194746313705e7</v>
      </c>
      <c r="H122" s="43">
        <f t="shared" si="2"/>
        <v>21947463.14</v>
      </c>
      <c r="I122" s="21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43">
        <f t="shared" si="3"/>
        <v>0.0000015</v>
      </c>
      <c r="K122" s="43" t="b">
        <f t="shared" si="4"/>
        <v>0</v>
      </c>
      <c r="L122" s="21" t="str">
        <f>IFERROR(__xludf.DUMMYFUNCTION("if(regexmatch(B122,""e(.*)$""),regexextract(B122,""e(.*)$""),"""")"),"7")</f>
        <v>7</v>
      </c>
    </row>
    <row r="123">
      <c r="A123" s="34" t="s">
        <v>1190</v>
      </c>
      <c r="B123" s="34" t="s">
        <v>4193</v>
      </c>
      <c r="C123" s="34" t="s">
        <v>543</v>
      </c>
      <c r="D123" s="13" t="str">
        <f t="shared" si="1"/>
        <v>J</v>
      </c>
      <c r="E123" s="42">
        <f>countif(Constants!F:F,F123)</f>
        <v>1</v>
      </c>
      <c r="F123" s="21" t="str">
        <f>ifna(VLOOKUP($A123,Constants!$D:$F,3,false),"")</f>
        <v>HartreeJouleRelationship</v>
      </c>
      <c r="G123" s="21" t="str">
        <f>IFERROR(__xludf.DUMMYFUNCTION("REGEXREPLACE(substitute(substitute(B123,"" "",""""),""..."",""""),""\(.*\)"","""")"),"4.35974394e-18")</f>
        <v>4.35974394e-18</v>
      </c>
      <c r="H123" s="43">
        <f t="shared" si="2"/>
        <v>0</v>
      </c>
      <c r="I123" s="21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43">
        <f t="shared" si="3"/>
        <v>0</v>
      </c>
      <c r="K123" s="43" t="b">
        <f t="shared" si="4"/>
        <v>0</v>
      </c>
      <c r="L123" s="21" t="str">
        <f>IFERROR(__xludf.DUMMYFUNCTION("if(regexmatch(B123,""e(.*)$""),regexextract(B123,""e(.*)$""),"""")"),"-18")</f>
        <v>-18</v>
      </c>
    </row>
    <row r="124">
      <c r="A124" s="34" t="s">
        <v>1195</v>
      </c>
      <c r="B124" s="34" t="s">
        <v>4308</v>
      </c>
      <c r="C124" s="34" t="s">
        <v>618</v>
      </c>
      <c r="D124" s="13" t="str">
        <f t="shared" si="1"/>
        <v>K</v>
      </c>
      <c r="E124" s="42">
        <f>countif(Constants!F:F,F124)</f>
        <v>1</v>
      </c>
      <c r="F124" s="21" t="str">
        <f>ifna(VLOOKUP($A124,Constants!$D:$F,3,false),"")</f>
        <v>HartreeKelvinRelationship</v>
      </c>
      <c r="G124" s="21" t="str">
        <f>IFERROR(__xludf.DUMMYFUNCTION("REGEXREPLACE(substitute(substitute(B124,"" "",""""),""..."",""""),""\(.*\)"","""")"),"3.1577465e5")</f>
        <v>3.1577465e5</v>
      </c>
      <c r="H124" s="43">
        <f t="shared" si="2"/>
        <v>315774.65</v>
      </c>
      <c r="I124" s="21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43">
        <f t="shared" si="3"/>
        <v>0.0055</v>
      </c>
      <c r="K124" s="43" t="b">
        <f t="shared" si="4"/>
        <v>0</v>
      </c>
      <c r="L124" s="21" t="str">
        <f>IFERROR(__xludf.DUMMYFUNCTION("if(regexmatch(B124,""e(.*)$""),regexextract(B124,""e(.*)$""),"""")"),"5")</f>
        <v>5</v>
      </c>
    </row>
    <row r="125">
      <c r="A125" s="34" t="s">
        <v>1200</v>
      </c>
      <c r="B125" s="34" t="s">
        <v>4309</v>
      </c>
      <c r="C125" s="34" t="s">
        <v>538</v>
      </c>
      <c r="D125" s="13" t="str">
        <f t="shared" si="1"/>
        <v>kg</v>
      </c>
      <c r="E125" s="42">
        <f>countif(Constants!F:F,F125)</f>
        <v>1</v>
      </c>
      <c r="F125" s="21" t="str">
        <f>ifna(VLOOKUP($A125,Constants!$D:$F,3,false),"")</f>
        <v>HartreeKilogramRelationship</v>
      </c>
      <c r="G125" s="21" t="str">
        <f>IFERROR(__xludf.DUMMYFUNCTION("REGEXREPLACE(substitute(substitute(B125,"" "",""""),""..."",""""),""\(.*\)"","""")"),"4.85086934e-35")</f>
        <v>4.85086934e-35</v>
      </c>
      <c r="H125" s="43">
        <f t="shared" si="2"/>
        <v>0</v>
      </c>
      <c r="I125" s="21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43">
        <f t="shared" si="3"/>
        <v>0</v>
      </c>
      <c r="K125" s="43" t="b">
        <f t="shared" si="4"/>
        <v>0</v>
      </c>
      <c r="L125" s="21" t="str">
        <f>IFERROR(__xludf.DUMMYFUNCTION("if(regexmatch(B125,""e(.*)$""),regexextract(B125,""e(.*)$""),"""")"),"-35")</f>
        <v>-35</v>
      </c>
    </row>
    <row r="126">
      <c r="A126" s="34" t="s">
        <v>1223</v>
      </c>
      <c r="B126" s="34" t="s">
        <v>4310</v>
      </c>
      <c r="C126" s="34" t="s">
        <v>538</v>
      </c>
      <c r="D126" s="13" t="str">
        <f t="shared" si="1"/>
        <v>kg</v>
      </c>
      <c r="E126" s="42">
        <f>countif(Constants!F:F,F126)</f>
        <v>1</v>
      </c>
      <c r="F126" s="21" t="str">
        <f>ifna(VLOOKUP($A126,Constants!$D:$F,3,false),"")</f>
        <v>HelionMass</v>
      </c>
      <c r="G126" s="21" t="str">
        <f>IFERROR(__xludf.DUMMYFUNCTION("REGEXREPLACE(substitute(substitute(B126,"" "",""""),""..."",""""),""\(.*\)"","""")"),"5.00641192e-27")</f>
        <v>5.00641192e-27</v>
      </c>
      <c r="H126" s="43">
        <f t="shared" si="2"/>
        <v>0</v>
      </c>
      <c r="I126" s="21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43">
        <f t="shared" si="3"/>
        <v>0</v>
      </c>
      <c r="K126" s="43" t="b">
        <f t="shared" si="4"/>
        <v>0</v>
      </c>
      <c r="L126" s="21" t="str">
        <f>IFERROR(__xludf.DUMMYFUNCTION("if(regexmatch(B126,""e(.*)$""),regexextract(B126,""e(.*)$""),"""")"),"-27")</f>
        <v>-27</v>
      </c>
    </row>
    <row r="127">
      <c r="A127" s="34" t="s">
        <v>1227</v>
      </c>
      <c r="B127" s="34" t="s">
        <v>4311</v>
      </c>
      <c r="C127" s="34" t="s">
        <v>543</v>
      </c>
      <c r="D127" s="13" t="str">
        <f t="shared" si="1"/>
        <v>J</v>
      </c>
      <c r="E127" s="42">
        <f>countif(Constants!F:F,F127)</f>
        <v>1</v>
      </c>
      <c r="F127" s="21" t="str">
        <f>ifna(VLOOKUP($A127,Constants!$D:$F,3,false),"")</f>
        <v>HelionMassEnergyEquivalent</v>
      </c>
      <c r="G127" s="21" t="str">
        <f>IFERROR(__xludf.DUMMYFUNCTION("REGEXREPLACE(substitute(substitute(B127,"" "",""""),""..."",""""),""\(.*\)"","""")"),"4.49953864e-10")</f>
        <v>4.49953864e-10</v>
      </c>
      <c r="H127" s="43">
        <f t="shared" si="2"/>
        <v>0.000000000449953864</v>
      </c>
      <c r="I127" s="21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43">
        <f t="shared" si="3"/>
        <v>0</v>
      </c>
      <c r="K127" s="43" t="b">
        <f t="shared" si="4"/>
        <v>0</v>
      </c>
      <c r="L127" s="21" t="str">
        <f>IFERROR(__xludf.DUMMYFUNCTION("if(regexmatch(B127,""e(.*)$""),regexextract(B127,""e(.*)$""),"""")"),"-10")</f>
        <v>-10</v>
      </c>
    </row>
    <row r="128">
      <c r="A128" s="34" t="s">
        <v>1231</v>
      </c>
      <c r="B128" s="34" t="s">
        <v>4312</v>
      </c>
      <c r="C128" s="34" t="s">
        <v>548</v>
      </c>
      <c r="D128" s="13" t="str">
        <f t="shared" si="1"/>
        <v>MeV</v>
      </c>
      <c r="E128" s="42">
        <f>countif(Constants!F:F,F128)</f>
        <v>1</v>
      </c>
      <c r="F128" s="21" t="str">
        <f>ifna(VLOOKUP($A128,Constants!$D:$F,3,false),"")</f>
        <v>HelionMassEnergyEquivalentInMeV</v>
      </c>
      <c r="G128" s="21" t="str">
        <f>IFERROR(__xludf.DUMMYFUNCTION("REGEXREPLACE(substitute(substitute(B128,"" "",""""),""..."",""""),""\(.*\)"","""")"),"2808.391383")</f>
        <v>2808.391383</v>
      </c>
      <c r="H128" s="43">
        <f t="shared" si="2"/>
        <v>2808.391383</v>
      </c>
      <c r="I128" s="21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43">
        <f t="shared" si="3"/>
        <v>0.0000007</v>
      </c>
      <c r="K128" s="43" t="b">
        <f t="shared" si="4"/>
        <v>0</v>
      </c>
      <c r="L128" s="21" t="str">
        <f>IFERROR(__xludf.DUMMYFUNCTION("if(regexmatch(B128,""e(.*)$""),regexextract(B128,""e(.*)$""),"""")"),"")</f>
        <v/>
      </c>
    </row>
    <row r="129">
      <c r="A129" s="34" t="s">
        <v>1234</v>
      </c>
      <c r="B129" s="34" t="s">
        <v>4313</v>
      </c>
      <c r="C129" s="34" t="s">
        <v>553</v>
      </c>
      <c r="D129" s="13" t="str">
        <f t="shared" si="1"/>
        <v>u</v>
      </c>
      <c r="E129" s="42">
        <f>countif(Constants!F:F,F129)</f>
        <v>1</v>
      </c>
      <c r="F129" s="21" t="str">
        <f>ifna(VLOOKUP($A129,Constants!$D:$F,3,false),"")</f>
        <v>HelionMassInAtomicMassUnit</v>
      </c>
      <c r="G129" s="21" t="str">
        <f>IFERROR(__xludf.DUMMYFUNCTION("REGEXREPLACE(substitute(substitute(B129,"" "",""""),""..."",""""),""\(.*\)"","""")"),"3.0149322473")</f>
        <v>3.0149322473</v>
      </c>
      <c r="H129" s="43">
        <f t="shared" si="2"/>
        <v>3.014932247</v>
      </c>
      <c r="I129" s="21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43">
        <f t="shared" si="3"/>
        <v>0</v>
      </c>
      <c r="K129" s="43" t="b">
        <f t="shared" si="4"/>
        <v>0</v>
      </c>
      <c r="L129" s="21" t="str">
        <f>IFERROR(__xludf.DUMMYFUNCTION("if(regexmatch(B129,""e(.*)$""),regexextract(B129,""e(.*)$""),"""")"),"")</f>
        <v/>
      </c>
    </row>
    <row r="130">
      <c r="A130" s="34" t="s">
        <v>1237</v>
      </c>
      <c r="B130" s="34" t="s">
        <v>4314</v>
      </c>
      <c r="C130" s="34" t="s">
        <v>4163</v>
      </c>
      <c r="D130" s="13" t="str">
        <f t="shared" si="1"/>
        <v>kg mol^-1</v>
      </c>
      <c r="E130" s="42">
        <f>countif(Constants!F:F,F130)</f>
        <v>1</v>
      </c>
      <c r="F130" s="21" t="str">
        <f>ifna(VLOOKUP($A130,Constants!$D:$F,3,false),"")</f>
        <v>HelionMolarMass</v>
      </c>
      <c r="G130" s="21" t="str">
        <f>IFERROR(__xludf.DUMMYFUNCTION("REGEXREPLACE(substitute(substitute(B130,"" "",""""),""..."",""""),""\(.*\)"","""")"),"3.0149322473e-3")</f>
        <v>3.0149322473e-3</v>
      </c>
      <c r="H130" s="43">
        <f t="shared" si="2"/>
        <v>0.003014932247</v>
      </c>
      <c r="I130" s="21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43">
        <f t="shared" si="3"/>
        <v>0</v>
      </c>
      <c r="K130" s="43" t="b">
        <f t="shared" si="4"/>
        <v>0</v>
      </c>
      <c r="L130" s="21" t="str">
        <f>IFERROR(__xludf.DUMMYFUNCTION("if(regexmatch(B130,""e(.*)$""),regexextract(B130,""e(.*)$""),"""")"),"-3")</f>
        <v>-3</v>
      </c>
    </row>
    <row r="131">
      <c r="A131" s="34" t="s">
        <v>1205</v>
      </c>
      <c r="B131" s="34" t="s">
        <v>4315</v>
      </c>
      <c r="C131" s="34"/>
      <c r="D131" s="13" t="str">
        <f t="shared" si="1"/>
        <v/>
      </c>
      <c r="E131" s="42">
        <f>countif(Constants!F:F,F131)</f>
        <v>1</v>
      </c>
      <c r="F131" s="21" t="str">
        <f>ifna(VLOOKUP($A131,Constants!$D:$F,3,false),"")</f>
        <v>HelionElectronMassRatio</v>
      </c>
      <c r="G131" s="21" t="str">
        <f>IFERROR(__xludf.DUMMYFUNCTION("REGEXREPLACE(substitute(substitute(B131,"" "",""""),""..."",""""),""\(.*\)"","""")"),"5495.8852765")</f>
        <v>5495.8852765</v>
      </c>
      <c r="H131" s="43">
        <f t="shared" si="2"/>
        <v>5495.885277</v>
      </c>
      <c r="I131" s="21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43">
        <f t="shared" si="3"/>
        <v>0.000000052</v>
      </c>
      <c r="K131" s="43" t="b">
        <f t="shared" si="4"/>
        <v>0</v>
      </c>
      <c r="L131" s="21" t="str">
        <f>IFERROR(__xludf.DUMMYFUNCTION("if(regexmatch(B131,""e(.*)$""),regexextract(B131,""e(.*)$""),"""")"),"")</f>
        <v/>
      </c>
    </row>
    <row r="132">
      <c r="A132" s="34" t="s">
        <v>1241</v>
      </c>
      <c r="B132" s="34" t="s">
        <v>4316</v>
      </c>
      <c r="C132" s="34"/>
      <c r="D132" s="13" t="str">
        <f t="shared" si="1"/>
        <v/>
      </c>
      <c r="E132" s="42">
        <f>countif(Constants!F:F,F132)</f>
        <v>1</v>
      </c>
      <c r="F132" s="21" t="str">
        <f>ifna(VLOOKUP($A132,Constants!$D:$F,3,false),"")</f>
        <v>HelionProtonMassRatio</v>
      </c>
      <c r="G132" s="21" t="str">
        <f>IFERROR(__xludf.DUMMYFUNCTION("REGEXREPLACE(substitute(substitute(B132,"" "",""""),""..."",""""),""\(.*\)"","""")"),"2.9931526713")</f>
        <v>2.9931526713</v>
      </c>
      <c r="H132" s="43">
        <f t="shared" si="2"/>
        <v>2.993152671</v>
      </c>
      <c r="I132" s="21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43">
        <f t="shared" si="3"/>
        <v>0</v>
      </c>
      <c r="K132" s="43" t="b">
        <f t="shared" si="4"/>
        <v>0</v>
      </c>
      <c r="L132" s="21" t="str">
        <f>IFERROR(__xludf.DUMMYFUNCTION("if(regexmatch(B132,""e(.*)$""),regexextract(B132,""e(.*)$""),"""")"),"")</f>
        <v/>
      </c>
    </row>
    <row r="133">
      <c r="A133" s="34" t="s">
        <v>1251</v>
      </c>
      <c r="B133" s="34" t="s">
        <v>4317</v>
      </c>
      <c r="C133" s="34" t="s">
        <v>553</v>
      </c>
      <c r="D133" s="13" t="str">
        <f t="shared" si="1"/>
        <v>u</v>
      </c>
      <c r="E133" s="42">
        <f>countif(Constants!F:F,F133)</f>
        <v>1</v>
      </c>
      <c r="F133" s="21" t="str">
        <f>ifna(VLOOKUP($A133,Constants!$D:$F,3,false),"")</f>
        <v>HertzAtomicMassUnitRelationship</v>
      </c>
      <c r="G133" s="21" t="str">
        <f>IFERROR(__xludf.DUMMYFUNCTION("REGEXREPLACE(substitute(substitute(B133,"" "",""""),""..."",""""),""\(.*\)"","""")"),"4.4398216294e-24")</f>
        <v>4.4398216294e-24</v>
      </c>
      <c r="H133" s="43">
        <f t="shared" si="2"/>
        <v>0</v>
      </c>
      <c r="I133" s="21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43">
        <f t="shared" si="3"/>
        <v>0</v>
      </c>
      <c r="K133" s="43" t="b">
        <f t="shared" si="4"/>
        <v>0</v>
      </c>
      <c r="L133" s="21" t="str">
        <f>IFERROR(__xludf.DUMMYFUNCTION("if(regexmatch(B133,""e(.*)$""),regexextract(B133,""e(.*)$""),"""")"),"-24")</f>
        <v>-24</v>
      </c>
    </row>
    <row r="134">
      <c r="A134" s="34" t="s">
        <v>1257</v>
      </c>
      <c r="B134" s="34" t="s">
        <v>4318</v>
      </c>
      <c r="C134" s="34" t="s">
        <v>175</v>
      </c>
      <c r="D134" s="13" t="str">
        <f t="shared" si="1"/>
        <v>eV</v>
      </c>
      <c r="E134" s="42">
        <f>countif(Constants!F:F,F134)</f>
        <v>1</v>
      </c>
      <c r="F134" s="21" t="str">
        <f>ifna(VLOOKUP($A134,Constants!$D:$F,3,false),"")</f>
        <v>HertzElectronVoltRelationship</v>
      </c>
      <c r="G134" s="21" t="str">
        <f>IFERROR(__xludf.DUMMYFUNCTION("REGEXREPLACE(substitute(substitute(B134,"" "",""""),""..."",""""),""\(.*\)"","""")"),"4.13566733e-15")</f>
        <v>4.13566733e-15</v>
      </c>
      <c r="H134" s="43">
        <f t="shared" si="2"/>
        <v>0</v>
      </c>
      <c r="I134" s="21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43">
        <f t="shared" si="3"/>
        <v>0</v>
      </c>
      <c r="K134" s="43" t="b">
        <f t="shared" si="4"/>
        <v>0</v>
      </c>
      <c r="L134" s="21" t="str">
        <f>IFERROR(__xludf.DUMMYFUNCTION("if(regexmatch(B134,""e(.*)$""),regexextract(B134,""e(.*)$""),"""")"),"-15")</f>
        <v>-15</v>
      </c>
    </row>
    <row r="135">
      <c r="A135" s="34" t="s">
        <v>1262</v>
      </c>
      <c r="B135" s="34" t="s">
        <v>4319</v>
      </c>
      <c r="C135" s="34" t="s">
        <v>593</v>
      </c>
      <c r="D135" s="13" t="str">
        <f t="shared" si="1"/>
        <v>E_h</v>
      </c>
      <c r="E135" s="42">
        <f>countif(Constants!F:F,F135)</f>
        <v>1</v>
      </c>
      <c r="F135" s="21" t="str">
        <f>ifna(VLOOKUP($A135,Constants!$D:$F,3,false),"")</f>
        <v>HertzHartreeRelationship</v>
      </c>
      <c r="G135" s="21" t="str">
        <f>IFERROR(__xludf.DUMMYFUNCTION("REGEXREPLACE(substitute(substitute(B135,"" "",""""),""..."",""""),""\(.*\)"","""")"),"1.519829846006e-16")</f>
        <v>1.519829846006e-16</v>
      </c>
      <c r="H135" s="43">
        <f t="shared" si="2"/>
        <v>0</v>
      </c>
      <c r="I135" s="21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43">
        <f t="shared" si="3"/>
        <v>0</v>
      </c>
      <c r="K135" s="43" t="b">
        <f t="shared" si="4"/>
        <v>0</v>
      </c>
      <c r="L135" s="21" t="str">
        <f>IFERROR(__xludf.DUMMYFUNCTION("if(regexmatch(B135,""e(.*)$""),regexextract(B135,""e(.*)$""),"""")"),"-16")</f>
        <v>-16</v>
      </c>
    </row>
    <row r="136">
      <c r="A136" s="34" t="s">
        <v>1267</v>
      </c>
      <c r="B136" s="34" t="s">
        <v>4320</v>
      </c>
      <c r="C136" s="34" t="s">
        <v>4174</v>
      </c>
      <c r="D136" s="13" t="str">
        <f t="shared" si="1"/>
        <v>m^-1</v>
      </c>
      <c r="E136" s="42">
        <f>countif(Constants!F:F,F136)</f>
        <v>1</v>
      </c>
      <c r="F136" s="21" t="str">
        <f>ifna(VLOOKUP($A136,Constants!$D:$F,3,false),"")</f>
        <v>HertzInverseMeterRelationship</v>
      </c>
      <c r="G136" s="21" t="str">
        <f>IFERROR(__xludf.DUMMYFUNCTION("REGEXREPLACE(substitute(substitute(B136,"" "",""""),""..."",""""),""\(.*\)"","""")"),"3.335640951e-9")</f>
        <v>3.335640951e-9</v>
      </c>
      <c r="H136" s="43">
        <f t="shared" si="2"/>
        <v>0.000000003335640951</v>
      </c>
      <c r="I136" s="21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43" t="str">
        <f t="shared" si="3"/>
        <v/>
      </c>
      <c r="K136" s="43" t="b">
        <f t="shared" si="4"/>
        <v>1</v>
      </c>
      <c r="L136" s="21" t="str">
        <f>IFERROR(__xludf.DUMMYFUNCTION("if(regexmatch(B136,""e(.*)$""),regexextract(B136,""e(.*)$""),"""")"),"-9")</f>
        <v>-9</v>
      </c>
    </row>
    <row r="137">
      <c r="A137" s="34" t="s">
        <v>1272</v>
      </c>
      <c r="B137" s="34" t="s">
        <v>4321</v>
      </c>
      <c r="C137" s="34" t="s">
        <v>543</v>
      </c>
      <c r="D137" s="13" t="str">
        <f t="shared" si="1"/>
        <v>J</v>
      </c>
      <c r="E137" s="42">
        <f>countif(Constants!F:F,F137)</f>
        <v>1</v>
      </c>
      <c r="F137" s="21" t="str">
        <f>ifna(VLOOKUP($A137,Constants!$D:$F,3,false),"")</f>
        <v>HertzJouleRelationship</v>
      </c>
      <c r="G137" s="21" t="str">
        <f>IFERROR(__xludf.DUMMYFUNCTION("REGEXREPLACE(substitute(substitute(B137,"" "",""""),""..."",""""),""\(.*\)"","""")"),"6.62606896e-34")</f>
        <v>6.62606896e-34</v>
      </c>
      <c r="H137" s="43">
        <f t="shared" si="2"/>
        <v>0</v>
      </c>
      <c r="I137" s="21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43">
        <f t="shared" si="3"/>
        <v>0</v>
      </c>
      <c r="K137" s="43" t="b">
        <f t="shared" si="4"/>
        <v>0</v>
      </c>
      <c r="L137" s="21" t="str">
        <f>IFERROR(__xludf.DUMMYFUNCTION("if(regexmatch(B137,""e(.*)$""),regexextract(B137,""e(.*)$""),"""")"),"-34")</f>
        <v>-34</v>
      </c>
    </row>
    <row r="138">
      <c r="A138" s="34" t="s">
        <v>1277</v>
      </c>
      <c r="B138" s="34" t="s">
        <v>4322</v>
      </c>
      <c r="C138" s="34" t="s">
        <v>618</v>
      </c>
      <c r="D138" s="13" t="str">
        <f t="shared" si="1"/>
        <v>K</v>
      </c>
      <c r="E138" s="42">
        <f>countif(Constants!F:F,F138)</f>
        <v>1</v>
      </c>
      <c r="F138" s="21" t="str">
        <f>ifna(VLOOKUP($A138,Constants!$D:$F,3,false),"")</f>
        <v>HertzKelvinRelationship</v>
      </c>
      <c r="G138" s="21" t="str">
        <f>IFERROR(__xludf.DUMMYFUNCTION("REGEXREPLACE(substitute(substitute(B138,"" "",""""),""..."",""""),""\(.*\)"","""")"),"4.7992374e-11")</f>
        <v>4.7992374e-11</v>
      </c>
      <c r="H138" s="43">
        <f t="shared" si="2"/>
        <v>0</v>
      </c>
      <c r="I138" s="21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43">
        <f t="shared" si="3"/>
        <v>0</v>
      </c>
      <c r="K138" s="43" t="b">
        <f t="shared" si="4"/>
        <v>0</v>
      </c>
      <c r="L138" s="21" t="str">
        <f>IFERROR(__xludf.DUMMYFUNCTION("if(regexmatch(B138,""e(.*)$""),regexextract(B138,""e(.*)$""),"""")"),"-11")</f>
        <v>-11</v>
      </c>
    </row>
    <row r="139">
      <c r="A139" s="34" t="s">
        <v>1282</v>
      </c>
      <c r="B139" s="34" t="s">
        <v>4323</v>
      </c>
      <c r="C139" s="34" t="s">
        <v>538</v>
      </c>
      <c r="D139" s="13" t="str">
        <f t="shared" si="1"/>
        <v>kg</v>
      </c>
      <c r="E139" s="42">
        <f>countif(Constants!F:F,F139)</f>
        <v>1</v>
      </c>
      <c r="F139" s="21" t="str">
        <f>ifna(VLOOKUP($A139,Constants!$D:$F,3,false),"")</f>
        <v>HertzKilogramRelationship</v>
      </c>
      <c r="G139" s="21" t="str">
        <f>IFERROR(__xludf.DUMMYFUNCTION("REGEXREPLACE(substitute(substitute(B139,"" "",""""),""..."",""""),""\(.*\)"","""")"),"7.37249600e-51")</f>
        <v>7.37249600e-51</v>
      </c>
      <c r="H139" s="43">
        <f t="shared" si="2"/>
        <v>0</v>
      </c>
      <c r="I139" s="21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43">
        <f t="shared" si="3"/>
        <v>0</v>
      </c>
      <c r="K139" s="43" t="b">
        <f t="shared" si="4"/>
        <v>0</v>
      </c>
      <c r="L139" s="21" t="str">
        <f>IFERROR(__xludf.DUMMYFUNCTION("if(regexmatch(B139,""e(.*)$""),regexextract(B139,""e(.*)$""),"""")"),"-51")</f>
        <v>-51</v>
      </c>
    </row>
    <row r="140">
      <c r="A140" s="34" t="s">
        <v>1290</v>
      </c>
      <c r="B140" s="34" t="s">
        <v>4324</v>
      </c>
      <c r="C140" s="34"/>
      <c r="D140" s="13" t="str">
        <f t="shared" si="1"/>
        <v/>
      </c>
      <c r="E140" s="42">
        <f>countif(Constants!F:F,F140)</f>
        <v>1</v>
      </c>
      <c r="F140" s="21" t="str">
        <f>ifna(VLOOKUP($A140,Constants!$D:$F,3,false),"")</f>
        <v>InverseFineStructureConstant</v>
      </c>
      <c r="G140" s="21" t="str">
        <f>IFERROR(__xludf.DUMMYFUNCTION("REGEXREPLACE(substitute(substitute(B140,"" "",""""),""..."",""""),""\(.*\)"","""")"),"137.035999679")</f>
        <v>137.035999679</v>
      </c>
      <c r="H140" s="43">
        <f t="shared" si="2"/>
        <v>137.0359997</v>
      </c>
      <c r="I140" s="21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43">
        <f t="shared" si="3"/>
        <v>0.00000000094</v>
      </c>
      <c r="K140" s="43" t="b">
        <f t="shared" si="4"/>
        <v>0</v>
      </c>
      <c r="L140" s="21" t="str">
        <f>IFERROR(__xludf.DUMMYFUNCTION("if(regexmatch(B140,""e(.*)$""),regexextract(B140,""e(.*)$""),"""")"),"")</f>
        <v/>
      </c>
    </row>
    <row r="141">
      <c r="A141" s="34" t="s">
        <v>1294</v>
      </c>
      <c r="B141" s="34" t="s">
        <v>4325</v>
      </c>
      <c r="C141" s="34" t="s">
        <v>553</v>
      </c>
      <c r="D141" s="13" t="str">
        <f t="shared" si="1"/>
        <v>u</v>
      </c>
      <c r="E141" s="42">
        <f>countif(Constants!F:F,F141)</f>
        <v>1</v>
      </c>
      <c r="F141" s="21" t="str">
        <f>ifna(VLOOKUP($A141,Constants!$D:$F,3,false),"")</f>
        <v>InverseMeterAtomicMassUnitRelationship</v>
      </c>
      <c r="G141" s="21" t="str">
        <f>IFERROR(__xludf.DUMMYFUNCTION("REGEXREPLACE(substitute(substitute(B141,"" "",""""),""..."",""""),""\(.*\)"","""")"),"1.3310250394e-15")</f>
        <v>1.3310250394e-15</v>
      </c>
      <c r="H141" s="43">
        <f t="shared" si="2"/>
        <v>0</v>
      </c>
      <c r="I141" s="21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43">
        <f t="shared" si="3"/>
        <v>0</v>
      </c>
      <c r="K141" s="43" t="b">
        <f t="shared" si="4"/>
        <v>0</v>
      </c>
      <c r="L141" s="21" t="str">
        <f>IFERROR(__xludf.DUMMYFUNCTION("if(regexmatch(B141,""e(.*)$""),regexextract(B141,""e(.*)$""),"""")"),"-15")</f>
        <v>-15</v>
      </c>
    </row>
    <row r="142">
      <c r="A142" s="34" t="s">
        <v>1300</v>
      </c>
      <c r="B142" s="34" t="s">
        <v>4326</v>
      </c>
      <c r="C142" s="34" t="s">
        <v>175</v>
      </c>
      <c r="D142" s="13" t="str">
        <f t="shared" si="1"/>
        <v>eV</v>
      </c>
      <c r="E142" s="42">
        <f>countif(Constants!F:F,F142)</f>
        <v>1</v>
      </c>
      <c r="F142" s="21" t="str">
        <f>ifna(VLOOKUP($A142,Constants!$D:$F,3,false),"")</f>
        <v>InverseMeterElectronVoltRelationship</v>
      </c>
      <c r="G142" s="21" t="str">
        <f>IFERROR(__xludf.DUMMYFUNCTION("REGEXREPLACE(substitute(substitute(B142,"" "",""""),""..."",""""),""\(.*\)"","""")"),"1.239841875e-6")</f>
        <v>1.239841875e-6</v>
      </c>
      <c r="H142" s="43">
        <f t="shared" si="2"/>
        <v>0.000001239841875</v>
      </c>
      <c r="I142" s="21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43">
        <f t="shared" si="3"/>
        <v>0</v>
      </c>
      <c r="K142" s="43" t="b">
        <f t="shared" si="4"/>
        <v>0</v>
      </c>
      <c r="L142" s="21" t="str">
        <f>IFERROR(__xludf.DUMMYFUNCTION("if(regexmatch(B142,""e(.*)$""),regexextract(B142,""e(.*)$""),"""")"),"-6")</f>
        <v>-6</v>
      </c>
    </row>
    <row r="143">
      <c r="A143" s="34" t="s">
        <v>1305</v>
      </c>
      <c r="B143" s="34" t="s">
        <v>4327</v>
      </c>
      <c r="C143" s="34" t="s">
        <v>593</v>
      </c>
      <c r="D143" s="13" t="str">
        <f t="shared" si="1"/>
        <v>E_h</v>
      </c>
      <c r="E143" s="42">
        <f>countif(Constants!F:F,F143)</f>
        <v>1</v>
      </c>
      <c r="F143" s="21" t="str">
        <f>ifna(VLOOKUP($A143,Constants!$D:$F,3,false),"")</f>
        <v>InverseMeterHartreeRelationship</v>
      </c>
      <c r="G143" s="21" t="str">
        <f>IFERROR(__xludf.DUMMYFUNCTION("REGEXREPLACE(substitute(substitute(B143,"" "",""""),""..."",""""),""\(.*\)"","""")"),"4.556335252760e-8")</f>
        <v>4.556335252760e-8</v>
      </c>
      <c r="H143" s="43">
        <f t="shared" si="2"/>
        <v>0.00000004556335253</v>
      </c>
      <c r="I143" s="21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43">
        <f t="shared" si="3"/>
        <v>0</v>
      </c>
      <c r="K143" s="43" t="b">
        <f t="shared" si="4"/>
        <v>0</v>
      </c>
      <c r="L143" s="21" t="str">
        <f>IFERROR(__xludf.DUMMYFUNCTION("if(regexmatch(B143,""e(.*)$""),regexextract(B143,""e(.*)$""),"""")"),"-8")</f>
        <v>-8</v>
      </c>
    </row>
    <row r="144">
      <c r="A144" s="34" t="s">
        <v>1309</v>
      </c>
      <c r="B144" s="34" t="s">
        <v>2474</v>
      </c>
      <c r="C144" s="34" t="s">
        <v>600</v>
      </c>
      <c r="D144" s="13" t="str">
        <f t="shared" si="1"/>
        <v>Hz</v>
      </c>
      <c r="E144" s="42">
        <f>countif(Constants!F:F,F144)</f>
        <v>1</v>
      </c>
      <c r="F144" s="21" t="str">
        <f>ifna(VLOOKUP($A144,Constants!$D:$F,3,false),"")</f>
        <v>InverseMeterHertzRelationship</v>
      </c>
      <c r="G144" s="21" t="str">
        <f>IFERROR(__xludf.DUMMYFUNCTION("REGEXREPLACE(substitute(substitute(B144,"" "",""""),""..."",""""),""\(.*\)"","""")"),"299792458")</f>
        <v>299792458</v>
      </c>
      <c r="H144" s="43">
        <f t="shared" si="2"/>
        <v>299792458</v>
      </c>
      <c r="I144" s="21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43" t="str">
        <f t="shared" si="3"/>
        <v/>
      </c>
      <c r="K144" s="43" t="b">
        <f t="shared" si="4"/>
        <v>0</v>
      </c>
      <c r="L144" s="21" t="str">
        <f>IFERROR(__xludf.DUMMYFUNCTION("if(regexmatch(B144,""e(.*)$""),regexextract(B144,""e(.*)$""),"""")"),"")</f>
        <v/>
      </c>
    </row>
    <row r="145">
      <c r="A145" s="34" t="s">
        <v>1314</v>
      </c>
      <c r="B145" s="34" t="s">
        <v>4328</v>
      </c>
      <c r="C145" s="34" t="s">
        <v>543</v>
      </c>
      <c r="D145" s="13" t="str">
        <f t="shared" si="1"/>
        <v>J</v>
      </c>
      <c r="E145" s="42">
        <f>countif(Constants!F:F,F145)</f>
        <v>1</v>
      </c>
      <c r="F145" s="21" t="str">
        <f>ifna(VLOOKUP($A145,Constants!$D:$F,3,false),"")</f>
        <v>InverseMeterJouleRelationship</v>
      </c>
      <c r="G145" s="21" t="str">
        <f>IFERROR(__xludf.DUMMYFUNCTION("REGEXREPLACE(substitute(substitute(B145,"" "",""""),""..."",""""),""\(.*\)"","""")"),"1.986445501e-25")</f>
        <v>1.986445501e-25</v>
      </c>
      <c r="H145" s="43">
        <f t="shared" si="2"/>
        <v>0</v>
      </c>
      <c r="I145" s="21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43">
        <f t="shared" si="3"/>
        <v>0</v>
      </c>
      <c r="K145" s="43" t="b">
        <f t="shared" si="4"/>
        <v>0</v>
      </c>
      <c r="L145" s="21" t="str">
        <f>IFERROR(__xludf.DUMMYFUNCTION("if(regexmatch(B145,""e(.*)$""),regexextract(B145,""e(.*)$""),"""")"),"-25")</f>
        <v>-25</v>
      </c>
    </row>
    <row r="146">
      <c r="A146" s="34" t="s">
        <v>1319</v>
      </c>
      <c r="B146" s="34" t="s">
        <v>4329</v>
      </c>
      <c r="C146" s="34" t="s">
        <v>618</v>
      </c>
      <c r="D146" s="13" t="str">
        <f t="shared" si="1"/>
        <v>K</v>
      </c>
      <c r="E146" s="42">
        <f>countif(Constants!F:F,F146)</f>
        <v>1</v>
      </c>
      <c r="F146" s="21" t="str">
        <f>ifna(VLOOKUP($A146,Constants!$D:$F,3,false),"")</f>
        <v>InverseMeterKelvinRelationship</v>
      </c>
      <c r="G146" s="21" t="str">
        <f>IFERROR(__xludf.DUMMYFUNCTION("REGEXREPLACE(substitute(substitute(B146,"" "",""""),""..."",""""),""\(.*\)"","""")"),"1.4387752e-2")</f>
        <v>1.4387752e-2</v>
      </c>
      <c r="H146" s="43">
        <f t="shared" si="2"/>
        <v>0.014387752</v>
      </c>
      <c r="I146" s="21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43">
        <f t="shared" si="3"/>
        <v>0.00000000025</v>
      </c>
      <c r="K146" s="43" t="b">
        <f t="shared" si="4"/>
        <v>0</v>
      </c>
      <c r="L146" s="21" t="str">
        <f>IFERROR(__xludf.DUMMYFUNCTION("if(regexmatch(B146,""e(.*)$""),regexextract(B146,""e(.*)$""),"""")"),"-2")</f>
        <v>-2</v>
      </c>
    </row>
    <row r="147">
      <c r="A147" s="34" t="s">
        <v>1324</v>
      </c>
      <c r="B147" s="34" t="s">
        <v>4330</v>
      </c>
      <c r="C147" s="34" t="s">
        <v>538</v>
      </c>
      <c r="D147" s="13" t="str">
        <f t="shared" si="1"/>
        <v>kg</v>
      </c>
      <c r="E147" s="42">
        <f>countif(Constants!F:F,F147)</f>
        <v>1</v>
      </c>
      <c r="F147" s="21" t="str">
        <f>ifna(VLOOKUP($A147,Constants!$D:$F,3,false),"")</f>
        <v>InverseMeterKilogramRelationship</v>
      </c>
      <c r="G147" s="21" t="str">
        <f>IFERROR(__xludf.DUMMYFUNCTION("REGEXREPLACE(substitute(substitute(B147,"" "",""""),""..."",""""),""\(.*\)"","""")"),"2.21021870e-42")</f>
        <v>2.21021870e-42</v>
      </c>
      <c r="H147" s="43">
        <f t="shared" si="2"/>
        <v>0</v>
      </c>
      <c r="I147" s="21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43">
        <f t="shared" si="3"/>
        <v>0</v>
      </c>
      <c r="K147" s="43" t="b">
        <f t="shared" si="4"/>
        <v>0</v>
      </c>
      <c r="L147" s="21" t="str">
        <f>IFERROR(__xludf.DUMMYFUNCTION("if(regexmatch(B147,""e(.*)$""),regexextract(B147,""e(.*)$""),"""")"),"-42")</f>
        <v>-42</v>
      </c>
    </row>
    <row r="148">
      <c r="A148" s="34" t="s">
        <v>1329</v>
      </c>
      <c r="B148" s="34" t="s">
        <v>4331</v>
      </c>
      <c r="C148" s="34" t="s">
        <v>816</v>
      </c>
      <c r="D148" s="13" t="str">
        <f t="shared" si="1"/>
        <v>Ohm</v>
      </c>
      <c r="E148" s="42">
        <f>countif(Constants!F:F,F148)</f>
        <v>1</v>
      </c>
      <c r="F148" s="21" t="str">
        <f>ifna(VLOOKUP($A148,Constants!$D:$F,3,false),"")</f>
        <v>InverseOfConductanceQuantum</v>
      </c>
      <c r="G148" s="21" t="str">
        <f>IFERROR(__xludf.DUMMYFUNCTION("REGEXREPLACE(substitute(substitute(B148,"" "",""""),""..."",""""),""\(.*\)"","""")"),"12906.4037787")</f>
        <v>12906.4037787</v>
      </c>
      <c r="H148" s="43">
        <f t="shared" si="2"/>
        <v>12906.40378</v>
      </c>
      <c r="I148" s="21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43">
        <f t="shared" si="3"/>
        <v>0.000000088</v>
      </c>
      <c r="K148" s="43" t="b">
        <f t="shared" si="4"/>
        <v>0</v>
      </c>
      <c r="L148" s="21" t="str">
        <f>IFERROR(__xludf.DUMMYFUNCTION("if(regexmatch(B148,""e(.*)$""),regexextract(B148,""e(.*)$""),"""")"),"")</f>
        <v/>
      </c>
    </row>
    <row r="149">
      <c r="A149" s="34" t="s">
        <v>1333</v>
      </c>
      <c r="B149" s="34" t="s">
        <v>4332</v>
      </c>
      <c r="C149" s="34" t="s">
        <v>4234</v>
      </c>
      <c r="D149" s="13" t="str">
        <f t="shared" si="1"/>
        <v>Hz V^-1</v>
      </c>
      <c r="E149" s="42">
        <f>countif(Constants!F:F,F149)</f>
        <v>1</v>
      </c>
      <c r="F149" s="21" t="str">
        <f>ifna(VLOOKUP($A149,Constants!$D:$F,3,false),"")</f>
        <v>JosephsonConstant</v>
      </c>
      <c r="G149" s="21" t="str">
        <f>IFERROR(__xludf.DUMMYFUNCTION("REGEXREPLACE(substitute(substitute(B149,"" "",""""),""..."",""""),""\(.*\)"","""")"),"483597.891e9")</f>
        <v>483597.891e9</v>
      </c>
      <c r="H149" s="43">
        <f t="shared" si="2"/>
        <v>483597891000000</v>
      </c>
      <c r="I149" s="21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43">
        <f t="shared" si="3"/>
        <v>120000</v>
      </c>
      <c r="K149" s="43" t="b">
        <f t="shared" si="4"/>
        <v>0</v>
      </c>
      <c r="L149" s="21" t="str">
        <f>IFERROR(__xludf.DUMMYFUNCTION("if(regexmatch(B149,""e(.*)$""),regexextract(B149,""e(.*)$""),"""")"),"9")</f>
        <v>9</v>
      </c>
    </row>
    <row r="150">
      <c r="A150" s="34" t="s">
        <v>1337</v>
      </c>
      <c r="B150" s="34" t="s">
        <v>4333</v>
      </c>
      <c r="C150" s="34" t="s">
        <v>553</v>
      </c>
      <c r="D150" s="13" t="str">
        <f t="shared" si="1"/>
        <v>u</v>
      </c>
      <c r="E150" s="42">
        <f>countif(Constants!F:F,F150)</f>
        <v>1</v>
      </c>
      <c r="F150" s="21" t="str">
        <f>ifna(VLOOKUP($A150,Constants!$D:$F,3,false),"")</f>
        <v>JouleAtomicMassUnitRelationship</v>
      </c>
      <c r="G150" s="21" t="str">
        <f>IFERROR(__xludf.DUMMYFUNCTION("REGEXREPLACE(substitute(substitute(B150,"" "",""""),""..."",""""),""\(.*\)"","""")"),"6.70053641e9")</f>
        <v>6.70053641e9</v>
      </c>
      <c r="H150" s="43">
        <f t="shared" si="2"/>
        <v>6700536410</v>
      </c>
      <c r="I150" s="21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43">
        <f t="shared" si="3"/>
        <v>3.3</v>
      </c>
      <c r="K150" s="43" t="b">
        <f t="shared" si="4"/>
        <v>0</v>
      </c>
      <c r="L150" s="21" t="str">
        <f>IFERROR(__xludf.DUMMYFUNCTION("if(regexmatch(B150,""e(.*)$""),regexextract(B150,""e(.*)$""),"""")"),"9")</f>
        <v>9</v>
      </c>
    </row>
    <row r="151">
      <c r="A151" s="34" t="s">
        <v>1343</v>
      </c>
      <c r="B151" s="34" t="s">
        <v>4334</v>
      </c>
      <c r="C151" s="34" t="s">
        <v>175</v>
      </c>
      <c r="D151" s="13" t="str">
        <f t="shared" si="1"/>
        <v>eV</v>
      </c>
      <c r="E151" s="42">
        <f>countif(Constants!F:F,F151)</f>
        <v>1</v>
      </c>
      <c r="F151" s="21" t="str">
        <f>ifna(VLOOKUP($A151,Constants!$D:$F,3,false),"")</f>
        <v>JouleElectronVoltRelationship</v>
      </c>
      <c r="G151" s="21" t="str">
        <f>IFERROR(__xludf.DUMMYFUNCTION("REGEXREPLACE(substitute(substitute(B151,"" "",""""),""..."",""""),""\(.*\)"","""")"),"6.24150965e18")</f>
        <v>6.24150965e18</v>
      </c>
      <c r="H151" s="43">
        <f t="shared" si="2"/>
        <v>6.24151E+18</v>
      </c>
      <c r="I151" s="21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43">
        <f t="shared" si="3"/>
        <v>1600000000</v>
      </c>
      <c r="K151" s="43" t="b">
        <f t="shared" si="4"/>
        <v>0</v>
      </c>
      <c r="L151" s="21" t="str">
        <f>IFERROR(__xludf.DUMMYFUNCTION("if(regexmatch(B151,""e(.*)$""),regexextract(B151,""e(.*)$""),"""")"),"18")</f>
        <v>18</v>
      </c>
    </row>
    <row r="152">
      <c r="A152" s="34" t="s">
        <v>1348</v>
      </c>
      <c r="B152" s="34" t="s">
        <v>4335</v>
      </c>
      <c r="C152" s="34" t="s">
        <v>593</v>
      </c>
      <c r="D152" s="13" t="str">
        <f t="shared" si="1"/>
        <v>E_h</v>
      </c>
      <c r="E152" s="42">
        <f>countif(Constants!F:F,F152)</f>
        <v>1</v>
      </c>
      <c r="F152" s="21" t="str">
        <f>ifna(VLOOKUP($A152,Constants!$D:$F,3,false),"")</f>
        <v>JouleHartreeRelationship</v>
      </c>
      <c r="G152" s="21" t="str">
        <f>IFERROR(__xludf.DUMMYFUNCTION("REGEXREPLACE(substitute(substitute(B152,"" "",""""),""..."",""""),""\(.*\)"","""")"),"2.29371269e17")</f>
        <v>2.29371269e17</v>
      </c>
      <c r="H152" s="43">
        <f t="shared" si="2"/>
        <v>2.29371E+17</v>
      </c>
      <c r="I152" s="21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43">
        <f t="shared" si="3"/>
        <v>110000000</v>
      </c>
      <c r="K152" s="43" t="b">
        <f t="shared" si="4"/>
        <v>0</v>
      </c>
      <c r="L152" s="21" t="str">
        <f>IFERROR(__xludf.DUMMYFUNCTION("if(regexmatch(B152,""e(.*)$""),regexextract(B152,""e(.*)$""),"""")"),"17")</f>
        <v>17</v>
      </c>
    </row>
    <row r="153">
      <c r="A153" s="34" t="s">
        <v>1353</v>
      </c>
      <c r="B153" s="34" t="s">
        <v>4336</v>
      </c>
      <c r="C153" s="34" t="s">
        <v>600</v>
      </c>
      <c r="D153" s="13" t="str">
        <f t="shared" si="1"/>
        <v>Hz</v>
      </c>
      <c r="E153" s="42">
        <f>countif(Constants!F:F,F153)</f>
        <v>1</v>
      </c>
      <c r="F153" s="21" t="str">
        <f>ifna(VLOOKUP($A153,Constants!$D:$F,3,false),"")</f>
        <v>JouleHertzRelationship</v>
      </c>
      <c r="G153" s="21" t="str">
        <f>IFERROR(__xludf.DUMMYFUNCTION("REGEXREPLACE(substitute(substitute(B153,"" "",""""),""..."",""""),""\(.*\)"","""")"),"1.509190450e33")</f>
        <v>1.509190450e33</v>
      </c>
      <c r="H153" s="43">
        <f t="shared" si="2"/>
        <v>1.50919E+33</v>
      </c>
      <c r="I153" s="21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43">
        <f t="shared" si="3"/>
        <v>7.5E+23</v>
      </c>
      <c r="K153" s="43" t="b">
        <f t="shared" si="4"/>
        <v>0</v>
      </c>
      <c r="L153" s="21" t="str">
        <f>IFERROR(__xludf.DUMMYFUNCTION("if(regexmatch(B153,""e(.*)$""),regexextract(B153,""e(.*)$""),"""")"),"33")</f>
        <v>33</v>
      </c>
    </row>
    <row r="154">
      <c r="A154" s="34" t="s">
        <v>1358</v>
      </c>
      <c r="B154" s="34" t="s">
        <v>4337</v>
      </c>
      <c r="C154" s="34" t="s">
        <v>4174</v>
      </c>
      <c r="D154" s="13" t="str">
        <f t="shared" si="1"/>
        <v>m^-1</v>
      </c>
      <c r="E154" s="42">
        <f>countif(Constants!F:F,F154)</f>
        <v>1</v>
      </c>
      <c r="F154" s="21" t="str">
        <f>ifna(VLOOKUP($A154,Constants!$D:$F,3,false),"")</f>
        <v>JouleInverseMeterRelationship</v>
      </c>
      <c r="G154" s="21" t="str">
        <f>IFERROR(__xludf.DUMMYFUNCTION("REGEXREPLACE(substitute(substitute(B154,"" "",""""),""..."",""""),""\(.*\)"","""")"),"5.03411747e24")</f>
        <v>5.03411747e24</v>
      </c>
      <c r="H154" s="43">
        <f t="shared" si="2"/>
        <v>5.03412E+24</v>
      </c>
      <c r="I154" s="21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43">
        <f t="shared" si="3"/>
        <v>2.5E+15</v>
      </c>
      <c r="K154" s="43" t="b">
        <f t="shared" si="4"/>
        <v>0</v>
      </c>
      <c r="L154" s="21" t="str">
        <f>IFERROR(__xludf.DUMMYFUNCTION("if(regexmatch(B154,""e(.*)$""),regexextract(B154,""e(.*)$""),"""")"),"24")</f>
        <v>24</v>
      </c>
    </row>
    <row r="155">
      <c r="A155" s="34" t="s">
        <v>1363</v>
      </c>
      <c r="B155" s="34" t="s">
        <v>4338</v>
      </c>
      <c r="C155" s="34" t="s">
        <v>618</v>
      </c>
      <c r="D155" s="13" t="str">
        <f t="shared" si="1"/>
        <v>K</v>
      </c>
      <c r="E155" s="42">
        <f>countif(Constants!F:F,F155)</f>
        <v>1</v>
      </c>
      <c r="F155" s="21" t="str">
        <f>ifna(VLOOKUP($A155,Constants!$D:$F,3,false),"")</f>
        <v>JouleKelvinRelationship</v>
      </c>
      <c r="G155" s="21" t="str">
        <f>IFERROR(__xludf.DUMMYFUNCTION("REGEXREPLACE(substitute(substitute(B155,"" "",""""),""..."",""""),""\(.*\)"","""")"),"7.242963e22")</f>
        <v>7.242963e22</v>
      </c>
      <c r="H155" s="43">
        <f t="shared" si="2"/>
        <v>7.24296E+22</v>
      </c>
      <c r="I155" s="21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43">
        <f t="shared" si="3"/>
        <v>1.3E+15</v>
      </c>
      <c r="K155" s="43" t="b">
        <f t="shared" si="4"/>
        <v>0</v>
      </c>
      <c r="L155" s="21" t="str">
        <f>IFERROR(__xludf.DUMMYFUNCTION("if(regexmatch(B155,""e(.*)$""),regexextract(B155,""e(.*)$""),"""")"),"22")</f>
        <v>22</v>
      </c>
    </row>
    <row r="156">
      <c r="A156" s="34" t="s">
        <v>1368</v>
      </c>
      <c r="B156" s="34" t="s">
        <v>4339</v>
      </c>
      <c r="C156" s="34" t="s">
        <v>538</v>
      </c>
      <c r="D156" s="13" t="str">
        <f t="shared" si="1"/>
        <v>kg</v>
      </c>
      <c r="E156" s="42">
        <f>countif(Constants!F:F,F156)</f>
        <v>1</v>
      </c>
      <c r="F156" s="21" t="str">
        <f>ifna(VLOOKUP($A156,Constants!$D:$F,3,false),"")</f>
        <v>JouleKilogramRelationship</v>
      </c>
      <c r="G156" s="21" t="str">
        <f>IFERROR(__xludf.DUMMYFUNCTION("REGEXREPLACE(substitute(substitute(B156,"" "",""""),""..."",""""),""\(.*\)"","""")"),"1.112650056e-17")</f>
        <v>1.112650056e-17</v>
      </c>
      <c r="H156" s="43">
        <f t="shared" si="2"/>
        <v>0</v>
      </c>
      <c r="I156" s="21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43" t="str">
        <f t="shared" si="3"/>
        <v/>
      </c>
      <c r="K156" s="43" t="b">
        <f t="shared" si="4"/>
        <v>1</v>
      </c>
      <c r="L156" s="21" t="str">
        <f>IFERROR(__xludf.DUMMYFUNCTION("if(regexmatch(B156,""e(.*)$""),regexextract(B156,""e(.*)$""),"""")"),"-17")</f>
        <v>-17</v>
      </c>
    </row>
    <row r="157">
      <c r="A157" s="34" t="s">
        <v>1373</v>
      </c>
      <c r="B157" s="34" t="s">
        <v>4340</v>
      </c>
      <c r="C157" s="34" t="s">
        <v>553</v>
      </c>
      <c r="D157" s="13" t="str">
        <f t="shared" si="1"/>
        <v>u</v>
      </c>
      <c r="E157" s="42">
        <f>countif(Constants!F:F,F157)</f>
        <v>1</v>
      </c>
      <c r="F157" s="21" t="str">
        <f>ifna(VLOOKUP($A157,Constants!$D:$F,3,false),"")</f>
        <v>KelvinAtomicMassUnitRelationship</v>
      </c>
      <c r="G157" s="21" t="str">
        <f>IFERROR(__xludf.DUMMYFUNCTION("REGEXREPLACE(substitute(substitute(B157,"" "",""""),""..."",""""),""\(.*\)"","""")"),"9.251098e-14")</f>
        <v>9.251098e-14</v>
      </c>
      <c r="H157" s="43">
        <f t="shared" si="2"/>
        <v>0</v>
      </c>
      <c r="I157" s="21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43">
        <f t="shared" si="3"/>
        <v>0</v>
      </c>
      <c r="K157" s="43" t="b">
        <f t="shared" si="4"/>
        <v>0</v>
      </c>
      <c r="L157" s="21" t="str">
        <f>IFERROR(__xludf.DUMMYFUNCTION("if(regexmatch(B157,""e(.*)$""),regexextract(B157,""e(.*)$""),"""")"),"-14")</f>
        <v>-14</v>
      </c>
    </row>
    <row r="158">
      <c r="A158" s="34" t="s">
        <v>1379</v>
      </c>
      <c r="B158" s="34" t="s">
        <v>4225</v>
      </c>
      <c r="C158" s="34" t="s">
        <v>175</v>
      </c>
      <c r="D158" s="13" t="str">
        <f t="shared" si="1"/>
        <v>eV</v>
      </c>
      <c r="E158" s="42">
        <f>countif(Constants!F:F,F158)</f>
        <v>1</v>
      </c>
      <c r="F158" s="21" t="str">
        <f>ifna(VLOOKUP($A158,Constants!$D:$F,3,false),"")</f>
        <v>KelvinElectronVoltRelationship</v>
      </c>
      <c r="G158" s="21" t="str">
        <f>IFERROR(__xludf.DUMMYFUNCTION("REGEXREPLACE(substitute(substitute(B158,"" "",""""),""..."",""""),""\(.*\)"","""")"),"8.617343e-5")</f>
        <v>8.617343e-5</v>
      </c>
      <c r="H158" s="43">
        <f t="shared" si="2"/>
        <v>0.00008617343</v>
      </c>
      <c r="I158" s="21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43">
        <f t="shared" si="3"/>
        <v>0</v>
      </c>
      <c r="K158" s="43" t="b">
        <f t="shared" si="4"/>
        <v>0</v>
      </c>
      <c r="L158" s="21" t="str">
        <f>IFERROR(__xludf.DUMMYFUNCTION("if(regexmatch(B158,""e(.*)$""),regexextract(B158,""e(.*)$""),"""")"),"-5")</f>
        <v>-5</v>
      </c>
    </row>
    <row r="159">
      <c r="A159" s="34" t="s">
        <v>1384</v>
      </c>
      <c r="B159" s="34" t="s">
        <v>4341</v>
      </c>
      <c r="C159" s="34" t="s">
        <v>593</v>
      </c>
      <c r="D159" s="13" t="str">
        <f t="shared" si="1"/>
        <v>E_h</v>
      </c>
      <c r="E159" s="42">
        <f>countif(Constants!F:F,F159)</f>
        <v>1</v>
      </c>
      <c r="F159" s="21" t="str">
        <f>ifna(VLOOKUP($A159,Constants!$D:$F,3,false),"")</f>
        <v>KelvinHartreeRelationship</v>
      </c>
      <c r="G159" s="21" t="str">
        <f>IFERROR(__xludf.DUMMYFUNCTION("REGEXREPLACE(substitute(substitute(B159,"" "",""""),""..."",""""),""\(.*\)"","""")"),"3.1668153e-6")</f>
        <v>3.1668153e-6</v>
      </c>
      <c r="H159" s="43">
        <f t="shared" si="2"/>
        <v>0.0000031668153</v>
      </c>
      <c r="I159" s="21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43">
        <f t="shared" si="3"/>
        <v>0</v>
      </c>
      <c r="K159" s="43" t="b">
        <f t="shared" si="4"/>
        <v>0</v>
      </c>
      <c r="L159" s="21" t="str">
        <f>IFERROR(__xludf.DUMMYFUNCTION("if(regexmatch(B159,""e(.*)$""),regexextract(B159,""e(.*)$""),"""")"),"-6")</f>
        <v>-6</v>
      </c>
    </row>
    <row r="160">
      <c r="A160" s="34" t="s">
        <v>1389</v>
      </c>
      <c r="B160" s="34" t="s">
        <v>4223</v>
      </c>
      <c r="C160" s="34" t="s">
        <v>600</v>
      </c>
      <c r="D160" s="13" t="str">
        <f t="shared" si="1"/>
        <v>Hz</v>
      </c>
      <c r="E160" s="42">
        <f>countif(Constants!F:F,F160)</f>
        <v>1</v>
      </c>
      <c r="F160" s="21" t="str">
        <f>ifna(VLOOKUP($A160,Constants!$D:$F,3,false),"")</f>
        <v>KelvinHertzRelationship</v>
      </c>
      <c r="G160" s="21" t="str">
        <f>IFERROR(__xludf.DUMMYFUNCTION("REGEXREPLACE(substitute(substitute(B160,"" "",""""),""..."",""""),""\(.*\)"","""")"),"2.0836644e10")</f>
        <v>2.0836644e10</v>
      </c>
      <c r="H160" s="43">
        <f t="shared" si="2"/>
        <v>20836644000</v>
      </c>
      <c r="I160" s="21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43">
        <f t="shared" si="3"/>
        <v>360</v>
      </c>
      <c r="K160" s="43" t="b">
        <f t="shared" si="4"/>
        <v>0</v>
      </c>
      <c r="L160" s="21" t="str">
        <f>IFERROR(__xludf.DUMMYFUNCTION("if(regexmatch(B160,""e(.*)$""),regexextract(B160,""e(.*)$""),"""")"),"10")</f>
        <v>10</v>
      </c>
    </row>
    <row r="161">
      <c r="A161" s="34" t="s">
        <v>1394</v>
      </c>
      <c r="B161" s="34" t="s">
        <v>4227</v>
      </c>
      <c r="C161" s="34" t="s">
        <v>4174</v>
      </c>
      <c r="D161" s="13" t="str">
        <f t="shared" si="1"/>
        <v>m^-1</v>
      </c>
      <c r="E161" s="42">
        <f>countif(Constants!F:F,F161)</f>
        <v>1</v>
      </c>
      <c r="F161" s="21" t="str">
        <f>ifna(VLOOKUP($A161,Constants!$D:$F,3,false),"")</f>
        <v>KelvinInverseMeterRelationship</v>
      </c>
      <c r="G161" s="21" t="str">
        <f>IFERROR(__xludf.DUMMYFUNCTION("REGEXREPLACE(substitute(substitute(B161,"" "",""""),""..."",""""),""\(.*\)"","""")"),"69.50356")</f>
        <v>69.50356</v>
      </c>
      <c r="H161" s="43">
        <f t="shared" si="2"/>
        <v>69.50356</v>
      </c>
      <c r="I161" s="21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43">
        <f t="shared" si="3"/>
        <v>0.0000012</v>
      </c>
      <c r="K161" s="43" t="b">
        <f t="shared" si="4"/>
        <v>0</v>
      </c>
      <c r="L161" s="21" t="str">
        <f>IFERROR(__xludf.DUMMYFUNCTION("if(regexmatch(B161,""e(.*)$""),regexextract(B161,""e(.*)$""),"""")"),"")</f>
        <v/>
      </c>
    </row>
    <row r="162">
      <c r="A162" s="34" t="s">
        <v>1399</v>
      </c>
      <c r="B162" s="34" t="s">
        <v>4221</v>
      </c>
      <c r="C162" s="34" t="s">
        <v>543</v>
      </c>
      <c r="D162" s="13" t="str">
        <f t="shared" si="1"/>
        <v>J</v>
      </c>
      <c r="E162" s="42">
        <f>countif(Constants!F:F,F162)</f>
        <v>1</v>
      </c>
      <c r="F162" s="21" t="str">
        <f>ifna(VLOOKUP($A162,Constants!$D:$F,3,false),"")</f>
        <v>KelvinJouleRelationship</v>
      </c>
      <c r="G162" s="21" t="str">
        <f>IFERROR(__xludf.DUMMYFUNCTION("REGEXREPLACE(substitute(substitute(B162,"" "",""""),""..."",""""),""\(.*\)"","""")"),"1.3806504e-23")</f>
        <v>1.3806504e-23</v>
      </c>
      <c r="H162" s="43">
        <f t="shared" si="2"/>
        <v>0</v>
      </c>
      <c r="I162" s="21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43">
        <f t="shared" si="3"/>
        <v>0</v>
      </c>
      <c r="K162" s="43" t="b">
        <f t="shared" si="4"/>
        <v>0</v>
      </c>
      <c r="L162" s="21" t="str">
        <f>IFERROR(__xludf.DUMMYFUNCTION("if(regexmatch(B162,""e(.*)$""),regexextract(B162,""e(.*)$""),"""")"),"-23")</f>
        <v>-23</v>
      </c>
    </row>
    <row r="163">
      <c r="A163" s="34" t="s">
        <v>1404</v>
      </c>
      <c r="B163" s="34" t="s">
        <v>4342</v>
      </c>
      <c r="C163" s="34" t="s">
        <v>538</v>
      </c>
      <c r="D163" s="13" t="str">
        <f t="shared" si="1"/>
        <v>kg</v>
      </c>
      <c r="E163" s="42">
        <f>countif(Constants!F:F,F163)</f>
        <v>1</v>
      </c>
      <c r="F163" s="21" t="str">
        <f>ifna(VLOOKUP($A163,Constants!$D:$F,3,false),"")</f>
        <v>KelvinKilogramRelationship</v>
      </c>
      <c r="G163" s="21" t="str">
        <f>IFERROR(__xludf.DUMMYFUNCTION("REGEXREPLACE(substitute(substitute(B163,"" "",""""),""..."",""""),""\(.*\)"","""")"),"1.5361807e-40")</f>
        <v>1.5361807e-40</v>
      </c>
      <c r="H163" s="43">
        <f t="shared" si="2"/>
        <v>0</v>
      </c>
      <c r="I163" s="21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43">
        <f t="shared" si="3"/>
        <v>0</v>
      </c>
      <c r="K163" s="43" t="b">
        <f t="shared" si="4"/>
        <v>0</v>
      </c>
      <c r="L163" s="21" t="str">
        <f>IFERROR(__xludf.DUMMYFUNCTION("if(regexmatch(B163,""e(.*)$""),regexextract(B163,""e(.*)$""),"""")"),"-40")</f>
        <v>-40</v>
      </c>
    </row>
    <row r="164">
      <c r="A164" s="34" t="s">
        <v>1409</v>
      </c>
      <c r="B164" s="34" t="s">
        <v>4343</v>
      </c>
      <c r="C164" s="34" t="s">
        <v>553</v>
      </c>
      <c r="D164" s="13" t="str">
        <f t="shared" si="1"/>
        <v>u</v>
      </c>
      <c r="E164" s="42">
        <f>countif(Constants!F:F,F164)</f>
        <v>1</v>
      </c>
      <c r="F164" s="21" t="str">
        <f>ifna(VLOOKUP($A164,Constants!$D:$F,3,false),"")</f>
        <v>KilogramAtomicMassUnitRelationship</v>
      </c>
      <c r="G164" s="21" t="str">
        <f>IFERROR(__xludf.DUMMYFUNCTION("REGEXREPLACE(substitute(substitute(B164,"" "",""""),""..."",""""),""\(.*\)"","""")"),"6.02214179e26")</f>
        <v>6.02214179e26</v>
      </c>
      <c r="H164" s="43">
        <f t="shared" si="2"/>
        <v>6.02214E+26</v>
      </c>
      <c r="I164" s="21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43">
        <f t="shared" si="3"/>
        <v>3E+17</v>
      </c>
      <c r="K164" s="43" t="b">
        <f t="shared" si="4"/>
        <v>0</v>
      </c>
      <c r="L164" s="21" t="str">
        <f>IFERROR(__xludf.DUMMYFUNCTION("if(regexmatch(B164,""e(.*)$""),regexextract(B164,""e(.*)$""),"""")"),"26")</f>
        <v>26</v>
      </c>
    </row>
    <row r="165">
      <c r="A165" s="34" t="s">
        <v>1415</v>
      </c>
      <c r="B165" s="34" t="s">
        <v>4344</v>
      </c>
      <c r="C165" s="34" t="s">
        <v>175</v>
      </c>
      <c r="D165" s="13" t="str">
        <f t="shared" si="1"/>
        <v>eV</v>
      </c>
      <c r="E165" s="42">
        <f>countif(Constants!F:F,F165)</f>
        <v>1</v>
      </c>
      <c r="F165" s="21" t="str">
        <f>ifna(VLOOKUP($A165,Constants!$D:$F,3,false),"")</f>
        <v>KilogramElectronVoltRelationship</v>
      </c>
      <c r="G165" s="21" t="str">
        <f>IFERROR(__xludf.DUMMYFUNCTION("REGEXREPLACE(substitute(substitute(B165,"" "",""""),""..."",""""),""\(.*\)"","""")"),"5.60958912e35")</f>
        <v>5.60958912e35</v>
      </c>
      <c r="H165" s="43">
        <f t="shared" si="2"/>
        <v>5.60959E+35</v>
      </c>
      <c r="I165" s="21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43">
        <f t="shared" si="3"/>
        <v>1.4E+26</v>
      </c>
      <c r="K165" s="43" t="b">
        <f t="shared" si="4"/>
        <v>0</v>
      </c>
      <c r="L165" s="21" t="str">
        <f>IFERROR(__xludf.DUMMYFUNCTION("if(regexmatch(B165,""e(.*)$""),regexextract(B165,""e(.*)$""),"""")"),"35")</f>
        <v>35</v>
      </c>
    </row>
    <row r="166">
      <c r="A166" s="34" t="s">
        <v>1420</v>
      </c>
      <c r="B166" s="34" t="s">
        <v>4345</v>
      </c>
      <c r="C166" s="34" t="s">
        <v>593</v>
      </c>
      <c r="D166" s="13" t="str">
        <f t="shared" si="1"/>
        <v>E_h</v>
      </c>
      <c r="E166" s="42">
        <f>countif(Constants!F:F,F166)</f>
        <v>1</v>
      </c>
      <c r="F166" s="21" t="str">
        <f>ifna(VLOOKUP($A166,Constants!$D:$F,3,false),"")</f>
        <v>KilogramHartreeRelationship</v>
      </c>
      <c r="G166" s="21" t="str">
        <f>IFERROR(__xludf.DUMMYFUNCTION("REGEXREPLACE(substitute(substitute(B166,"" "",""""),""..."",""""),""\(.*\)"","""")"),"2.06148616e34")</f>
        <v>2.06148616e34</v>
      </c>
      <c r="H166" s="43">
        <f t="shared" si="2"/>
        <v>2.06149E+34</v>
      </c>
      <c r="I166" s="21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43">
        <f t="shared" si="3"/>
        <v>1E+25</v>
      </c>
      <c r="K166" s="43" t="b">
        <f t="shared" si="4"/>
        <v>0</v>
      </c>
      <c r="L166" s="21" t="str">
        <f>IFERROR(__xludf.DUMMYFUNCTION("if(regexmatch(B166,""e(.*)$""),regexextract(B166,""e(.*)$""),"""")"),"34")</f>
        <v>34</v>
      </c>
    </row>
    <row r="167">
      <c r="A167" s="34" t="s">
        <v>1425</v>
      </c>
      <c r="B167" s="34" t="s">
        <v>4346</v>
      </c>
      <c r="C167" s="34" t="s">
        <v>600</v>
      </c>
      <c r="D167" s="13" t="str">
        <f t="shared" si="1"/>
        <v>Hz</v>
      </c>
      <c r="E167" s="42">
        <f>countif(Constants!F:F,F167)</f>
        <v>1</v>
      </c>
      <c r="F167" s="21" t="str">
        <f>ifna(VLOOKUP($A167,Constants!$D:$F,3,false),"")</f>
        <v>KilogramHertzRelationship</v>
      </c>
      <c r="G167" s="21" t="str">
        <f>IFERROR(__xludf.DUMMYFUNCTION("REGEXREPLACE(substitute(substitute(B167,"" "",""""),""..."",""""),""\(.*\)"","""")"),"1.356392733e50")</f>
        <v>1.356392733e50</v>
      </c>
      <c r="H167" s="43">
        <f t="shared" si="2"/>
        <v>1.35639E+50</v>
      </c>
      <c r="I167" s="21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43">
        <f t="shared" si="3"/>
        <v>6.8E+40</v>
      </c>
      <c r="K167" s="43" t="b">
        <f t="shared" si="4"/>
        <v>0</v>
      </c>
      <c r="L167" s="21" t="str">
        <f>IFERROR(__xludf.DUMMYFUNCTION("if(regexmatch(B167,""e(.*)$""),regexextract(B167,""e(.*)$""),"""")"),"50")</f>
        <v>50</v>
      </c>
    </row>
    <row r="168">
      <c r="A168" s="34" t="s">
        <v>1430</v>
      </c>
      <c r="B168" s="34" t="s">
        <v>4347</v>
      </c>
      <c r="C168" s="34" t="s">
        <v>4174</v>
      </c>
      <c r="D168" s="13" t="str">
        <f t="shared" si="1"/>
        <v>m^-1</v>
      </c>
      <c r="E168" s="42">
        <f>countif(Constants!F:F,F168)</f>
        <v>1</v>
      </c>
      <c r="F168" s="21" t="str">
        <f>ifna(VLOOKUP($A168,Constants!$D:$F,3,false),"")</f>
        <v>KilogramInverseMeterRelationship</v>
      </c>
      <c r="G168" s="21" t="str">
        <f>IFERROR(__xludf.DUMMYFUNCTION("REGEXREPLACE(substitute(substitute(B168,"" "",""""),""..."",""""),""\(.*\)"","""")"),"4.52443915e41")</f>
        <v>4.52443915e41</v>
      </c>
      <c r="H168" s="43">
        <f t="shared" si="2"/>
        <v>4.52444E+41</v>
      </c>
      <c r="I168" s="21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43">
        <f t="shared" si="3"/>
        <v>2.3E+32</v>
      </c>
      <c r="K168" s="43" t="b">
        <f t="shared" si="4"/>
        <v>0</v>
      </c>
      <c r="L168" s="21" t="str">
        <f>IFERROR(__xludf.DUMMYFUNCTION("if(regexmatch(B168,""e(.*)$""),regexextract(B168,""e(.*)$""),"""")"),"41")</f>
        <v>41</v>
      </c>
    </row>
    <row r="169">
      <c r="A169" s="34" t="s">
        <v>1435</v>
      </c>
      <c r="B169" s="34" t="s">
        <v>4348</v>
      </c>
      <c r="C169" s="34" t="s">
        <v>543</v>
      </c>
      <c r="D169" s="13" t="str">
        <f t="shared" si="1"/>
        <v>J</v>
      </c>
      <c r="E169" s="42">
        <f>countif(Constants!F:F,F169)</f>
        <v>1</v>
      </c>
      <c r="F169" s="21" t="str">
        <f>ifna(VLOOKUP($A169,Constants!$D:$F,3,false),"")</f>
        <v>KilogramJouleRelationship</v>
      </c>
      <c r="G169" s="21" t="str">
        <f>IFERROR(__xludf.DUMMYFUNCTION("REGEXREPLACE(substitute(substitute(B169,"" "",""""),""..."",""""),""\(.*\)"","""")"),"8.987551787e16")</f>
        <v>8.987551787e16</v>
      </c>
      <c r="H169" s="43">
        <f t="shared" si="2"/>
        <v>8.98755E+16</v>
      </c>
      <c r="I169" s="21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43" t="str">
        <f t="shared" si="3"/>
        <v/>
      </c>
      <c r="K169" s="43" t="b">
        <f t="shared" si="4"/>
        <v>1</v>
      </c>
      <c r="L169" s="21" t="str">
        <f>IFERROR(__xludf.DUMMYFUNCTION("if(regexmatch(B169,""e(.*)$""),regexextract(B169,""e(.*)$""),"""")"),"16")</f>
        <v>16</v>
      </c>
    </row>
    <row r="170">
      <c r="A170" s="34" t="s">
        <v>1440</v>
      </c>
      <c r="B170" s="34" t="s">
        <v>4349</v>
      </c>
      <c r="C170" s="34" t="s">
        <v>618</v>
      </c>
      <c r="D170" s="13" t="str">
        <f t="shared" si="1"/>
        <v>K</v>
      </c>
      <c r="E170" s="42">
        <f>countif(Constants!F:F,F170)</f>
        <v>1</v>
      </c>
      <c r="F170" s="21" t="str">
        <f>ifna(VLOOKUP($A170,Constants!$D:$F,3,false),"")</f>
        <v>KilogramKelvinRelationship</v>
      </c>
      <c r="G170" s="21" t="str">
        <f>IFERROR(__xludf.DUMMYFUNCTION("REGEXREPLACE(substitute(substitute(B170,"" "",""""),""..."",""""),""\(.*\)"","""")"),"6.509651e39")</f>
        <v>6.509651e39</v>
      </c>
      <c r="H170" s="43">
        <f t="shared" si="2"/>
        <v>6.50965E+39</v>
      </c>
      <c r="I170" s="21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43">
        <f t="shared" si="3"/>
        <v>1.1E+32</v>
      </c>
      <c r="K170" s="43" t="b">
        <f t="shared" si="4"/>
        <v>0</v>
      </c>
      <c r="L170" s="21" t="str">
        <f>IFERROR(__xludf.DUMMYFUNCTION("if(regexmatch(B170,""e(.*)$""),regexextract(B170,""e(.*)$""),"""")"),"39")</f>
        <v>39</v>
      </c>
    </row>
    <row r="171">
      <c r="A171" s="34" t="s">
        <v>1445</v>
      </c>
      <c r="B171" s="34" t="s">
        <v>4350</v>
      </c>
      <c r="C171" s="34" t="s">
        <v>571</v>
      </c>
      <c r="D171" s="13" t="str">
        <f t="shared" si="1"/>
        <v>m</v>
      </c>
      <c r="E171" s="42">
        <f>countif(Constants!F:F,F171)</f>
        <v>1</v>
      </c>
      <c r="F171" s="21" t="str">
        <f>ifna(VLOOKUP($A171,Constants!$D:$F,3,false),"")</f>
        <v>LatticeParameterOfSilicon</v>
      </c>
      <c r="G171" s="21" t="str">
        <f>IFERROR(__xludf.DUMMYFUNCTION("REGEXREPLACE(substitute(substitute(B171,"" "",""""),""..."",""""),""\(.*\)"","""")"),"543.102064e-12")</f>
        <v>543.102064e-12</v>
      </c>
      <c r="H171" s="43">
        <f t="shared" si="2"/>
        <v>0.000000000543102064</v>
      </c>
      <c r="I171" s="21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43">
        <f t="shared" si="3"/>
        <v>0</v>
      </c>
      <c r="K171" s="43" t="b">
        <f t="shared" si="4"/>
        <v>0</v>
      </c>
      <c r="L171" s="21" t="str">
        <f>IFERROR(__xludf.DUMMYFUNCTION("if(regexmatch(B171,""e(.*)$""),regexextract(B171,""e(.*)$""),"""")"),"-12")</f>
        <v>-12</v>
      </c>
    </row>
    <row r="172">
      <c r="A172" s="34" t="s">
        <v>4351</v>
      </c>
      <c r="B172" s="34" t="s">
        <v>4352</v>
      </c>
      <c r="C172" s="34" t="s">
        <v>571</v>
      </c>
      <c r="D172" s="13" t="str">
        <f t="shared" si="1"/>
        <v>m</v>
      </c>
      <c r="E172" s="42">
        <f>countif(Constants!F:F,F172)</f>
        <v>1</v>
      </c>
      <c r="F172" s="47" t="s">
        <v>380</v>
      </c>
      <c r="G172" s="21" t="str">
        <f>IFERROR(__xludf.DUMMYFUNCTION("REGEXREPLACE(substitute(substitute(B172,"" "",""""),""..."",""""),""\(.*\)"","""")"),"192.0155762e-12")</f>
        <v>192.0155762e-12</v>
      </c>
      <c r="H172" s="43">
        <f t="shared" si="2"/>
        <v>0.0000000001920155762</v>
      </c>
      <c r="I172" s="21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43">
        <f t="shared" si="3"/>
        <v>0</v>
      </c>
      <c r="K172" s="43" t="b">
        <f t="shared" si="4"/>
        <v>0</v>
      </c>
      <c r="L172" s="21" t="str">
        <f>IFERROR(__xludf.DUMMYFUNCTION("if(regexmatch(B172,""e(.*)$""),regexextract(B172,""e(.*)$""),"""")"),"-12")</f>
        <v>-12</v>
      </c>
    </row>
    <row r="173">
      <c r="A173" s="34" t="s">
        <v>1458</v>
      </c>
      <c r="B173" s="34" t="s">
        <v>4353</v>
      </c>
      <c r="C173" s="34" t="s">
        <v>4354</v>
      </c>
      <c r="D173" s="13" t="str">
        <f t="shared" si="1"/>
        <v>m^-3</v>
      </c>
      <c r="E173" s="42">
        <f>countif(Constants!F:F,F173)</f>
        <v>1</v>
      </c>
      <c r="F173" s="21" t="str">
        <f>ifna(VLOOKUP($A173,Constants!$D:$F,3,false),"")</f>
        <v>LoschmidtConstant273K101Kpa</v>
      </c>
      <c r="G173" s="21" t="str">
        <f>IFERROR(__xludf.DUMMYFUNCTION("REGEXREPLACE(substitute(substitute(B173,"" "",""""),""..."",""""),""\(.*\)"","""")"),"2.6867774e25")</f>
        <v>2.6867774e25</v>
      </c>
      <c r="H173" s="43">
        <f t="shared" si="2"/>
        <v>2.68678E+25</v>
      </c>
      <c r="I173" s="21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43">
        <f t="shared" si="3"/>
        <v>4.7E+17</v>
      </c>
      <c r="K173" s="43" t="b">
        <f t="shared" si="4"/>
        <v>0</v>
      </c>
      <c r="L173" s="21" t="str">
        <f>IFERROR(__xludf.DUMMYFUNCTION("if(regexmatch(B173,""e(.*)$""),regexextract(B173,""e(.*)$""),"""")"),"25")</f>
        <v>25</v>
      </c>
    </row>
    <row r="174">
      <c r="A174" s="34" t="s">
        <v>2188</v>
      </c>
      <c r="B174" s="34" t="s">
        <v>4355</v>
      </c>
      <c r="C174" s="34" t="s">
        <v>4356</v>
      </c>
      <c r="D174" s="13" t="str">
        <f t="shared" si="1"/>
        <v>N A^-2</v>
      </c>
      <c r="E174" s="42">
        <f>countif(Constants!F:F,F174)</f>
        <v>1</v>
      </c>
      <c r="F174" s="47" t="s">
        <v>382</v>
      </c>
      <c r="G174" s="21" t="str">
        <f>IFERROR(__xludf.DUMMYFUNCTION("REGEXREPLACE(substitute(substitute(B174,"" "",""""),""..."",""""),""\(.*\)"","""")"),"12.566370614e-7")</f>
        <v>12.566370614e-7</v>
      </c>
      <c r="H174" s="43">
        <f t="shared" si="2"/>
        <v>0.000001256637061</v>
      </c>
      <c r="I174" s="21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43" t="str">
        <f t="shared" si="3"/>
        <v/>
      </c>
      <c r="K174" s="43" t="b">
        <f t="shared" si="4"/>
        <v>1</v>
      </c>
      <c r="L174" s="21" t="str">
        <f>IFERROR(__xludf.DUMMYFUNCTION("if(regexmatch(B174,""e(.*)$""),regexextract(B174,""e(.*)$""),"""")"),"-7")</f>
        <v>-7</v>
      </c>
    </row>
    <row r="175">
      <c r="A175" s="34" t="s">
        <v>1469</v>
      </c>
      <c r="B175" s="34" t="s">
        <v>4357</v>
      </c>
      <c r="C175" s="34" t="s">
        <v>1468</v>
      </c>
      <c r="D175" s="13" t="str">
        <f t="shared" si="1"/>
        <v>Wb</v>
      </c>
      <c r="E175" s="42">
        <f>countif(Constants!F:F,F175)</f>
        <v>1</v>
      </c>
      <c r="F175" s="47" t="s">
        <v>383</v>
      </c>
      <c r="G175" s="21" t="str">
        <f>IFERROR(__xludf.DUMMYFUNCTION("REGEXREPLACE(substitute(substitute(B175,"" "",""""),""..."",""""),""\(.*\)"","""")"),"2.067833667e-15")</f>
        <v>2.067833667e-15</v>
      </c>
      <c r="H175" s="43">
        <f t="shared" si="2"/>
        <v>0</v>
      </c>
      <c r="I175" s="21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43">
        <f t="shared" si="3"/>
        <v>0</v>
      </c>
      <c r="K175" s="43" t="b">
        <f t="shared" si="4"/>
        <v>0</v>
      </c>
      <c r="L175" s="21" t="str">
        <f>IFERROR(__xludf.DUMMYFUNCTION("if(regexmatch(B175,""e(.*)$""),regexextract(B175,""e(.*)$""),"""")"),"-15")</f>
        <v>-15</v>
      </c>
    </row>
    <row r="176">
      <c r="A176" s="34" t="s">
        <v>3502</v>
      </c>
      <c r="B176" s="34" t="s">
        <v>4358</v>
      </c>
      <c r="C176" s="34" t="s">
        <v>571</v>
      </c>
      <c r="D176" s="13" t="str">
        <f t="shared" si="1"/>
        <v>m</v>
      </c>
      <c r="E176" s="42">
        <f>countif(Constants!F:F,F176)</f>
        <v>1</v>
      </c>
      <c r="F176" s="49" t="s">
        <v>391</v>
      </c>
      <c r="G176" s="21" t="str">
        <f>IFERROR(__xludf.DUMMYFUNCTION("REGEXREPLACE(substitute(substitute(B176,"" "",""""),""..."",""""),""\(.*\)"","""")"),"1.00209955e-13")</f>
        <v>1.00209955e-13</v>
      </c>
      <c r="H176" s="43">
        <f t="shared" si="2"/>
        <v>0</v>
      </c>
      <c r="I176" s="21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43">
        <f t="shared" si="3"/>
        <v>0</v>
      </c>
      <c r="K176" s="43" t="b">
        <f t="shared" si="4"/>
        <v>0</v>
      </c>
      <c r="L176" s="21" t="str">
        <f>IFERROR(__xludf.DUMMYFUNCTION("if(regexmatch(B176,""e(.*)$""),regexextract(B176,""e(.*)$""),"""")"),"-13")</f>
        <v>-13</v>
      </c>
    </row>
    <row r="177">
      <c r="A177" s="34" t="s">
        <v>1486</v>
      </c>
      <c r="B177" s="34" t="s">
        <v>4359</v>
      </c>
      <c r="C177" s="34" t="s">
        <v>4360</v>
      </c>
      <c r="D177" s="13" t="str">
        <f t="shared" si="1"/>
        <v>J s mol^-1</v>
      </c>
      <c r="E177" s="42">
        <f>countif(Constants!F:F,F177)</f>
        <v>1</v>
      </c>
      <c r="F177" s="21" t="str">
        <f>ifna(VLOOKUP($A177,Constants!$D:$F,3,false),"")</f>
        <v>MolarPlanckConstant</v>
      </c>
      <c r="G177" s="21" t="str">
        <f>IFERROR(__xludf.DUMMYFUNCTION("REGEXREPLACE(substitute(substitute(B177,"" "",""""),""..."",""""),""\(.*\)"","""")"),"3.9903126821e-10")</f>
        <v>3.9903126821e-10</v>
      </c>
      <c r="H177" s="43">
        <f t="shared" si="2"/>
        <v>0.0000000003990312682</v>
      </c>
      <c r="I177" s="21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43">
        <f t="shared" si="3"/>
        <v>0</v>
      </c>
      <c r="K177" s="43" t="b">
        <f t="shared" si="4"/>
        <v>0</v>
      </c>
      <c r="L177" s="21" t="str">
        <f>IFERROR(__xludf.DUMMYFUNCTION("if(regexmatch(B177,""e(.*)$""),regexextract(B177,""e(.*)$""),"""")"),"-10")</f>
        <v>-10</v>
      </c>
    </row>
    <row r="178">
      <c r="A178" s="34" t="s">
        <v>1491</v>
      </c>
      <c r="B178" s="34" t="s">
        <v>4361</v>
      </c>
      <c r="C178" s="34" t="s">
        <v>4362</v>
      </c>
      <c r="D178" s="13" t="str">
        <f t="shared" si="1"/>
        <v>J m mol^-1</v>
      </c>
      <c r="E178" s="42">
        <f>countif(Constants!F:F,F178)</f>
        <v>1</v>
      </c>
      <c r="F178" s="47" t="s">
        <v>388</v>
      </c>
      <c r="G178" s="21" t="str">
        <f>IFERROR(__xludf.DUMMYFUNCTION("REGEXREPLACE(substitute(substitute(B178,"" "",""""),""..."",""""),""\(.*\)"","""")"),"0.11962656472")</f>
        <v>0.11962656472</v>
      </c>
      <c r="H178" s="43">
        <f t="shared" si="2"/>
        <v>0.1196265647</v>
      </c>
      <c r="I178" s="21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43">
        <f t="shared" si="3"/>
        <v>0</v>
      </c>
      <c r="K178" s="43" t="b">
        <f t="shared" si="4"/>
        <v>0</v>
      </c>
      <c r="L178" s="21" t="str">
        <f>IFERROR(__xludf.DUMMYFUNCTION("if(regexmatch(B178,""e(.*)$""),regexextract(B178,""e(.*)$""),"""")"),"")</f>
        <v/>
      </c>
    </row>
    <row r="179">
      <c r="A179" s="34" t="s">
        <v>1473</v>
      </c>
      <c r="B179" s="34" t="s">
        <v>4363</v>
      </c>
      <c r="C179" s="34" t="s">
        <v>4364</v>
      </c>
      <c r="D179" s="13" t="str">
        <f t="shared" si="1"/>
        <v>J mol^-1 K^-1</v>
      </c>
      <c r="E179" s="42">
        <f>countif(Constants!F:F,F179)</f>
        <v>1</v>
      </c>
      <c r="F179" s="21" t="str">
        <f>ifna(VLOOKUP($A179,Constants!$D:$F,3,false),"")</f>
        <v>MolarGasConstant</v>
      </c>
      <c r="G179" s="21" t="str">
        <f>IFERROR(__xludf.DUMMYFUNCTION("REGEXREPLACE(substitute(substitute(B179,"" "",""""),""..."",""""),""\(.*\)"","""")"),"8.314472")</f>
        <v>8.314472</v>
      </c>
      <c r="H179" s="43">
        <f t="shared" si="2"/>
        <v>8.314472</v>
      </c>
      <c r="I179" s="21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43">
        <f t="shared" si="3"/>
        <v>0.00000015</v>
      </c>
      <c r="K179" s="43" t="b">
        <f t="shared" si="4"/>
        <v>0</v>
      </c>
      <c r="L179" s="21" t="str">
        <f>IFERROR(__xludf.DUMMYFUNCTION("if(regexmatch(B179,""e(.*)$""),regexextract(B179,""e(.*)$""),"""")"),"")</f>
        <v/>
      </c>
    </row>
    <row r="180">
      <c r="A180" s="34" t="s">
        <v>1478</v>
      </c>
      <c r="B180" s="34" t="s">
        <v>4365</v>
      </c>
      <c r="C180" s="34" t="s">
        <v>4163</v>
      </c>
      <c r="D180" s="13" t="str">
        <f t="shared" si="1"/>
        <v>kg mol^-1</v>
      </c>
      <c r="E180" s="42">
        <f>countif(Constants!F:F,F180)</f>
        <v>1</v>
      </c>
      <c r="F180" s="21" t="str">
        <f>ifna(VLOOKUP($A180,Constants!$D:$F,3,false),"")</f>
        <v>MolarMassConstant</v>
      </c>
      <c r="G180" s="21" t="str">
        <f>IFERROR(__xludf.DUMMYFUNCTION("REGEXREPLACE(substitute(substitute(B180,"" "",""""),""..."",""""),""\(.*\)"","""")"),"1e-3")</f>
        <v>1e-3</v>
      </c>
      <c r="H180" s="43">
        <f t="shared" si="2"/>
        <v>0.001</v>
      </c>
      <c r="I180" s="21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43" t="str">
        <f t="shared" si="3"/>
        <v/>
      </c>
      <c r="K180" s="43" t="b">
        <f t="shared" si="4"/>
        <v>0</v>
      </c>
      <c r="L180" s="21" t="str">
        <f>IFERROR(__xludf.DUMMYFUNCTION("if(regexmatch(B180,""e(.*)$""),regexextract(B180,""e(.*)$""),"""")"),"-3")</f>
        <v>-3</v>
      </c>
    </row>
    <row r="181">
      <c r="A181" s="34" t="s">
        <v>1482</v>
      </c>
      <c r="B181" s="34" t="s">
        <v>4366</v>
      </c>
      <c r="C181" s="34" t="s">
        <v>4163</v>
      </c>
      <c r="D181" s="13" t="str">
        <f t="shared" si="1"/>
        <v>kg mol^-1</v>
      </c>
      <c r="E181" s="42">
        <f>countif(Constants!F:F,F181)</f>
        <v>1</v>
      </c>
      <c r="F181" s="21" t="str">
        <f>ifna(VLOOKUP($A181,Constants!$D:$F,3,false),"")</f>
        <v>MolarMassOfCarbon12</v>
      </c>
      <c r="G181" s="21" t="str">
        <f>IFERROR(__xludf.DUMMYFUNCTION("REGEXREPLACE(substitute(substitute(B181,"" "",""""),""..."",""""),""\(.*\)"","""")"),"12e-3")</f>
        <v>12e-3</v>
      </c>
      <c r="H181" s="43">
        <f t="shared" si="2"/>
        <v>0.012</v>
      </c>
      <c r="I181" s="21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43" t="str">
        <f t="shared" si="3"/>
        <v/>
      </c>
      <c r="K181" s="43" t="b">
        <f t="shared" si="4"/>
        <v>0</v>
      </c>
      <c r="L181" s="21" t="str">
        <f>IFERROR(__xludf.DUMMYFUNCTION("if(regexmatch(B181,""e(.*)$""),regexextract(B181,""e(.*)$""),"""")"),"-3")</f>
        <v>-3</v>
      </c>
    </row>
    <row r="182">
      <c r="A182" s="34" t="s">
        <v>1498</v>
      </c>
      <c r="B182" s="34" t="s">
        <v>4367</v>
      </c>
      <c r="C182" s="34" t="s">
        <v>4368</v>
      </c>
      <c r="D182" s="13" t="str">
        <f t="shared" si="1"/>
        <v>m^3 mol^-1</v>
      </c>
      <c r="E182" s="42">
        <f>countif(Constants!F:F,F182)</f>
        <v>1</v>
      </c>
      <c r="F182" s="21" t="str">
        <f>ifna(VLOOKUP($A182,Constants!$D:$F,3,false),"")</f>
        <v>MolarVolumeOfIdealGas</v>
      </c>
      <c r="G182" s="21" t="str">
        <f>IFERROR(__xludf.DUMMYFUNCTION("REGEXREPLACE(substitute(substitute(B182,"" "",""""),""..."",""""),""\(.*\)"","""")"),"22.710981e-3")</f>
        <v>22.710981e-3</v>
      </c>
      <c r="H182" s="43">
        <f t="shared" si="2"/>
        <v>0.022710981</v>
      </c>
      <c r="I182" s="21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43">
        <f t="shared" si="3"/>
        <v>0.0000000004</v>
      </c>
      <c r="K182" s="43" t="b">
        <f t="shared" si="4"/>
        <v>0</v>
      </c>
      <c r="L182" s="21" t="str">
        <f>IFERROR(__xludf.DUMMYFUNCTION("if(regexmatch(B182,""e(.*)$""),regexextract(B182,""e(.*)$""),"""")"),"-3")</f>
        <v>-3</v>
      </c>
    </row>
    <row r="183">
      <c r="A183" s="34" t="s">
        <v>1503</v>
      </c>
      <c r="B183" s="34" t="s">
        <v>4369</v>
      </c>
      <c r="C183" s="34" t="s">
        <v>4368</v>
      </c>
      <c r="D183" s="13" t="str">
        <f t="shared" si="1"/>
        <v>m^3 mol^-1</v>
      </c>
      <c r="E183" s="42">
        <f>countif(Constants!F:F,F183)</f>
        <v>1</v>
      </c>
      <c r="F183" s="21" t="str">
        <f>ifna(VLOOKUP($A183,Constants!$D:$F,3,false),"")</f>
        <v>MolarVolumeOfIdealGas273K101Kpa</v>
      </c>
      <c r="G183" s="21" t="str">
        <f>IFERROR(__xludf.DUMMYFUNCTION("REGEXREPLACE(substitute(substitute(B183,"" "",""""),""..."",""""),""\(.*\)"","""")"),"22.413996e-3")</f>
        <v>22.413996e-3</v>
      </c>
      <c r="H183" s="43">
        <f t="shared" si="2"/>
        <v>0.022413996</v>
      </c>
      <c r="I183" s="21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43">
        <f t="shared" si="3"/>
        <v>0.00000000039</v>
      </c>
      <c r="K183" s="43" t="b">
        <f t="shared" si="4"/>
        <v>0</v>
      </c>
      <c r="L183" s="21" t="str">
        <f>IFERROR(__xludf.DUMMYFUNCTION("if(regexmatch(B183,""e(.*)$""),regexextract(B183,""e(.*)$""),"""")"),"-3")</f>
        <v>-3</v>
      </c>
    </row>
    <row r="184">
      <c r="A184" s="34" t="s">
        <v>1507</v>
      </c>
      <c r="B184" s="34" t="s">
        <v>4370</v>
      </c>
      <c r="C184" s="34" t="s">
        <v>4368</v>
      </c>
      <c r="D184" s="13" t="str">
        <f t="shared" si="1"/>
        <v>m^3 mol^-1</v>
      </c>
      <c r="E184" s="42">
        <f>countif(Constants!F:F,F184)</f>
        <v>1</v>
      </c>
      <c r="F184" s="21" t="str">
        <f>ifna(VLOOKUP($A184,Constants!$D:$F,3,false),"")</f>
        <v>MolarVolumeOfSilicon</v>
      </c>
      <c r="G184" s="21" t="str">
        <f>IFERROR(__xludf.DUMMYFUNCTION("REGEXREPLACE(substitute(substitute(B184,"" "",""""),""..."",""""),""\(.*\)"","""")"),"12.0588349e-6")</f>
        <v>12.0588349e-6</v>
      </c>
      <c r="H184" s="43">
        <f t="shared" si="2"/>
        <v>0.0000120588349</v>
      </c>
      <c r="I184" s="21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43">
        <f t="shared" si="3"/>
        <v>0</v>
      </c>
      <c r="K184" s="43" t="b">
        <f t="shared" si="4"/>
        <v>0</v>
      </c>
      <c r="L184" s="21" t="str">
        <f>IFERROR(__xludf.DUMMYFUNCTION("if(regexmatch(B184,""e(.*)$""),regexextract(B184,""e(.*)$""),"""")"),"-6")</f>
        <v>-6</v>
      </c>
    </row>
    <row r="185">
      <c r="A185" s="34" t="s">
        <v>1515</v>
      </c>
      <c r="B185" s="34" t="s">
        <v>4371</v>
      </c>
      <c r="C185" s="34" t="s">
        <v>571</v>
      </c>
      <c r="D185" s="13" t="str">
        <f t="shared" si="1"/>
        <v>m</v>
      </c>
      <c r="E185" s="42">
        <f>countif(Constants!F:F,F185)</f>
        <v>1</v>
      </c>
      <c r="F185" s="21" t="str">
        <f>ifna(VLOOKUP($A185,Constants!$D:$F,3,false),"")</f>
        <v>MuonComptonWavelength</v>
      </c>
      <c r="G185" s="21" t="str">
        <f>IFERROR(__xludf.DUMMYFUNCTION("REGEXREPLACE(substitute(substitute(B185,"" "",""""),""..."",""""),""\(.*\)"","""")"),"11.73444104e-15")</f>
        <v>11.73444104e-15</v>
      </c>
      <c r="H185" s="43">
        <f t="shared" si="2"/>
        <v>0</v>
      </c>
      <c r="I185" s="21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43">
        <f t="shared" si="3"/>
        <v>0</v>
      </c>
      <c r="K185" s="43" t="b">
        <f t="shared" si="4"/>
        <v>0</v>
      </c>
      <c r="L185" s="21" t="str">
        <f>IFERROR(__xludf.DUMMYFUNCTION("if(regexmatch(B185,""e(.*)$""),regexextract(B185,""e(.*)$""),"""")"),"-15")</f>
        <v>-15</v>
      </c>
    </row>
    <row r="186">
      <c r="A186" s="34" t="s">
        <v>1519</v>
      </c>
      <c r="B186" s="34" t="s">
        <v>4372</v>
      </c>
      <c r="C186" s="34" t="s">
        <v>571</v>
      </c>
      <c r="D186" s="13" t="str">
        <f t="shared" si="1"/>
        <v>m</v>
      </c>
      <c r="E186" s="42">
        <f>countif(Constants!F:F,F186)</f>
        <v>1</v>
      </c>
      <c r="F186" s="47" t="s">
        <v>3506</v>
      </c>
      <c r="G186" s="21" t="str">
        <f>IFERROR(__xludf.DUMMYFUNCTION("REGEXREPLACE(substitute(substitute(B186,"" "",""""),""..."",""""),""\(.*\)"","""")"),"1.867594295e-15")</f>
        <v>1.867594295e-15</v>
      </c>
      <c r="H186" s="43">
        <f t="shared" si="2"/>
        <v>0</v>
      </c>
      <c r="I186" s="21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43">
        <f t="shared" si="3"/>
        <v>0</v>
      </c>
      <c r="K186" s="43" t="b">
        <f t="shared" si="4"/>
        <v>0</v>
      </c>
      <c r="L186" s="21" t="str">
        <f>IFERROR(__xludf.DUMMYFUNCTION("if(regexmatch(B186,""e(.*)$""),regexextract(B186,""e(.*)$""),"""")"),"-15")</f>
        <v>-15</v>
      </c>
    </row>
    <row r="187">
      <c r="A187" s="34" t="s">
        <v>1530</v>
      </c>
      <c r="B187" s="34" t="s">
        <v>4373</v>
      </c>
      <c r="C187" s="34"/>
      <c r="D187" s="13" t="str">
        <f t="shared" si="1"/>
        <v/>
      </c>
      <c r="E187" s="42">
        <f>countif(Constants!F:F,F187)</f>
        <v>1</v>
      </c>
      <c r="F187" s="21" t="str">
        <f>ifna(VLOOKUP($A187,Constants!$D:$F,3,false),"")</f>
        <v>MuonGFactor</v>
      </c>
      <c r="G187" s="21" t="str">
        <f>IFERROR(__xludf.DUMMYFUNCTION("REGEXREPLACE(substitute(substitute(B187,"" "",""""),""..."",""""),""\(.*\)"","""")"),"-2.0023318414")</f>
        <v>-2.0023318414</v>
      </c>
      <c r="H187" s="43">
        <f t="shared" si="2"/>
        <v>-2.002331841</v>
      </c>
      <c r="I187" s="21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43">
        <f t="shared" si="3"/>
        <v>0</v>
      </c>
      <c r="K187" s="43" t="b">
        <f t="shared" si="4"/>
        <v>0</v>
      </c>
      <c r="L187" s="21" t="str">
        <f>IFERROR(__xludf.DUMMYFUNCTION("if(regexmatch(B187,""e(.*)$""),regexextract(B187,""e(.*)$""),"""")"),"")</f>
        <v/>
      </c>
    </row>
    <row r="188">
      <c r="A188" s="34" t="s">
        <v>1535</v>
      </c>
      <c r="B188" s="34" t="s">
        <v>4374</v>
      </c>
      <c r="C188" s="34" t="s">
        <v>4197</v>
      </c>
      <c r="D188" s="13" t="str">
        <f t="shared" si="1"/>
        <v>J T^-1</v>
      </c>
      <c r="E188" s="42">
        <f>countif(Constants!F:F,F188)</f>
        <v>1</v>
      </c>
      <c r="F188" s="47" t="s">
        <v>395</v>
      </c>
      <c r="G188" s="21" t="str">
        <f>IFERROR(__xludf.DUMMYFUNCTION("REGEXREPLACE(substitute(substitute(B188,"" "",""""),""..."",""""),""\(.*\)"","""")"),"-4.49044786e-26")</f>
        <v>-4.49044786e-26</v>
      </c>
      <c r="H188" s="43">
        <f t="shared" si="2"/>
        <v>0</v>
      </c>
      <c r="I188" s="21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43">
        <f t="shared" si="3"/>
        <v>0</v>
      </c>
      <c r="K188" s="43" t="b">
        <f t="shared" si="4"/>
        <v>0</v>
      </c>
      <c r="L188" s="21" t="str">
        <f>IFERROR(__xludf.DUMMYFUNCTION("if(regexmatch(B188,""e(.*)$""),regexextract(B188,""e(.*)$""),"""")"),"-26")</f>
        <v>-26</v>
      </c>
    </row>
    <row r="189">
      <c r="A189" s="34" t="s">
        <v>1541</v>
      </c>
      <c r="B189" s="34" t="s">
        <v>4375</v>
      </c>
      <c r="C189" s="34"/>
      <c r="D189" s="13" t="str">
        <f t="shared" si="1"/>
        <v/>
      </c>
      <c r="E189" s="42">
        <f>countif(Constants!F:F,F189)</f>
        <v>1</v>
      </c>
      <c r="F189" s="47" t="s">
        <v>396</v>
      </c>
      <c r="G189" s="21" t="str">
        <f>IFERROR(__xludf.DUMMYFUNCTION("REGEXREPLACE(substitute(substitute(B189,"" "",""""),""..."",""""),""\(.*\)"","""")"),"1.16592069e-3")</f>
        <v>1.16592069e-3</v>
      </c>
      <c r="H189" s="43">
        <f t="shared" si="2"/>
        <v>0.00116592069</v>
      </c>
      <c r="I189" s="21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43">
        <f t="shared" si="3"/>
        <v>0</v>
      </c>
      <c r="K189" s="43" t="b">
        <f t="shared" si="4"/>
        <v>0</v>
      </c>
      <c r="L189" s="21" t="str">
        <f>IFERROR(__xludf.DUMMYFUNCTION("if(regexmatch(B189,""e(.*)$""),regexextract(B189,""e(.*)$""),"""")"),"-3")</f>
        <v>-3</v>
      </c>
    </row>
    <row r="190">
      <c r="A190" s="34" t="s">
        <v>1546</v>
      </c>
      <c r="B190" s="34" t="s">
        <v>4376</v>
      </c>
      <c r="C190" s="34"/>
      <c r="D190" s="13" t="str">
        <f t="shared" si="1"/>
        <v/>
      </c>
      <c r="E190" s="42">
        <f>countif(Constants!F:F,F190)</f>
        <v>1</v>
      </c>
      <c r="F190" s="47" t="s">
        <v>397</v>
      </c>
      <c r="G190" s="21" t="str">
        <f>IFERROR(__xludf.DUMMYFUNCTION("REGEXREPLACE(substitute(substitute(B190,"" "",""""),""..."",""""),""\(.*\)"","""")"),"-4.84197049e-3")</f>
        <v>-4.84197049e-3</v>
      </c>
      <c r="H190" s="43">
        <f t="shared" si="2"/>
        <v>-0.00484197049</v>
      </c>
      <c r="I190" s="21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43">
        <f t="shared" si="3"/>
        <v>0</v>
      </c>
      <c r="K190" s="43" t="b">
        <f t="shared" si="4"/>
        <v>0</v>
      </c>
      <c r="L190" s="21" t="str">
        <f>IFERROR(__xludf.DUMMYFUNCTION("if(regexmatch(B190,""e(.*)$""),regexextract(B190,""e(.*)$""),"""")"),"-3")</f>
        <v>-3</v>
      </c>
    </row>
    <row r="191">
      <c r="A191" s="34" t="s">
        <v>1551</v>
      </c>
      <c r="B191" s="34" t="s">
        <v>4377</v>
      </c>
      <c r="C191" s="34"/>
      <c r="D191" s="13" t="str">
        <f t="shared" si="1"/>
        <v/>
      </c>
      <c r="E191" s="42">
        <f>countif(Constants!F:F,F191)</f>
        <v>1</v>
      </c>
      <c r="F191" s="47" t="s">
        <v>398</v>
      </c>
      <c r="G191" s="21" t="str">
        <f>IFERROR(__xludf.DUMMYFUNCTION("REGEXREPLACE(substitute(substitute(B191,"" "",""""),""..."",""""),""\(.*\)"","""")"),"-8.89059705")</f>
        <v>-8.89059705</v>
      </c>
      <c r="H191" s="43">
        <f t="shared" si="2"/>
        <v>-8.89059705</v>
      </c>
      <c r="I191" s="21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43">
        <f t="shared" si="3"/>
        <v>0.0000000023</v>
      </c>
      <c r="K191" s="43" t="b">
        <f t="shared" si="4"/>
        <v>0</v>
      </c>
      <c r="L191" s="21" t="str">
        <f>IFERROR(__xludf.DUMMYFUNCTION("if(regexmatch(B191,""e(.*)$""),regexextract(B191,""e(.*)$""),"""")"),"")</f>
        <v/>
      </c>
    </row>
    <row r="192">
      <c r="A192" s="34" t="s">
        <v>1555</v>
      </c>
      <c r="B192" s="34" t="s">
        <v>4378</v>
      </c>
      <c r="C192" s="34" t="s">
        <v>538</v>
      </c>
      <c r="D192" s="13" t="str">
        <f t="shared" si="1"/>
        <v>kg</v>
      </c>
      <c r="E192" s="42">
        <f>countif(Constants!F:F,F192)</f>
        <v>1</v>
      </c>
      <c r="F192" s="21" t="str">
        <f>ifna(VLOOKUP($A192,Constants!$D:$F,3,false),"")</f>
        <v>MuonMass</v>
      </c>
      <c r="G192" s="21" t="str">
        <f>IFERROR(__xludf.DUMMYFUNCTION("REGEXREPLACE(substitute(substitute(B192,"" "",""""),""..."",""""),""\(.*\)"","""")"),"1.88353130e-28")</f>
        <v>1.88353130e-28</v>
      </c>
      <c r="H192" s="43">
        <f t="shared" si="2"/>
        <v>0</v>
      </c>
      <c r="I192" s="21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43">
        <f t="shared" si="3"/>
        <v>0</v>
      </c>
      <c r="K192" s="43" t="b">
        <f t="shared" si="4"/>
        <v>0</v>
      </c>
      <c r="L192" s="21" t="str">
        <f>IFERROR(__xludf.DUMMYFUNCTION("if(regexmatch(B192,""e(.*)$""),regexextract(B192,""e(.*)$""),"""")"),"-28")</f>
        <v>-28</v>
      </c>
    </row>
    <row r="193">
      <c r="A193" s="34" t="s">
        <v>1559</v>
      </c>
      <c r="B193" s="34" t="s">
        <v>4379</v>
      </c>
      <c r="C193" s="34" t="s">
        <v>543</v>
      </c>
      <c r="D193" s="13" t="str">
        <f t="shared" si="1"/>
        <v>J</v>
      </c>
      <c r="E193" s="42">
        <f>countif(Constants!F:F,F193)</f>
        <v>1</v>
      </c>
      <c r="F193" s="21" t="str">
        <f>ifna(VLOOKUP($A193,Constants!$D:$F,3,false),"")</f>
        <v>MuonMassEnergyEquivalent</v>
      </c>
      <c r="G193" s="21" t="str">
        <f>IFERROR(__xludf.DUMMYFUNCTION("REGEXREPLACE(substitute(substitute(B193,"" "",""""),""..."",""""),""\(.*\)"","""")"),"1.692833510e-11")</f>
        <v>1.692833510e-11</v>
      </c>
      <c r="H193" s="43">
        <f t="shared" si="2"/>
        <v>0</v>
      </c>
      <c r="I193" s="21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43">
        <f t="shared" si="3"/>
        <v>0</v>
      </c>
      <c r="K193" s="43" t="b">
        <f t="shared" si="4"/>
        <v>0</v>
      </c>
      <c r="L193" s="21" t="str">
        <f>IFERROR(__xludf.DUMMYFUNCTION("if(regexmatch(B193,""e(.*)$""),regexextract(B193,""e(.*)$""),"""")"),"-11")</f>
        <v>-11</v>
      </c>
    </row>
    <row r="194">
      <c r="A194" s="34" t="s">
        <v>1563</v>
      </c>
      <c r="B194" s="34" t="s">
        <v>4380</v>
      </c>
      <c r="C194" s="34" t="s">
        <v>548</v>
      </c>
      <c r="D194" s="13" t="str">
        <f t="shared" si="1"/>
        <v>MeV</v>
      </c>
      <c r="E194" s="42">
        <f>countif(Constants!F:F,F194)</f>
        <v>1</v>
      </c>
      <c r="F194" s="21" t="str">
        <f>ifna(VLOOKUP($A194,Constants!$D:$F,3,false),"")</f>
        <v>MuonMassEnergyEquivalentInMeV</v>
      </c>
      <c r="G194" s="21" t="str">
        <f>IFERROR(__xludf.DUMMYFUNCTION("REGEXREPLACE(substitute(substitute(B194,"" "",""""),""..."",""""),""\(.*\)"","""")"),"105.6583668")</f>
        <v>105.6583668</v>
      </c>
      <c r="H194" s="43">
        <f t="shared" si="2"/>
        <v>105.6583668</v>
      </c>
      <c r="I194" s="21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43">
        <f t="shared" si="3"/>
        <v>0.000000038</v>
      </c>
      <c r="K194" s="43" t="b">
        <f t="shared" si="4"/>
        <v>0</v>
      </c>
      <c r="L194" s="21" t="str">
        <f>IFERROR(__xludf.DUMMYFUNCTION("if(regexmatch(B194,""e(.*)$""),regexextract(B194,""e(.*)$""),"""")"),"")</f>
        <v/>
      </c>
    </row>
    <row r="195">
      <c r="A195" s="34" t="s">
        <v>1566</v>
      </c>
      <c r="B195" s="34" t="s">
        <v>4381</v>
      </c>
      <c r="C195" s="34" t="s">
        <v>553</v>
      </c>
      <c r="D195" s="13" t="str">
        <f t="shared" si="1"/>
        <v>u</v>
      </c>
      <c r="E195" s="42">
        <f>countif(Constants!F:F,F195)</f>
        <v>1</v>
      </c>
      <c r="F195" s="21" t="str">
        <f>ifna(VLOOKUP($A195,Constants!$D:$F,3,false),"")</f>
        <v>MuonMassInAtomicMassUnit</v>
      </c>
      <c r="G195" s="21" t="str">
        <f>IFERROR(__xludf.DUMMYFUNCTION("REGEXREPLACE(substitute(substitute(B195,"" "",""""),""..."",""""),""\(.*\)"","""")"),"0.1134289256")</f>
        <v>0.1134289256</v>
      </c>
      <c r="H195" s="43">
        <f t="shared" si="2"/>
        <v>0.1134289256</v>
      </c>
      <c r="I195" s="21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43">
        <f t="shared" si="3"/>
        <v>0</v>
      </c>
      <c r="K195" s="43" t="b">
        <f t="shared" si="4"/>
        <v>0</v>
      </c>
      <c r="L195" s="21" t="str">
        <f>IFERROR(__xludf.DUMMYFUNCTION("if(regexmatch(B195,""e(.*)$""),regexextract(B195,""e(.*)$""),"""")"),"")</f>
        <v/>
      </c>
    </row>
    <row r="196">
      <c r="A196" s="34" t="s">
        <v>1569</v>
      </c>
      <c r="B196" s="34" t="s">
        <v>4382</v>
      </c>
      <c r="C196" s="34" t="s">
        <v>4163</v>
      </c>
      <c r="D196" s="13" t="str">
        <f t="shared" si="1"/>
        <v>kg mol^-1</v>
      </c>
      <c r="E196" s="42">
        <f>countif(Constants!F:F,F196)</f>
        <v>1</v>
      </c>
      <c r="F196" s="21" t="str">
        <f>ifna(VLOOKUP($A196,Constants!$D:$F,3,false),"")</f>
        <v>MuonMolarMass</v>
      </c>
      <c r="G196" s="21" t="str">
        <f>IFERROR(__xludf.DUMMYFUNCTION("REGEXREPLACE(substitute(substitute(B196,"" "",""""),""..."",""""),""\(.*\)"","""")"),"0.1134289256e-3")</f>
        <v>0.1134289256e-3</v>
      </c>
      <c r="H196" s="43">
        <f t="shared" si="2"/>
        <v>0.0001134289256</v>
      </c>
      <c r="I196" s="21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43">
        <f t="shared" si="3"/>
        <v>0</v>
      </c>
      <c r="K196" s="43" t="b">
        <f t="shared" si="4"/>
        <v>0</v>
      </c>
      <c r="L196" s="21" t="str">
        <f>IFERROR(__xludf.DUMMYFUNCTION("if(regexmatch(B196,""e(.*)$""),regexextract(B196,""e(.*)$""),"""")"),"-3")</f>
        <v>-3</v>
      </c>
    </row>
    <row r="197">
      <c r="A197" s="34" t="s">
        <v>1525</v>
      </c>
      <c r="B197" s="34" t="s">
        <v>4383</v>
      </c>
      <c r="C197" s="34"/>
      <c r="D197" s="13" t="str">
        <f t="shared" si="1"/>
        <v/>
      </c>
      <c r="E197" s="42">
        <f>countif(Constants!F:F,F197)</f>
        <v>1</v>
      </c>
      <c r="F197" s="21" t="str">
        <f>ifna(VLOOKUP($A197,Constants!$D:$F,3,false),"")</f>
        <v>MuonElectronMassRatio</v>
      </c>
      <c r="G197" s="21" t="str">
        <f>IFERROR(__xludf.DUMMYFUNCTION("REGEXREPLACE(substitute(substitute(B197,"" "",""""),""..."",""""),""\(.*\)"","""")"),"206.7682823")</f>
        <v>206.7682823</v>
      </c>
      <c r="H197" s="43">
        <f t="shared" si="2"/>
        <v>206.7682823</v>
      </c>
      <c r="I197" s="21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43">
        <f t="shared" si="3"/>
        <v>0.000000052</v>
      </c>
      <c r="K197" s="43" t="b">
        <f t="shared" si="4"/>
        <v>0</v>
      </c>
      <c r="L197" s="21" t="str">
        <f>IFERROR(__xludf.DUMMYFUNCTION("if(regexmatch(B197,""e(.*)$""),regexextract(B197,""e(.*)$""),"""")"),"")</f>
        <v/>
      </c>
    </row>
    <row r="198">
      <c r="A198" s="34" t="s">
        <v>1573</v>
      </c>
      <c r="B198" s="34" t="s">
        <v>4384</v>
      </c>
      <c r="C198" s="34"/>
      <c r="D198" s="13" t="str">
        <f t="shared" si="1"/>
        <v/>
      </c>
      <c r="E198" s="42">
        <f>countif(Constants!F:F,F198)</f>
        <v>1</v>
      </c>
      <c r="F198" s="21" t="str">
        <f>ifna(VLOOKUP($A198,Constants!$D:$F,3,false),"")</f>
        <v>MuonNeutronMassRatio</v>
      </c>
      <c r="G198" s="21" t="str">
        <f>IFERROR(__xludf.DUMMYFUNCTION("REGEXREPLACE(substitute(substitute(B198,"" "",""""),""..."",""""),""\(.*\)"","""")"),"0.1124545167")</f>
        <v>0.1124545167</v>
      </c>
      <c r="H198" s="43">
        <f t="shared" si="2"/>
        <v>0.1124545167</v>
      </c>
      <c r="I198" s="21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43">
        <f t="shared" si="3"/>
        <v>0</v>
      </c>
      <c r="K198" s="43" t="b">
        <f t="shared" si="4"/>
        <v>0</v>
      </c>
      <c r="L198" s="21" t="str">
        <f>IFERROR(__xludf.DUMMYFUNCTION("if(regexmatch(B198,""e(.*)$""),regexextract(B198,""e(.*)$""),"""")"),"")</f>
        <v/>
      </c>
    </row>
    <row r="199">
      <c r="A199" s="34" t="s">
        <v>4385</v>
      </c>
      <c r="B199" s="34" t="s">
        <v>4386</v>
      </c>
      <c r="C199" s="34"/>
      <c r="D199" s="13" t="str">
        <f t="shared" si="1"/>
        <v/>
      </c>
      <c r="E199" s="42">
        <f>countif(Constants!F:F,F199)</f>
        <v>1</v>
      </c>
      <c r="F199" s="47" t="s">
        <v>402</v>
      </c>
      <c r="G199" s="21" t="str">
        <f>IFERROR(__xludf.DUMMYFUNCTION("REGEXREPLACE(substitute(substitute(B199,"" "",""""),""..."",""""),""\(.*\)"","""")"),"-3.183345137")</f>
        <v>-3.183345137</v>
      </c>
      <c r="H199" s="43">
        <f t="shared" si="2"/>
        <v>-3.183345137</v>
      </c>
      <c r="I199" s="21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43">
        <f t="shared" si="3"/>
        <v>0.00000000085</v>
      </c>
      <c r="K199" s="43" t="b">
        <f t="shared" si="4"/>
        <v>0</v>
      </c>
      <c r="L199" s="21" t="str">
        <f>IFERROR(__xludf.DUMMYFUNCTION("if(regexmatch(B199,""e(.*)$""),regexextract(B199,""e(.*)$""),"""")"),"")</f>
        <v/>
      </c>
    </row>
    <row r="200">
      <c r="A200" s="34" t="s">
        <v>1583</v>
      </c>
      <c r="B200" s="34" t="s">
        <v>4387</v>
      </c>
      <c r="C200" s="34"/>
      <c r="D200" s="13" t="str">
        <f t="shared" si="1"/>
        <v/>
      </c>
      <c r="E200" s="42">
        <f>countif(Constants!F:F,F200)</f>
        <v>1</v>
      </c>
      <c r="F200" s="21" t="str">
        <f>ifna(VLOOKUP($A200,Constants!$D:$F,3,false),"")</f>
        <v>MuonProtonMassRatio</v>
      </c>
      <c r="G200" s="21" t="str">
        <f>IFERROR(__xludf.DUMMYFUNCTION("REGEXREPLACE(substitute(substitute(B200,"" "",""""),""..."",""""),""\(.*\)"","""")"),"0.1126095261")</f>
        <v>0.1126095261</v>
      </c>
      <c r="H200" s="43">
        <f t="shared" si="2"/>
        <v>0.1126095261</v>
      </c>
      <c r="I200" s="21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43">
        <f t="shared" si="3"/>
        <v>0</v>
      </c>
      <c r="K200" s="43" t="b">
        <f t="shared" si="4"/>
        <v>0</v>
      </c>
      <c r="L200" s="21" t="str">
        <f>IFERROR(__xludf.DUMMYFUNCTION("if(regexmatch(B200,""e(.*)$""),regexextract(B200,""e(.*)$""),"""")"),"")</f>
        <v/>
      </c>
    </row>
    <row r="201">
      <c r="A201" s="34" t="s">
        <v>1588</v>
      </c>
      <c r="B201" s="34" t="s">
        <v>4388</v>
      </c>
      <c r="C201" s="34"/>
      <c r="D201" s="13" t="str">
        <f t="shared" si="1"/>
        <v/>
      </c>
      <c r="E201" s="42">
        <f>countif(Constants!F:F,F201)</f>
        <v>1</v>
      </c>
      <c r="F201" s="21" t="str">
        <f>ifna(VLOOKUP($A201,Constants!$D:$F,3,false),"")</f>
        <v>MuonTauMassRatio</v>
      </c>
      <c r="G201" s="21" t="str">
        <f>IFERROR(__xludf.DUMMYFUNCTION("REGEXREPLACE(substitute(substitute(B201,"" "",""""),""..."",""""),""\(.*\)"","""")"),"5.94592e-2")</f>
        <v>5.94592e-2</v>
      </c>
      <c r="H201" s="43">
        <f t="shared" si="2"/>
        <v>0.0594592</v>
      </c>
      <c r="I201" s="21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43">
        <f t="shared" si="3"/>
        <v>0.000000097</v>
      </c>
      <c r="K201" s="43" t="b">
        <f t="shared" si="4"/>
        <v>0</v>
      </c>
      <c r="L201" s="21" t="str">
        <f>IFERROR(__xludf.DUMMYFUNCTION("if(regexmatch(B201,""e(.*)$""),regexextract(B201,""e(.*)$""),"""")"),"-2")</f>
        <v>-2</v>
      </c>
    </row>
    <row r="202">
      <c r="A202" s="34" t="s">
        <v>1593</v>
      </c>
      <c r="B202" s="34" t="s">
        <v>4180</v>
      </c>
      <c r="C202" s="34" t="s">
        <v>643</v>
      </c>
      <c r="D202" s="13" t="str">
        <f t="shared" si="1"/>
        <v>J s</v>
      </c>
      <c r="E202" s="42">
        <f>countif(Constants!F:F,F202)</f>
        <v>1</v>
      </c>
      <c r="F202" s="21" t="str">
        <f>ifna(VLOOKUP($A202,Constants!$D:$F,3,false),"")</f>
        <v>NaturalUnitOfAction</v>
      </c>
      <c r="G202" s="21" t="str">
        <f>IFERROR(__xludf.DUMMYFUNCTION("REGEXREPLACE(substitute(substitute(B202,"" "",""""),""..."",""""),""\(.*\)"","""")"),"1.054571628e-34")</f>
        <v>1.054571628e-34</v>
      </c>
      <c r="H202" s="43">
        <f t="shared" si="2"/>
        <v>0</v>
      </c>
      <c r="I202" s="21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43">
        <f t="shared" si="3"/>
        <v>0</v>
      </c>
      <c r="K202" s="43" t="b">
        <f t="shared" si="4"/>
        <v>0</v>
      </c>
      <c r="L202" s="21" t="str">
        <f>IFERROR(__xludf.DUMMYFUNCTION("if(regexmatch(B202,""e(.*)$""),regexextract(B202,""e(.*)$""),"""")"),"-34")</f>
        <v>-34</v>
      </c>
    </row>
    <row r="203">
      <c r="A203" s="34" t="s">
        <v>1597</v>
      </c>
      <c r="B203" s="34" t="s">
        <v>4389</v>
      </c>
      <c r="C203" s="34" t="s">
        <v>1598</v>
      </c>
      <c r="D203" s="13" t="str">
        <f t="shared" si="1"/>
        <v>eV s</v>
      </c>
      <c r="E203" s="42">
        <f>countif(Constants!F:F,F203)</f>
        <v>1</v>
      </c>
      <c r="F203" s="21" t="str">
        <f>ifna(VLOOKUP($A203,Constants!$D:$F,3,false),"")</f>
        <v>NaturalUnitOfActionInEVS</v>
      </c>
      <c r="G203" s="21" t="str">
        <f>IFERROR(__xludf.DUMMYFUNCTION("REGEXREPLACE(substitute(substitute(B203,"" "",""""),""..."",""""),""\(.*\)"","""")"),"6.58211899e-16")</f>
        <v>6.58211899e-16</v>
      </c>
      <c r="H203" s="43">
        <f t="shared" si="2"/>
        <v>0</v>
      </c>
      <c r="I203" s="21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43">
        <f t="shared" si="3"/>
        <v>0</v>
      </c>
      <c r="K203" s="43" t="b">
        <f t="shared" si="4"/>
        <v>0</v>
      </c>
      <c r="L203" s="21" t="str">
        <f>IFERROR(__xludf.DUMMYFUNCTION("if(regexmatch(B203,""e(.*)$""),regexextract(B203,""e(.*)$""),"""")"),"-16")</f>
        <v>-16</v>
      </c>
    </row>
    <row r="204">
      <c r="A204" s="34" t="s">
        <v>1602</v>
      </c>
      <c r="B204" s="34" t="s">
        <v>4265</v>
      </c>
      <c r="C204" s="34" t="s">
        <v>543</v>
      </c>
      <c r="D204" s="13" t="str">
        <f t="shared" si="1"/>
        <v>J</v>
      </c>
      <c r="E204" s="42">
        <f>countif(Constants!F:F,F204)</f>
        <v>1</v>
      </c>
      <c r="F204" s="21" t="str">
        <f>ifna(VLOOKUP($A204,Constants!$D:$F,3,false),"")</f>
        <v>NaturalUnitOfEnergy</v>
      </c>
      <c r="G204" s="21" t="str">
        <f>IFERROR(__xludf.DUMMYFUNCTION("REGEXREPLACE(substitute(substitute(B204,"" "",""""),""..."",""""),""\(.*\)"","""")"),"8.18710438e-14")</f>
        <v>8.18710438e-14</v>
      </c>
      <c r="H204" s="43">
        <f t="shared" si="2"/>
        <v>0</v>
      </c>
      <c r="I204" s="21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43">
        <f t="shared" si="3"/>
        <v>0</v>
      </c>
      <c r="K204" s="43" t="b">
        <f t="shared" si="4"/>
        <v>0</v>
      </c>
      <c r="L204" s="21" t="str">
        <f>IFERROR(__xludf.DUMMYFUNCTION("if(regexmatch(B204,""e(.*)$""),regexextract(B204,""e(.*)$""),"""")"),"-14")</f>
        <v>-14</v>
      </c>
    </row>
    <row r="205">
      <c r="A205" s="34" t="s">
        <v>1606</v>
      </c>
      <c r="B205" s="34" t="s">
        <v>4266</v>
      </c>
      <c r="C205" s="34" t="s">
        <v>548</v>
      </c>
      <c r="D205" s="13" t="str">
        <f t="shared" si="1"/>
        <v>MeV</v>
      </c>
      <c r="E205" s="42">
        <f>countif(Constants!F:F,F205)</f>
        <v>1</v>
      </c>
      <c r="F205" s="21" t="str">
        <f>ifna(VLOOKUP($A205,Constants!$D:$F,3,false),"")</f>
        <v>NaturalUnitOfEnergyInMeV</v>
      </c>
      <c r="G205" s="21" t="str">
        <f>IFERROR(__xludf.DUMMYFUNCTION("REGEXREPLACE(substitute(substitute(B205,"" "",""""),""..."",""""),""\(.*\)"","""")"),"0.510998910")</f>
        <v>0.510998910</v>
      </c>
      <c r="H205" s="43">
        <f t="shared" si="2"/>
        <v>0.51099891</v>
      </c>
      <c r="I205" s="21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43">
        <f t="shared" si="3"/>
        <v>0.00000000013</v>
      </c>
      <c r="K205" s="43" t="b">
        <f t="shared" si="4"/>
        <v>0</v>
      </c>
      <c r="L205" s="21" t="str">
        <f>IFERROR(__xludf.DUMMYFUNCTION("if(regexmatch(B205,""e(.*)$""),regexextract(B205,""e(.*)$""),"""")"),"")</f>
        <v/>
      </c>
    </row>
    <row r="206">
      <c r="A206" s="34" t="s">
        <v>1609</v>
      </c>
      <c r="B206" s="34" t="s">
        <v>4232</v>
      </c>
      <c r="C206" s="34" t="s">
        <v>571</v>
      </c>
      <c r="D206" s="13" t="str">
        <f t="shared" si="1"/>
        <v>m</v>
      </c>
      <c r="E206" s="42">
        <f>countif(Constants!F:F,F206)</f>
        <v>1</v>
      </c>
      <c r="F206" s="21" t="str">
        <f>ifna(VLOOKUP($A206,Constants!$D:$F,3,false),"")</f>
        <v>NaturalUnitOfLength</v>
      </c>
      <c r="G206" s="21" t="str">
        <f>IFERROR(__xludf.DUMMYFUNCTION("REGEXREPLACE(substitute(substitute(B206,"" "",""""),""..."",""""),""\(.*\)"","""")"),"386.15926459e-15")</f>
        <v>386.15926459e-15</v>
      </c>
      <c r="H206" s="43">
        <f t="shared" si="2"/>
        <v>0</v>
      </c>
      <c r="I206" s="21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43">
        <f t="shared" si="3"/>
        <v>0</v>
      </c>
      <c r="K206" s="43" t="b">
        <f t="shared" si="4"/>
        <v>0</v>
      </c>
      <c r="L206" s="21" t="str">
        <f>IFERROR(__xludf.DUMMYFUNCTION("if(regexmatch(B206,""e(.*)$""),regexextract(B206,""e(.*)$""),"""")"),"-15")</f>
        <v>-15</v>
      </c>
    </row>
    <row r="207">
      <c r="A207" s="34" t="s">
        <v>1613</v>
      </c>
      <c r="B207" s="34" t="s">
        <v>4202</v>
      </c>
      <c r="C207" s="34" t="s">
        <v>538</v>
      </c>
      <c r="D207" s="13" t="str">
        <f t="shared" si="1"/>
        <v>kg</v>
      </c>
      <c r="E207" s="42">
        <f>countif(Constants!F:F,F207)</f>
        <v>1</v>
      </c>
      <c r="F207" s="21" t="str">
        <f>ifna(VLOOKUP($A207,Constants!$D:$F,3,false),"")</f>
        <v>NaturalUnitOfMass</v>
      </c>
      <c r="G207" s="21" t="str">
        <f>IFERROR(__xludf.DUMMYFUNCTION("REGEXREPLACE(substitute(substitute(B207,"" "",""""),""..."",""""),""\(.*\)"","""")"),"9.10938215e-31")</f>
        <v>9.10938215e-31</v>
      </c>
      <c r="H207" s="43">
        <f t="shared" si="2"/>
        <v>0</v>
      </c>
      <c r="I207" s="21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43">
        <f t="shared" si="3"/>
        <v>0</v>
      </c>
      <c r="K207" s="43" t="b">
        <f t="shared" si="4"/>
        <v>0</v>
      </c>
      <c r="L207" s="21" t="str">
        <f>IFERROR(__xludf.DUMMYFUNCTION("if(regexmatch(B207,""e(.*)$""),regexextract(B207,""e(.*)$""),"""")"),"-31")</f>
        <v>-31</v>
      </c>
    </row>
    <row r="208">
      <c r="A208" s="34" t="s">
        <v>1617</v>
      </c>
      <c r="B208" s="34" t="s">
        <v>4390</v>
      </c>
      <c r="C208" s="34" t="s">
        <v>4204</v>
      </c>
      <c r="D208" s="13" t="str">
        <f t="shared" si="1"/>
        <v>kg m s^-1</v>
      </c>
      <c r="E208" s="42">
        <f>countif(Constants!F:F,F208)</f>
        <v>1</v>
      </c>
      <c r="F208" s="21" t="str">
        <f>ifna(VLOOKUP($A208,Constants!$D:$F,3,false),"")</f>
        <v>NaturalUnitOfMomentum</v>
      </c>
      <c r="G208" s="21" t="str">
        <f>IFERROR(__xludf.DUMMYFUNCTION("REGEXREPLACE(substitute(substitute(B208,"" "",""""),""..."",""""),""\(.*\)"","""")"),"2.73092406e-22")</f>
        <v>2.73092406e-22</v>
      </c>
      <c r="H208" s="43">
        <f t="shared" si="2"/>
        <v>0</v>
      </c>
      <c r="I208" s="21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43">
        <f t="shared" si="3"/>
        <v>0</v>
      </c>
      <c r="K208" s="43" t="b">
        <f t="shared" si="4"/>
        <v>0</v>
      </c>
      <c r="L208" s="21" t="str">
        <f>IFERROR(__xludf.DUMMYFUNCTION("if(regexmatch(B208,""e(.*)$""),regexextract(B208,""e(.*)$""),"""")"),"-22")</f>
        <v>-22</v>
      </c>
    </row>
    <row r="209">
      <c r="A209" s="34" t="s">
        <v>1622</v>
      </c>
      <c r="B209" s="34" t="s">
        <v>4266</v>
      </c>
      <c r="C209" s="34" t="s">
        <v>1623</v>
      </c>
      <c r="D209" s="13" t="str">
        <f t="shared" si="1"/>
        <v>MeV/c</v>
      </c>
      <c r="E209" s="42">
        <f>countif(Constants!F:F,F209)</f>
        <v>1</v>
      </c>
      <c r="F209" s="21" t="str">
        <f>ifna(VLOOKUP($A209,Constants!$D:$F,3,false),"")</f>
        <v>NaturalUnitOfMomentumInMeV-PER-c</v>
      </c>
      <c r="G209" s="21" t="str">
        <f>IFERROR(__xludf.DUMMYFUNCTION("REGEXREPLACE(substitute(substitute(B209,"" "",""""),""..."",""""),""\(.*\)"","""")"),"0.510998910")</f>
        <v>0.510998910</v>
      </c>
      <c r="H209" s="43">
        <f t="shared" si="2"/>
        <v>0.51099891</v>
      </c>
      <c r="I209" s="21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43">
        <f t="shared" si="3"/>
        <v>0.00000000013</v>
      </c>
      <c r="K209" s="43" t="b">
        <f t="shared" si="4"/>
        <v>0</v>
      </c>
      <c r="L209" s="21" t="str">
        <f>IFERROR(__xludf.DUMMYFUNCTION("if(regexmatch(B209,""e(.*)$""),regexextract(B209,""e(.*)$""),"""")"),"")</f>
        <v/>
      </c>
    </row>
    <row r="210">
      <c r="A210" s="34" t="s">
        <v>1628</v>
      </c>
      <c r="B210" s="34" t="s">
        <v>4391</v>
      </c>
      <c r="C210" s="34" t="s">
        <v>749</v>
      </c>
      <c r="D210" s="13" t="str">
        <f t="shared" si="1"/>
        <v>s</v>
      </c>
      <c r="E210" s="42">
        <f>countif(Constants!F:F,F210)</f>
        <v>1</v>
      </c>
      <c r="F210" s="21" t="str">
        <f>ifna(VLOOKUP($A210,Constants!$D:$F,3,false),"")</f>
        <v>NaturalUnitOfTime</v>
      </c>
      <c r="G210" s="21" t="str">
        <f>IFERROR(__xludf.DUMMYFUNCTION("REGEXREPLACE(substitute(substitute(B210,"" "",""""),""..."",""""),""\(.*\)"","""")"),"1.2880886570e-21")</f>
        <v>1.2880886570e-21</v>
      </c>
      <c r="H210" s="43">
        <f t="shared" si="2"/>
        <v>0</v>
      </c>
      <c r="I210" s="21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43">
        <f t="shared" si="3"/>
        <v>0</v>
      </c>
      <c r="K210" s="43" t="b">
        <f t="shared" si="4"/>
        <v>0</v>
      </c>
      <c r="L210" s="21" t="str">
        <f>IFERROR(__xludf.DUMMYFUNCTION("if(regexmatch(B210,""e(.*)$""),regexextract(B210,""e(.*)$""),"""")"),"-21")</f>
        <v>-21</v>
      </c>
    </row>
    <row r="211">
      <c r="A211" s="34" t="s">
        <v>1632</v>
      </c>
      <c r="B211" s="34" t="s">
        <v>2474</v>
      </c>
      <c r="C211" s="34" t="s">
        <v>4209</v>
      </c>
      <c r="D211" s="13" t="str">
        <f t="shared" si="1"/>
        <v>m s^-1</v>
      </c>
      <c r="E211" s="42">
        <f>countif(Constants!F:F,F211)</f>
        <v>1</v>
      </c>
      <c r="F211" s="21" t="str">
        <f>ifna(VLOOKUP($A211,Constants!$D:$F,3,false),"")</f>
        <v>NaturalUnitOfVelocity</v>
      </c>
      <c r="G211" s="21" t="str">
        <f>IFERROR(__xludf.DUMMYFUNCTION("REGEXREPLACE(substitute(substitute(B211,"" "",""""),""..."",""""),""\(.*\)"","""")"),"299792458")</f>
        <v>299792458</v>
      </c>
      <c r="H211" s="43">
        <f t="shared" si="2"/>
        <v>299792458</v>
      </c>
      <c r="I211" s="21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43" t="str">
        <f t="shared" si="3"/>
        <v/>
      </c>
      <c r="K211" s="43" t="b">
        <f t="shared" si="4"/>
        <v>0</v>
      </c>
      <c r="L211" s="21" t="str">
        <f>IFERROR(__xludf.DUMMYFUNCTION("if(regexmatch(B211,""e(.*)$""),regexextract(B211,""e(.*)$""),"""")"),"")</f>
        <v/>
      </c>
    </row>
    <row r="212">
      <c r="A212" s="34" t="s">
        <v>1636</v>
      </c>
      <c r="B212" s="34" t="s">
        <v>4392</v>
      </c>
      <c r="C212" s="34" t="s">
        <v>571</v>
      </c>
      <c r="D212" s="13" t="str">
        <f t="shared" si="1"/>
        <v>m</v>
      </c>
      <c r="E212" s="42">
        <f>countif(Constants!F:F,F212)</f>
        <v>1</v>
      </c>
      <c r="F212" s="21" t="str">
        <f>ifna(VLOOKUP($A212,Constants!$D:$F,3,false),"")</f>
        <v>NeutronComptonWavelength</v>
      </c>
      <c r="G212" s="21" t="str">
        <f>IFERROR(__xludf.DUMMYFUNCTION("REGEXREPLACE(substitute(substitute(B212,"" "",""""),""..."",""""),""\(.*\)"","""")"),"1.3195908951e-15")</f>
        <v>1.3195908951e-15</v>
      </c>
      <c r="H212" s="43">
        <f t="shared" si="2"/>
        <v>0</v>
      </c>
      <c r="I212" s="21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43">
        <f t="shared" si="3"/>
        <v>0</v>
      </c>
      <c r="K212" s="43" t="b">
        <f t="shared" si="4"/>
        <v>0</v>
      </c>
      <c r="L212" s="21" t="str">
        <f>IFERROR(__xludf.DUMMYFUNCTION("if(regexmatch(B212,""e(.*)$""),regexextract(B212,""e(.*)$""),"""")"),"-15")</f>
        <v>-15</v>
      </c>
    </row>
    <row r="213">
      <c r="A213" s="34" t="s">
        <v>1929</v>
      </c>
      <c r="B213" s="34" t="s">
        <v>4393</v>
      </c>
      <c r="C213" s="34" t="s">
        <v>571</v>
      </c>
      <c r="D213" s="13" t="str">
        <f t="shared" si="1"/>
        <v>m</v>
      </c>
      <c r="E213" s="42">
        <f>countif(Constants!F:F,F213)</f>
        <v>1</v>
      </c>
      <c r="F213" s="47" t="s">
        <v>3537</v>
      </c>
      <c r="G213" s="21" t="str">
        <f>IFERROR(__xludf.DUMMYFUNCTION("REGEXREPLACE(substitute(substitute(B213,"" "",""""),""..."",""""),""\(.*\)"","""")"),"0.21001941382e-15")</f>
        <v>0.21001941382e-15</v>
      </c>
      <c r="H213" s="43">
        <f t="shared" si="2"/>
        <v>0</v>
      </c>
      <c r="I213" s="21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43">
        <f t="shared" si="3"/>
        <v>0</v>
      </c>
      <c r="K213" s="43" t="b">
        <f t="shared" si="4"/>
        <v>0</v>
      </c>
      <c r="L213" s="21" t="str">
        <f>IFERROR(__xludf.DUMMYFUNCTION("if(regexmatch(B213,""e(.*)$""),regexextract(B213,""e(.*)$""),"""")"),"-15")</f>
        <v>-15</v>
      </c>
    </row>
    <row r="214">
      <c r="A214" s="34" t="s">
        <v>1650</v>
      </c>
      <c r="B214" s="34" t="s">
        <v>4394</v>
      </c>
      <c r="C214" s="34"/>
      <c r="D214" s="13" t="str">
        <f t="shared" si="1"/>
        <v/>
      </c>
      <c r="E214" s="42">
        <f>countif(Constants!F:F,F214)</f>
        <v>1</v>
      </c>
      <c r="F214" s="21" t="str">
        <f>ifna(VLOOKUP($A214,Constants!$D:$F,3,false),"")</f>
        <v>NeutronGFactor</v>
      </c>
      <c r="G214" s="21" t="str">
        <f>IFERROR(__xludf.DUMMYFUNCTION("REGEXREPLACE(substitute(substitute(B214,"" "",""""),""..."",""""),""\(.*\)"","""")"),"-3.82608545")</f>
        <v>-3.82608545</v>
      </c>
      <c r="H214" s="43">
        <f t="shared" si="2"/>
        <v>-3.82608545</v>
      </c>
      <c r="I214" s="21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43">
        <f t="shared" si="3"/>
        <v>0.000000009</v>
      </c>
      <c r="K214" s="43" t="b">
        <f t="shared" si="4"/>
        <v>0</v>
      </c>
      <c r="L214" s="21" t="str">
        <f>IFERROR(__xludf.DUMMYFUNCTION("if(regexmatch(B214,""e(.*)$""),regexextract(B214,""e(.*)$""),"""")"),"")</f>
        <v/>
      </c>
    </row>
    <row r="215">
      <c r="A215" s="34" t="s">
        <v>1655</v>
      </c>
      <c r="B215" s="34" t="s">
        <v>4395</v>
      </c>
      <c r="C215" s="34" t="s">
        <v>4258</v>
      </c>
      <c r="D215" s="13" t="str">
        <f t="shared" si="1"/>
        <v>s^-1 T^-1</v>
      </c>
      <c r="E215" s="42">
        <f>countif(Constants!F:F,F215)</f>
        <v>1</v>
      </c>
      <c r="F215" s="47" t="s">
        <v>416</v>
      </c>
      <c r="G215" s="21" t="str">
        <f>IFERROR(__xludf.DUMMYFUNCTION("REGEXREPLACE(substitute(substitute(B215,"" "",""""),""..."",""""),""\(.*\)"","""")"),"1.83247185e8")</f>
        <v>1.83247185e8</v>
      </c>
      <c r="H215" s="43">
        <f t="shared" si="2"/>
        <v>183247185</v>
      </c>
      <c r="I215" s="21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43">
        <f t="shared" si="3"/>
        <v>0.43</v>
      </c>
      <c r="K215" s="43" t="b">
        <f t="shared" si="4"/>
        <v>0</v>
      </c>
      <c r="L215" s="21" t="str">
        <f>IFERROR(__xludf.DUMMYFUNCTION("if(regexmatch(B215,""e(.*)$""),regexextract(B215,""e(.*)$""),"""")"),"8")</f>
        <v>8</v>
      </c>
    </row>
    <row r="216">
      <c r="A216" s="34" t="s">
        <v>1658</v>
      </c>
      <c r="B216" s="34" t="s">
        <v>4396</v>
      </c>
      <c r="C216" s="34" t="s">
        <v>4260</v>
      </c>
      <c r="D216" s="13" t="str">
        <f t="shared" si="1"/>
        <v>MHz T^-1</v>
      </c>
      <c r="E216" s="42">
        <f>countif(Constants!F:F,F216)</f>
        <v>1</v>
      </c>
      <c r="F216" s="47" t="s">
        <v>2571</v>
      </c>
      <c r="G216" s="21" t="str">
        <f>IFERROR(__xludf.DUMMYFUNCTION("REGEXREPLACE(substitute(substitute(B216,"" "",""""),""..."",""""),""\(.*\)"","""")"),"29.1646954")</f>
        <v>29.1646954</v>
      </c>
      <c r="H216" s="43">
        <f t="shared" si="2"/>
        <v>29.1646954</v>
      </c>
      <c r="I216" s="21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43">
        <f t="shared" si="3"/>
        <v>0.000000069</v>
      </c>
      <c r="K216" s="43" t="b">
        <f t="shared" si="4"/>
        <v>0</v>
      </c>
      <c r="L216" s="21" t="str">
        <f>IFERROR(__xludf.DUMMYFUNCTION("if(regexmatch(B216,""e(.*)$""),regexextract(B216,""e(.*)$""),"""")"),"")</f>
        <v/>
      </c>
    </row>
    <row r="217">
      <c r="A217" s="34" t="s">
        <v>1664</v>
      </c>
      <c r="B217" s="34" t="s">
        <v>4397</v>
      </c>
      <c r="C217" s="34" t="s">
        <v>4197</v>
      </c>
      <c r="D217" s="13" t="str">
        <f t="shared" si="1"/>
        <v>J T^-1</v>
      </c>
      <c r="E217" s="42">
        <f>countif(Constants!F:F,F217)</f>
        <v>1</v>
      </c>
      <c r="F217" s="47" t="s">
        <v>417</v>
      </c>
      <c r="G217" s="21" t="str">
        <f>IFERROR(__xludf.DUMMYFUNCTION("REGEXREPLACE(substitute(substitute(B217,"" "",""""),""..."",""""),""\(.*\)"","""")"),"-0.96623641e-26")</f>
        <v>-0.96623641e-26</v>
      </c>
      <c r="H217" s="43">
        <f t="shared" si="2"/>
        <v>0</v>
      </c>
      <c r="I217" s="21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43">
        <f t="shared" si="3"/>
        <v>0</v>
      </c>
      <c r="K217" s="43" t="b">
        <f t="shared" si="4"/>
        <v>0</v>
      </c>
      <c r="L217" s="21" t="str">
        <f>IFERROR(__xludf.DUMMYFUNCTION("if(regexmatch(B217,""e(.*)$""),regexextract(B217,""e(.*)$""),"""")"),"-26")</f>
        <v>-26</v>
      </c>
    </row>
    <row r="218">
      <c r="A218" s="34" t="s">
        <v>1669</v>
      </c>
      <c r="B218" s="34" t="s">
        <v>4398</v>
      </c>
      <c r="C218" s="34"/>
      <c r="D218" s="13" t="str">
        <f t="shared" si="1"/>
        <v/>
      </c>
      <c r="E218" s="42">
        <f>countif(Constants!F:F,F218)</f>
        <v>1</v>
      </c>
      <c r="F218" s="47" t="s">
        <v>418</v>
      </c>
      <c r="G218" s="21" t="str">
        <f>IFERROR(__xludf.DUMMYFUNCTION("REGEXREPLACE(substitute(substitute(B218,"" "",""""),""..."",""""),""\(.*\)"","""")"),"-1.04187563e-3")</f>
        <v>-1.04187563e-3</v>
      </c>
      <c r="H218" s="43">
        <f t="shared" si="2"/>
        <v>-0.00104187563</v>
      </c>
      <c r="I218" s="21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43">
        <f t="shared" si="3"/>
        <v>0</v>
      </c>
      <c r="K218" s="43" t="b">
        <f t="shared" si="4"/>
        <v>0</v>
      </c>
      <c r="L218" s="21" t="str">
        <f>IFERROR(__xludf.DUMMYFUNCTION("if(regexmatch(B218,""e(.*)$""),regexextract(B218,""e(.*)$""),"""")"),"-3")</f>
        <v>-3</v>
      </c>
    </row>
    <row r="219">
      <c r="A219" s="34" t="s">
        <v>1674</v>
      </c>
      <c r="B219" s="34" t="s">
        <v>4399</v>
      </c>
      <c r="C219" s="34"/>
      <c r="D219" s="13" t="str">
        <f t="shared" si="1"/>
        <v/>
      </c>
      <c r="E219" s="42">
        <f>countif(Constants!F:F,F219)</f>
        <v>1</v>
      </c>
      <c r="F219" s="47" t="s">
        <v>419</v>
      </c>
      <c r="G219" s="21" t="str">
        <f>IFERROR(__xludf.DUMMYFUNCTION("REGEXREPLACE(substitute(substitute(B219,"" "",""""),""..."",""""),""\(.*\)"","""")"),"-1.91304273")</f>
        <v>-1.91304273</v>
      </c>
      <c r="H219" s="43">
        <f t="shared" si="2"/>
        <v>-1.91304273</v>
      </c>
      <c r="I219" s="21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43">
        <f t="shared" si="3"/>
        <v>0.0000000045</v>
      </c>
      <c r="K219" s="43" t="b">
        <f t="shared" si="4"/>
        <v>0</v>
      </c>
      <c r="L219" s="21" t="str">
        <f>IFERROR(__xludf.DUMMYFUNCTION("if(regexmatch(B219,""e(.*)$""),regexextract(B219,""e(.*)$""),"""")"),"")</f>
        <v/>
      </c>
    </row>
    <row r="220">
      <c r="A220" s="34" t="s">
        <v>1678</v>
      </c>
      <c r="B220" s="34" t="s">
        <v>4400</v>
      </c>
      <c r="C220" s="34" t="s">
        <v>538</v>
      </c>
      <c r="D220" s="13" t="str">
        <f t="shared" si="1"/>
        <v>kg</v>
      </c>
      <c r="E220" s="42">
        <f>countif(Constants!F:F,F220)</f>
        <v>1</v>
      </c>
      <c r="F220" s="21" t="str">
        <f>ifna(VLOOKUP($A220,Constants!$D:$F,3,false),"")</f>
        <v>NeutronMass</v>
      </c>
      <c r="G220" s="21" t="str">
        <f>IFERROR(__xludf.DUMMYFUNCTION("REGEXREPLACE(substitute(substitute(B220,"" "",""""),""..."",""""),""\(.*\)"","""")"),"1.674927211e-27")</f>
        <v>1.674927211e-27</v>
      </c>
      <c r="H220" s="43">
        <f t="shared" si="2"/>
        <v>0</v>
      </c>
      <c r="I220" s="21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43">
        <f t="shared" si="3"/>
        <v>0</v>
      </c>
      <c r="K220" s="43" t="b">
        <f t="shared" si="4"/>
        <v>0</v>
      </c>
      <c r="L220" s="21" t="str">
        <f>IFERROR(__xludf.DUMMYFUNCTION("if(regexmatch(B220,""e(.*)$""),regexextract(B220,""e(.*)$""),"""")"),"-27")</f>
        <v>-27</v>
      </c>
    </row>
    <row r="221">
      <c r="A221" s="34" t="s">
        <v>1682</v>
      </c>
      <c r="B221" s="34" t="s">
        <v>4401</v>
      </c>
      <c r="C221" s="34" t="s">
        <v>543</v>
      </c>
      <c r="D221" s="13" t="str">
        <f t="shared" si="1"/>
        <v>J</v>
      </c>
      <c r="E221" s="42">
        <f>countif(Constants!F:F,F221)</f>
        <v>1</v>
      </c>
      <c r="F221" s="21" t="str">
        <f>ifna(VLOOKUP($A221,Constants!$D:$F,3,false),"")</f>
        <v>NeutronMassEnergyEquivalent</v>
      </c>
      <c r="G221" s="21" t="str">
        <f>IFERROR(__xludf.DUMMYFUNCTION("REGEXREPLACE(substitute(substitute(B221,"" "",""""),""..."",""""),""\(.*\)"","""")"),"1.505349505e-10")</f>
        <v>1.505349505e-10</v>
      </c>
      <c r="H221" s="43">
        <f t="shared" si="2"/>
        <v>0.0000000001505349505</v>
      </c>
      <c r="I221" s="21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43">
        <f t="shared" si="3"/>
        <v>0</v>
      </c>
      <c r="K221" s="43" t="b">
        <f t="shared" si="4"/>
        <v>0</v>
      </c>
      <c r="L221" s="21" t="str">
        <f>IFERROR(__xludf.DUMMYFUNCTION("if(regexmatch(B221,""e(.*)$""),regexextract(B221,""e(.*)$""),"""")"),"-10")</f>
        <v>-10</v>
      </c>
    </row>
    <row r="222">
      <c r="A222" s="34" t="s">
        <v>1686</v>
      </c>
      <c r="B222" s="34" t="s">
        <v>4402</v>
      </c>
      <c r="C222" s="34" t="s">
        <v>548</v>
      </c>
      <c r="D222" s="13" t="str">
        <f t="shared" si="1"/>
        <v>MeV</v>
      </c>
      <c r="E222" s="42">
        <f>countif(Constants!F:F,F222)</f>
        <v>1</v>
      </c>
      <c r="F222" s="21" t="str">
        <f>ifna(VLOOKUP($A222,Constants!$D:$F,3,false),"")</f>
        <v>NeutronMassEnergyEquivalentInMeV</v>
      </c>
      <c r="G222" s="21" t="str">
        <f>IFERROR(__xludf.DUMMYFUNCTION("REGEXREPLACE(substitute(substitute(B222,"" "",""""),""..."",""""),""\(.*\)"","""")"),"939.565346")</f>
        <v>939.565346</v>
      </c>
      <c r="H222" s="43">
        <f t="shared" si="2"/>
        <v>939.565346</v>
      </c>
      <c r="I222" s="21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43">
        <f t="shared" si="3"/>
        <v>0.00000023</v>
      </c>
      <c r="K222" s="43" t="b">
        <f t="shared" si="4"/>
        <v>0</v>
      </c>
      <c r="L222" s="21" t="str">
        <f>IFERROR(__xludf.DUMMYFUNCTION("if(regexmatch(B222,""e(.*)$""),regexextract(B222,""e(.*)$""),"""")"),"")</f>
        <v/>
      </c>
    </row>
    <row r="223">
      <c r="A223" s="34" t="s">
        <v>1689</v>
      </c>
      <c r="B223" s="34" t="s">
        <v>4403</v>
      </c>
      <c r="C223" s="34" t="s">
        <v>553</v>
      </c>
      <c r="D223" s="13" t="str">
        <f t="shared" si="1"/>
        <v>u</v>
      </c>
      <c r="E223" s="42">
        <f>countif(Constants!F:F,F223)</f>
        <v>1</v>
      </c>
      <c r="F223" s="21" t="str">
        <f>ifna(VLOOKUP($A223,Constants!$D:$F,3,false),"")</f>
        <v>NeutronMassInAtomicMassUnit</v>
      </c>
      <c r="G223" s="21" t="str">
        <f>IFERROR(__xludf.DUMMYFUNCTION("REGEXREPLACE(substitute(substitute(B223,"" "",""""),""..."",""""),""\(.*\)"","""")"),"1.00866491597")</f>
        <v>1.00866491597</v>
      </c>
      <c r="H223" s="43">
        <f t="shared" si="2"/>
        <v>1.008664916</v>
      </c>
      <c r="I223" s="21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43">
        <f t="shared" si="3"/>
        <v>0</v>
      </c>
      <c r="K223" s="43" t="b">
        <f t="shared" si="4"/>
        <v>0</v>
      </c>
      <c r="L223" s="21" t="str">
        <f>IFERROR(__xludf.DUMMYFUNCTION("if(regexmatch(B223,""e(.*)$""),regexextract(B223,""e(.*)$""),"""")"),"")</f>
        <v/>
      </c>
    </row>
    <row r="224">
      <c r="A224" s="34" t="s">
        <v>1692</v>
      </c>
      <c r="B224" s="34" t="s">
        <v>4404</v>
      </c>
      <c r="C224" s="34" t="s">
        <v>4163</v>
      </c>
      <c r="D224" s="13" t="str">
        <f t="shared" si="1"/>
        <v>kg mol^-1</v>
      </c>
      <c r="E224" s="42">
        <f>countif(Constants!F:F,F224)</f>
        <v>1</v>
      </c>
      <c r="F224" s="21" t="str">
        <f>ifna(VLOOKUP($A224,Constants!$D:$F,3,false),"")</f>
        <v>NeutronMolarMass</v>
      </c>
      <c r="G224" s="21" t="str">
        <f>IFERROR(__xludf.DUMMYFUNCTION("REGEXREPLACE(substitute(substitute(B224,"" "",""""),""..."",""""),""\(.*\)"","""")"),"1.00866491597e-3")</f>
        <v>1.00866491597e-3</v>
      </c>
      <c r="H224" s="43">
        <f t="shared" si="2"/>
        <v>0.001008664916</v>
      </c>
      <c r="I224" s="21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43">
        <f t="shared" si="3"/>
        <v>0</v>
      </c>
      <c r="K224" s="43" t="b">
        <f t="shared" si="4"/>
        <v>0</v>
      </c>
      <c r="L224" s="21" t="str">
        <f>IFERROR(__xludf.DUMMYFUNCTION("if(regexmatch(B224,""e(.*)$""),regexextract(B224,""e(.*)$""),"""")"),"-3")</f>
        <v>-3</v>
      </c>
    </row>
    <row r="225">
      <c r="A225" s="34" t="s">
        <v>1733</v>
      </c>
      <c r="B225" s="34" t="s">
        <v>4405</v>
      </c>
      <c r="C225" s="34"/>
      <c r="D225" s="13" t="str">
        <f t="shared" si="1"/>
        <v/>
      </c>
      <c r="E225" s="42">
        <f>countif(Constants!F:F,F225)</f>
        <v>1</v>
      </c>
      <c r="F225" s="47" t="s">
        <v>428</v>
      </c>
      <c r="G225" s="21" t="str">
        <f>IFERROR(__xludf.DUMMYFUNCTION("REGEXREPLACE(substitute(substitute(B225,"" "",""""),""..."",""""),""\(.*\)"","""")"),"-0.68499694")</f>
        <v>-0.68499694</v>
      </c>
      <c r="H225" s="43">
        <f t="shared" si="2"/>
        <v>-0.68499694</v>
      </c>
      <c r="I225" s="21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43">
        <f t="shared" si="3"/>
        <v>0.0000000016</v>
      </c>
      <c r="K225" s="43" t="b">
        <f t="shared" si="4"/>
        <v>0</v>
      </c>
      <c r="L225" s="21" t="str">
        <f>IFERROR(__xludf.DUMMYFUNCTION("if(regexmatch(B225,""e(.*)$""),regexextract(B225,""e(.*)$""),"""")"),"")</f>
        <v/>
      </c>
    </row>
    <row r="226">
      <c r="A226" s="34" t="s">
        <v>4406</v>
      </c>
      <c r="B226" s="34" t="s">
        <v>4407</v>
      </c>
      <c r="C226" s="34"/>
      <c r="D226" s="13" t="str">
        <f t="shared" si="1"/>
        <v/>
      </c>
      <c r="E226" s="42">
        <f>countif(Constants!F:F,F226)</f>
        <v>1</v>
      </c>
      <c r="F226" s="47" t="s">
        <v>413</v>
      </c>
      <c r="G226" s="21" t="str">
        <f>IFERROR(__xludf.DUMMYFUNCTION("REGEXREPLACE(substitute(substitute(B226,"" "",""""),""..."",""""),""\(.*\)"","""")"),"1.04066882e-3")</f>
        <v>1.04066882e-3</v>
      </c>
      <c r="H226" s="43">
        <f t="shared" si="2"/>
        <v>0.00104066882</v>
      </c>
      <c r="I226" s="21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43">
        <f t="shared" si="3"/>
        <v>0</v>
      </c>
      <c r="K226" s="43" t="b">
        <f t="shared" si="4"/>
        <v>0</v>
      </c>
      <c r="L226" s="21" t="str">
        <f>IFERROR(__xludf.DUMMYFUNCTION("if(regexmatch(B226,""e(.*)$""),regexextract(B226,""e(.*)$""),"""")"),"-3")</f>
        <v>-3</v>
      </c>
    </row>
    <row r="227">
      <c r="A227" s="34" t="s">
        <v>1645</v>
      </c>
      <c r="B227" s="34" t="s">
        <v>4408</v>
      </c>
      <c r="C227" s="34"/>
      <c r="D227" s="13" t="str">
        <f t="shared" si="1"/>
        <v/>
      </c>
      <c r="E227" s="42">
        <f>countif(Constants!F:F,F227)</f>
        <v>1</v>
      </c>
      <c r="F227" s="21" t="str">
        <f>ifna(VLOOKUP($A227,Constants!$D:$F,3,false),"")</f>
        <v>NeutronElectronMassRatio</v>
      </c>
      <c r="G227" s="21" t="str">
        <f>IFERROR(__xludf.DUMMYFUNCTION("REGEXREPLACE(substitute(substitute(B227,"" "",""""),""..."",""""),""\(.*\)"","""")"),"1838.6836605")</f>
        <v>1838.6836605</v>
      </c>
      <c r="H227" s="43">
        <f t="shared" si="2"/>
        <v>1838.683661</v>
      </c>
      <c r="I227" s="21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43">
        <f t="shared" si="3"/>
        <v>0.000000011</v>
      </c>
      <c r="K227" s="43" t="b">
        <f t="shared" si="4"/>
        <v>0</v>
      </c>
      <c r="L227" s="21" t="str">
        <f>IFERROR(__xludf.DUMMYFUNCTION("if(regexmatch(B227,""e(.*)$""),regexextract(B227,""e(.*)$""),"""")"),"")</f>
        <v/>
      </c>
    </row>
    <row r="228">
      <c r="A228" s="34" t="s">
        <v>1696</v>
      </c>
      <c r="B228" s="34" t="s">
        <v>4409</v>
      </c>
      <c r="C228" s="34"/>
      <c r="D228" s="13" t="str">
        <f t="shared" si="1"/>
        <v/>
      </c>
      <c r="E228" s="42">
        <f>countif(Constants!F:F,F228)</f>
        <v>1</v>
      </c>
      <c r="F228" s="21" t="str">
        <f>ifna(VLOOKUP($A228,Constants!$D:$F,3,false),"")</f>
        <v>NeutronMuonMassRatio</v>
      </c>
      <c r="G228" s="21" t="str">
        <f>IFERROR(__xludf.DUMMYFUNCTION("REGEXREPLACE(substitute(substitute(B228,"" "",""""),""..."",""""),""\(.*\)"","""")"),"8.89248409")</f>
        <v>8.89248409</v>
      </c>
      <c r="H228" s="43">
        <f t="shared" si="2"/>
        <v>8.89248409</v>
      </c>
      <c r="I228" s="21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43">
        <f t="shared" si="3"/>
        <v>0.0000000023</v>
      </c>
      <c r="K228" s="43" t="b">
        <f t="shared" si="4"/>
        <v>0</v>
      </c>
      <c r="L228" s="21" t="str">
        <f>IFERROR(__xludf.DUMMYFUNCTION("if(regexmatch(B228,""e(.*)$""),regexextract(B228,""e(.*)$""),"""")"),"")</f>
        <v/>
      </c>
    </row>
    <row r="229">
      <c r="A229" s="34" t="s">
        <v>4410</v>
      </c>
      <c r="B229" s="34" t="s">
        <v>4411</v>
      </c>
      <c r="C229" s="34"/>
      <c r="D229" s="13" t="str">
        <f t="shared" si="1"/>
        <v/>
      </c>
      <c r="E229" s="42">
        <f>countif(Constants!F:F,F229)</f>
        <v>1</v>
      </c>
      <c r="F229" s="47" t="s">
        <v>423</v>
      </c>
      <c r="G229" s="21" t="str">
        <f>IFERROR(__xludf.DUMMYFUNCTION("REGEXREPLACE(substitute(substitute(B229,"" "",""""),""..."",""""),""\(.*\)"","""")"),"-0.68497934")</f>
        <v>-0.68497934</v>
      </c>
      <c r="H229" s="43">
        <f t="shared" si="2"/>
        <v>-0.68497934</v>
      </c>
      <c r="I229" s="21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43">
        <f t="shared" si="3"/>
        <v>0.0000000016</v>
      </c>
      <c r="K229" s="43" t="b">
        <f t="shared" si="4"/>
        <v>0</v>
      </c>
      <c r="L229" s="21" t="str">
        <f>IFERROR(__xludf.DUMMYFUNCTION("if(regexmatch(B229,""e(.*)$""),regexextract(B229,""e(.*)$""),"""")"),"")</f>
        <v/>
      </c>
    </row>
    <row r="230">
      <c r="A230" s="34" t="s">
        <v>1719</v>
      </c>
      <c r="B230" s="34" t="s">
        <v>4412</v>
      </c>
      <c r="C230" s="34"/>
      <c r="D230" s="13" t="str">
        <f t="shared" si="1"/>
        <v/>
      </c>
      <c r="E230" s="42">
        <f>countif(Constants!F:F,F230)</f>
        <v>1</v>
      </c>
      <c r="F230" s="21" t="str">
        <f>ifna(VLOOKUP($A230,Constants!$D:$F,3,false),"")</f>
        <v>NeutronProtonMassRatio</v>
      </c>
      <c r="G230" s="21" t="str">
        <f>IFERROR(__xludf.DUMMYFUNCTION("REGEXREPLACE(substitute(substitute(B230,"" "",""""),""..."",""""),""\(.*\)"","""")"),"1.00137841918")</f>
        <v>1.00137841918</v>
      </c>
      <c r="H230" s="43">
        <f t="shared" si="2"/>
        <v>1.001378419</v>
      </c>
      <c r="I230" s="21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43">
        <f t="shared" si="3"/>
        <v>0</v>
      </c>
      <c r="K230" s="43" t="b">
        <f t="shared" si="4"/>
        <v>0</v>
      </c>
      <c r="L230" s="21" t="str">
        <f>IFERROR(__xludf.DUMMYFUNCTION("if(regexmatch(B230,""e(.*)$""),regexextract(B230,""e(.*)$""),"""")"),"")</f>
        <v/>
      </c>
    </row>
    <row r="231">
      <c r="A231" s="34" t="s">
        <v>1727</v>
      </c>
      <c r="B231" s="34" t="s">
        <v>4413</v>
      </c>
      <c r="C231" s="34"/>
      <c r="D231" s="13" t="str">
        <f t="shared" si="1"/>
        <v/>
      </c>
      <c r="E231" s="42">
        <f>countif(Constants!F:F,F231)</f>
        <v>1</v>
      </c>
      <c r="F231" s="21" t="str">
        <f>ifna(VLOOKUP($A231,Constants!$D:$F,3,false),"")</f>
        <v>NeutronTauMassRatio</v>
      </c>
      <c r="G231" s="21" t="str">
        <f>IFERROR(__xludf.DUMMYFUNCTION("REGEXREPLACE(substitute(substitute(B231,"" "",""""),""..."",""""),""\(.*\)"","""")"),"0.528740")</f>
        <v>0.528740</v>
      </c>
      <c r="H231" s="43">
        <f t="shared" si="2"/>
        <v>0.52874</v>
      </c>
      <c r="I231" s="21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43">
        <f t="shared" si="3"/>
        <v>0.00000086</v>
      </c>
      <c r="K231" s="43" t="b">
        <f t="shared" si="4"/>
        <v>0</v>
      </c>
      <c r="L231" s="21" t="str">
        <f>IFERROR(__xludf.DUMMYFUNCTION("if(regexmatch(B231,""e(.*)$""),regexextract(B231,""e(.*)$""),"""")"),"")</f>
        <v/>
      </c>
    </row>
    <row r="232">
      <c r="A232" s="34" t="s">
        <v>1737</v>
      </c>
      <c r="B232" s="34" t="s">
        <v>4414</v>
      </c>
      <c r="C232" s="34" t="s">
        <v>4415</v>
      </c>
      <c r="D232" s="13" t="str">
        <f t="shared" si="1"/>
        <v>m^3 kg^-1 s^-2</v>
      </c>
      <c r="E232" s="42">
        <f>countif(Constants!F:F,F232)</f>
        <v>1</v>
      </c>
      <c r="F232" s="21" t="str">
        <f>ifna(VLOOKUP($A232,Constants!$D:$F,3,false),"")</f>
        <v>NewtonianConstantOfGravitation</v>
      </c>
      <c r="G232" s="21" t="str">
        <f>IFERROR(__xludf.DUMMYFUNCTION("REGEXREPLACE(substitute(substitute(B232,"" "",""""),""..."",""""),""\(.*\)"","""")"),"6.67428e-11")</f>
        <v>6.67428e-11</v>
      </c>
      <c r="H232" s="43">
        <f t="shared" si="2"/>
        <v>0</v>
      </c>
      <c r="I232" s="21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43">
        <f t="shared" si="3"/>
        <v>0</v>
      </c>
      <c r="K232" s="43" t="b">
        <f t="shared" si="4"/>
        <v>0</v>
      </c>
      <c r="L232" s="21" t="str">
        <f>IFERROR(__xludf.DUMMYFUNCTION("if(regexmatch(B232,""e(.*)$""),regexextract(B232,""e(.*)$""),"""")"),"-11")</f>
        <v>-11</v>
      </c>
    </row>
    <row r="233">
      <c r="A233" s="34" t="s">
        <v>1744</v>
      </c>
      <c r="B233" s="34" t="s">
        <v>4416</v>
      </c>
      <c r="C233" s="34" t="s">
        <v>4417</v>
      </c>
      <c r="D233" s="13" t="str">
        <f t="shared" si="1"/>
        <v>(GeV/c^2)^-2</v>
      </c>
      <c r="E233" s="42">
        <f>countif(Constants!F:F,F233)</f>
        <v>1</v>
      </c>
      <c r="F233" s="21" t="str">
        <f>ifna(VLOOKUP($A233,Constants!$D:$F,3,false),"")</f>
        <v>NewtonianConstantOfGravitationOverHBarC</v>
      </c>
      <c r="G233" s="21" t="str">
        <f>IFERROR(__xludf.DUMMYFUNCTION("REGEXREPLACE(substitute(substitute(B233,"" "",""""),""..."",""""),""\(.*\)"","""")"),"6.70881e-39")</f>
        <v>6.70881e-39</v>
      </c>
      <c r="H233" s="43">
        <f t="shared" si="2"/>
        <v>0</v>
      </c>
      <c r="I233" s="21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43">
        <f t="shared" si="3"/>
        <v>0</v>
      </c>
      <c r="K233" s="43" t="b">
        <f t="shared" si="4"/>
        <v>0</v>
      </c>
      <c r="L233" s="21" t="str">
        <f>IFERROR(__xludf.DUMMYFUNCTION("if(regexmatch(B233,""e(.*)$""),regexextract(B233,""e(.*)$""),"""")"),"-39")</f>
        <v>-39</v>
      </c>
    </row>
    <row r="234">
      <c r="A234" s="34" t="s">
        <v>1750</v>
      </c>
      <c r="B234" s="34" t="s">
        <v>4418</v>
      </c>
      <c r="C234" s="34" t="s">
        <v>4197</v>
      </c>
      <c r="D234" s="13" t="str">
        <f t="shared" si="1"/>
        <v>J T^-1</v>
      </c>
      <c r="E234" s="42">
        <f>countif(Constants!F:F,F234)</f>
        <v>1</v>
      </c>
      <c r="F234" s="21" t="str">
        <f>ifna(VLOOKUP($A234,Constants!$D:$F,3,false),"")</f>
        <v>NuclearMagneton</v>
      </c>
      <c r="G234" s="21" t="str">
        <f>IFERROR(__xludf.DUMMYFUNCTION("REGEXREPLACE(substitute(substitute(B234,"" "",""""),""..."",""""),""\(.*\)"","""")"),"5.05078324e-27")</f>
        <v>5.05078324e-27</v>
      </c>
      <c r="H234" s="43">
        <f t="shared" si="2"/>
        <v>0</v>
      </c>
      <c r="I234" s="21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43">
        <f t="shared" si="3"/>
        <v>0</v>
      </c>
      <c r="K234" s="43" t="b">
        <f t="shared" si="4"/>
        <v>0</v>
      </c>
      <c r="L234" s="21" t="str">
        <f>IFERROR(__xludf.DUMMYFUNCTION("if(regexmatch(B234,""e(.*)$""),regexextract(B234,""e(.*)$""),"""")"),"-27")</f>
        <v>-27</v>
      </c>
    </row>
    <row r="235">
      <c r="A235" s="34" t="s">
        <v>1760</v>
      </c>
      <c r="B235" s="34" t="s">
        <v>4419</v>
      </c>
      <c r="C235" s="34" t="s">
        <v>4216</v>
      </c>
      <c r="D235" s="13" t="str">
        <f t="shared" si="1"/>
        <v>K T^-1</v>
      </c>
      <c r="E235" s="42">
        <f>countif(Constants!F:F,F235)</f>
        <v>1</v>
      </c>
      <c r="F235" s="21" t="str">
        <f>ifna(VLOOKUP($A235,Constants!$D:$F,3,false),"")</f>
        <v>NuclearMagnetonInKPerT</v>
      </c>
      <c r="G235" s="21" t="str">
        <f>IFERROR(__xludf.DUMMYFUNCTION("REGEXREPLACE(substitute(substitute(B235,"" "",""""),""..."",""""),""\(.*\)"","""")"),"3.6582637e-4")</f>
        <v>3.6582637e-4</v>
      </c>
      <c r="H235" s="43">
        <f t="shared" si="2"/>
        <v>0.00036582637</v>
      </c>
      <c r="I235" s="21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43">
        <f t="shared" si="3"/>
        <v>0</v>
      </c>
      <c r="K235" s="43" t="b">
        <f t="shared" si="4"/>
        <v>0</v>
      </c>
      <c r="L235" s="21" t="str">
        <f>IFERROR(__xludf.DUMMYFUNCTION("if(regexmatch(B235,""e(.*)$""),regexextract(B235,""e(.*)$""),"""")"),"-4")</f>
        <v>-4</v>
      </c>
    </row>
    <row r="236">
      <c r="A236" s="34" t="s">
        <v>1763</v>
      </c>
      <c r="B236" s="34" t="s">
        <v>4420</v>
      </c>
      <c r="C236" s="34" t="s">
        <v>4260</v>
      </c>
      <c r="D236" s="13" t="str">
        <f t="shared" si="1"/>
        <v>MHz T^-1</v>
      </c>
      <c r="E236" s="42">
        <f>countif(Constants!F:F,F236)</f>
        <v>1</v>
      </c>
      <c r="F236" s="21" t="str">
        <f>ifna(VLOOKUP($A236,Constants!$D:$F,3,false),"")</f>
        <v>NuclearMagnetonInMHzPerT</v>
      </c>
      <c r="G236" s="21" t="str">
        <f>IFERROR(__xludf.DUMMYFUNCTION("REGEXREPLACE(substitute(substitute(B236,"" "",""""),""..."",""""),""\(.*\)"","""")"),"7.62259384")</f>
        <v>7.62259384</v>
      </c>
      <c r="H236" s="43">
        <f t="shared" si="2"/>
        <v>7.62259384</v>
      </c>
      <c r="I236" s="21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43">
        <f t="shared" si="3"/>
        <v>0.0000000019</v>
      </c>
      <c r="K236" s="43" t="b">
        <f t="shared" si="4"/>
        <v>0</v>
      </c>
      <c r="L236" s="21" t="str">
        <f>IFERROR(__xludf.DUMMYFUNCTION("if(regexmatch(B236,""e(.*)$""),regexextract(B236,""e(.*)$""),"""")"),"")</f>
        <v/>
      </c>
    </row>
    <row r="237">
      <c r="A237" s="34" t="s">
        <v>1754</v>
      </c>
      <c r="B237" s="34" t="s">
        <v>4421</v>
      </c>
      <c r="C237" s="34" t="s">
        <v>4218</v>
      </c>
      <c r="D237" s="13" t="str">
        <f t="shared" si="1"/>
        <v>eV T^-1</v>
      </c>
      <c r="E237" s="42">
        <f>countif(Constants!F:F,F237)</f>
        <v>1</v>
      </c>
      <c r="F237" s="21" t="str">
        <f>ifna(VLOOKUP($A237,Constants!$D:$F,3,false),"")</f>
        <v>NuclearMagnetonInEVPerT</v>
      </c>
      <c r="G237" s="21" t="str">
        <f>IFERROR(__xludf.DUMMYFUNCTION("REGEXREPLACE(substitute(substitute(B237,"" "",""""),""..."",""""),""\(.*\)"","""")"),"3.1524512326e-8")</f>
        <v>3.1524512326e-8</v>
      </c>
      <c r="H237" s="43">
        <f t="shared" si="2"/>
        <v>0.00000003152451233</v>
      </c>
      <c r="I237" s="21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43">
        <f t="shared" si="3"/>
        <v>0</v>
      </c>
      <c r="K237" s="43" t="b">
        <f t="shared" si="4"/>
        <v>0</v>
      </c>
      <c r="L237" s="21" t="str">
        <f>IFERROR(__xludf.DUMMYFUNCTION("if(regexmatch(B237,""e(.*)$""),regexextract(B237,""e(.*)$""),"""")"),"-8")</f>
        <v>-8</v>
      </c>
    </row>
    <row r="238">
      <c r="A238" s="34" t="s">
        <v>3572</v>
      </c>
      <c r="B238" s="34" t="s">
        <v>4422</v>
      </c>
      <c r="C238" s="34" t="s">
        <v>4220</v>
      </c>
      <c r="D238" s="13" t="str">
        <f t="shared" si="1"/>
        <v>m^-1 T^-1</v>
      </c>
      <c r="E238" s="42">
        <f>countif(Constants!F:F,F238)</f>
        <v>1</v>
      </c>
      <c r="F238" s="47" t="s">
        <v>3575</v>
      </c>
      <c r="G238" s="21" t="str">
        <f>IFERROR(__xludf.DUMMYFUNCTION("REGEXREPLACE(substitute(substitute(B238,"" "",""""),""..."",""""),""\(.*\)"","""")"),"2.542623616e-2")</f>
        <v>2.542623616e-2</v>
      </c>
      <c r="H238" s="43">
        <f t="shared" si="2"/>
        <v>0.02542623616</v>
      </c>
      <c r="I238" s="21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43">
        <f t="shared" si="3"/>
        <v>0</v>
      </c>
      <c r="K238" s="43" t="b">
        <f t="shared" si="4"/>
        <v>0</v>
      </c>
      <c r="L238" s="21" t="str">
        <f>IFERROR(__xludf.DUMMYFUNCTION("if(regexmatch(B238,""e(.*)$""),regexextract(B238,""e(.*)$""),"""")"),"-2")</f>
        <v>-2</v>
      </c>
    </row>
    <row r="239">
      <c r="A239" s="34" t="s">
        <v>1766</v>
      </c>
      <c r="B239" s="34" t="s">
        <v>4321</v>
      </c>
      <c r="C239" s="34" t="s">
        <v>643</v>
      </c>
      <c r="D239" s="13" t="str">
        <f t="shared" si="1"/>
        <v>J s</v>
      </c>
      <c r="E239" s="42">
        <f>countif(Constants!F:F,F239)</f>
        <v>1</v>
      </c>
      <c r="F239" s="21" t="str">
        <f>ifna(VLOOKUP($A239,Constants!$D:$F,3,false),"")</f>
        <v>PlanckConstant</v>
      </c>
      <c r="G239" s="21" t="str">
        <f>IFERROR(__xludf.DUMMYFUNCTION("REGEXREPLACE(substitute(substitute(B239,"" "",""""),""..."",""""),""\(.*\)"","""")"),"6.62606896e-34")</f>
        <v>6.62606896e-34</v>
      </c>
      <c r="H239" s="43">
        <f t="shared" si="2"/>
        <v>0</v>
      </c>
      <c r="I239" s="21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43">
        <f t="shared" si="3"/>
        <v>0</v>
      </c>
      <c r="K239" s="43" t="b">
        <f t="shared" si="4"/>
        <v>0</v>
      </c>
      <c r="L239" s="21" t="str">
        <f>IFERROR(__xludf.DUMMYFUNCTION("if(regexmatch(B239,""e(.*)$""),regexextract(B239,""e(.*)$""),"""")"),"-34")</f>
        <v>-34</v>
      </c>
    </row>
    <row r="240">
      <c r="A240" s="34" t="s">
        <v>3580</v>
      </c>
      <c r="B240" s="34" t="s">
        <v>4318</v>
      </c>
      <c r="C240" s="34" t="s">
        <v>1598</v>
      </c>
      <c r="D240" s="13" t="str">
        <f t="shared" si="1"/>
        <v>eV s</v>
      </c>
      <c r="E240" s="42">
        <f>countif(Constants!F:F,F240)</f>
        <v>1</v>
      </c>
      <c r="F240" s="47" t="s">
        <v>3581</v>
      </c>
      <c r="G240" s="21" t="str">
        <f>IFERROR(__xludf.DUMMYFUNCTION("REGEXREPLACE(substitute(substitute(B240,"" "",""""),""..."",""""),""\(.*\)"","""")"),"4.13566733e-15")</f>
        <v>4.13566733e-15</v>
      </c>
      <c r="H240" s="43">
        <f t="shared" si="2"/>
        <v>0</v>
      </c>
      <c r="I240" s="21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43">
        <f t="shared" si="3"/>
        <v>0</v>
      </c>
      <c r="K240" s="43" t="b">
        <f t="shared" si="4"/>
        <v>0</v>
      </c>
      <c r="L240" s="21" t="str">
        <f>IFERROR(__xludf.DUMMYFUNCTION("if(regexmatch(B240,""e(.*)$""),regexextract(B240,""e(.*)$""),"""")"),"-15")</f>
        <v>-15</v>
      </c>
    </row>
    <row r="241">
      <c r="A241" s="34" t="s">
        <v>1908</v>
      </c>
      <c r="B241" s="34" t="s">
        <v>4180</v>
      </c>
      <c r="C241" s="34" t="s">
        <v>643</v>
      </c>
      <c r="D241" s="13" t="str">
        <f t="shared" si="1"/>
        <v>J s</v>
      </c>
      <c r="E241" s="42">
        <f>countif(Constants!F:F,F241)</f>
        <v>1</v>
      </c>
      <c r="F241" s="47" t="s">
        <v>3582</v>
      </c>
      <c r="G241" s="21" t="str">
        <f>IFERROR(__xludf.DUMMYFUNCTION("REGEXREPLACE(substitute(substitute(B241,"" "",""""),""..."",""""),""\(.*\)"","""")"),"1.054571628e-34")</f>
        <v>1.054571628e-34</v>
      </c>
      <c r="H241" s="43">
        <f t="shared" si="2"/>
        <v>0</v>
      </c>
      <c r="I241" s="21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43">
        <f t="shared" si="3"/>
        <v>0</v>
      </c>
      <c r="K241" s="43" t="b">
        <f t="shared" si="4"/>
        <v>0</v>
      </c>
      <c r="L241" s="21" t="str">
        <f>IFERROR(__xludf.DUMMYFUNCTION("if(regexmatch(B241,""e(.*)$""),regexextract(B241,""e(.*)$""),"""")"),"-34")</f>
        <v>-34</v>
      </c>
    </row>
    <row r="242">
      <c r="A242" s="34" t="s">
        <v>1912</v>
      </c>
      <c r="B242" s="34" t="s">
        <v>4389</v>
      </c>
      <c r="C242" s="34" t="s">
        <v>1598</v>
      </c>
      <c r="D242" s="13" t="str">
        <f t="shared" si="1"/>
        <v>eV s</v>
      </c>
      <c r="E242" s="42">
        <f>countif(Constants!F:F,F242)</f>
        <v>1</v>
      </c>
      <c r="F242" s="47" t="s">
        <v>3583</v>
      </c>
      <c r="G242" s="21" t="str">
        <f>IFERROR(__xludf.DUMMYFUNCTION("REGEXREPLACE(substitute(substitute(B242,"" "",""""),""..."",""""),""\(.*\)"","""")"),"6.58211899e-16")</f>
        <v>6.58211899e-16</v>
      </c>
      <c r="H242" s="43">
        <f t="shared" si="2"/>
        <v>0</v>
      </c>
      <c r="I242" s="21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43">
        <f t="shared" si="3"/>
        <v>0</v>
      </c>
      <c r="K242" s="43" t="b">
        <f t="shared" si="4"/>
        <v>0</v>
      </c>
      <c r="L242" s="21" t="str">
        <f>IFERROR(__xludf.DUMMYFUNCTION("if(regexmatch(B242,""e(.*)$""),regexextract(B242,""e(.*)$""),"""")"),"-16")</f>
        <v>-16</v>
      </c>
    </row>
    <row r="243">
      <c r="A243" s="34" t="s">
        <v>1919</v>
      </c>
      <c r="B243" s="34" t="s">
        <v>4423</v>
      </c>
      <c r="C243" s="34" t="s">
        <v>1916</v>
      </c>
      <c r="D243" s="13" t="str">
        <f t="shared" si="1"/>
        <v>MeV fm</v>
      </c>
      <c r="E243" s="42">
        <f>countif(Constants!F:F,F243)</f>
        <v>1</v>
      </c>
      <c r="F243" s="47" t="s">
        <v>3585</v>
      </c>
      <c r="G243" s="21" t="str">
        <f>IFERROR(__xludf.DUMMYFUNCTION("REGEXREPLACE(substitute(substitute(B243,"" "",""""),""..."",""""),""\(.*\)"","""")"),"197.3269631")</f>
        <v>197.3269631</v>
      </c>
      <c r="H243" s="43">
        <f t="shared" si="2"/>
        <v>197.3269631</v>
      </c>
      <c r="I243" s="21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43">
        <f t="shared" si="3"/>
        <v>0.000000049</v>
      </c>
      <c r="K243" s="43" t="b">
        <f t="shared" si="4"/>
        <v>0</v>
      </c>
      <c r="L243" s="21" t="str">
        <f>IFERROR(__xludf.DUMMYFUNCTION("if(regexmatch(B243,""e(.*)$""),regexextract(B243,""e(.*)$""),"""")"),"")</f>
        <v/>
      </c>
    </row>
    <row r="244">
      <c r="A244" s="34" t="s">
        <v>1777</v>
      </c>
      <c r="B244" s="34" t="s">
        <v>4424</v>
      </c>
      <c r="C244" s="34" t="s">
        <v>571</v>
      </c>
      <c r="D244" s="13" t="str">
        <f t="shared" si="1"/>
        <v>m</v>
      </c>
      <c r="E244" s="42">
        <f>countif(Constants!F:F,F244)</f>
        <v>1</v>
      </c>
      <c r="F244" s="21" t="str">
        <f>ifna(VLOOKUP($A244,Constants!$D:$F,3,false),"")</f>
        <v>PlanckLength</v>
      </c>
      <c r="G244" s="21" t="str">
        <f>IFERROR(__xludf.DUMMYFUNCTION("REGEXREPLACE(substitute(substitute(B244,"" "",""""),""..."",""""),""\(.*\)"","""")"),"1.616252e-35")</f>
        <v>1.616252e-35</v>
      </c>
      <c r="H244" s="43">
        <f t="shared" si="2"/>
        <v>0</v>
      </c>
      <c r="I244" s="21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43">
        <f t="shared" si="3"/>
        <v>0</v>
      </c>
      <c r="K244" s="43" t="b">
        <f t="shared" si="4"/>
        <v>0</v>
      </c>
      <c r="L244" s="21" t="str">
        <f>IFERROR(__xludf.DUMMYFUNCTION("if(regexmatch(B244,""e(.*)$""),regexextract(B244,""e(.*)$""),"""")"),"-35")</f>
        <v>-35</v>
      </c>
    </row>
    <row r="245">
      <c r="A245" s="34" t="s">
        <v>1781</v>
      </c>
      <c r="B245" s="34" t="s">
        <v>4425</v>
      </c>
      <c r="C245" s="34" t="s">
        <v>538</v>
      </c>
      <c r="D245" s="13" t="str">
        <f t="shared" si="1"/>
        <v>kg</v>
      </c>
      <c r="E245" s="42">
        <f>countif(Constants!F:F,F245)</f>
        <v>1</v>
      </c>
      <c r="F245" s="21" t="str">
        <f>ifna(VLOOKUP($A245,Constants!$D:$F,3,false),"")</f>
        <v>PlanckMass</v>
      </c>
      <c r="G245" s="21" t="str">
        <f>IFERROR(__xludf.DUMMYFUNCTION("REGEXREPLACE(substitute(substitute(B245,"" "",""""),""..."",""""),""\(.*\)"","""")"),"2.17644e-8")</f>
        <v>2.17644e-8</v>
      </c>
      <c r="H245" s="43">
        <f t="shared" si="2"/>
        <v>0.0000000217644</v>
      </c>
      <c r="I245" s="21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43">
        <f t="shared" si="3"/>
        <v>0</v>
      </c>
      <c r="K245" s="43" t="b">
        <f t="shared" si="4"/>
        <v>0</v>
      </c>
      <c r="L245" s="21" t="str">
        <f>IFERROR(__xludf.DUMMYFUNCTION("if(regexmatch(B245,""e(.*)$""),regexextract(B245,""e(.*)$""),"""")"),"-8")</f>
        <v>-8</v>
      </c>
    </row>
    <row r="246">
      <c r="A246" s="34" t="s">
        <v>1785</v>
      </c>
      <c r="B246" s="34" t="s">
        <v>4426</v>
      </c>
      <c r="C246" s="34" t="s">
        <v>1786</v>
      </c>
      <c r="D246" s="13" t="str">
        <f t="shared" si="1"/>
        <v>GeV</v>
      </c>
      <c r="E246" s="42">
        <f>countif(Constants!F:F,F246)</f>
        <v>1</v>
      </c>
      <c r="F246" s="21" t="str">
        <f>ifna(VLOOKUP($A246,Constants!$D:$F,3,false),"")</f>
        <v>PlanckMassEnergyEquivalentInGeV</v>
      </c>
      <c r="G246" s="21" t="str">
        <f>IFERROR(__xludf.DUMMYFUNCTION("REGEXREPLACE(substitute(substitute(B246,"" "",""""),""..."",""""),""\(.*\)"","""")"),"1.220892e19")</f>
        <v>1.220892e19</v>
      </c>
      <c r="H246" s="43">
        <f t="shared" si="2"/>
        <v>1.22089E+19</v>
      </c>
      <c r="I246" s="21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43">
        <f t="shared" si="3"/>
        <v>6100000000000</v>
      </c>
      <c r="K246" s="43" t="b">
        <f t="shared" si="4"/>
        <v>0</v>
      </c>
      <c r="L246" s="21" t="str">
        <f>IFERROR(__xludf.DUMMYFUNCTION("if(regexmatch(B246,""e(.*)$""),regexextract(B246,""e(.*)$""),"""")"),"19")</f>
        <v>19</v>
      </c>
    </row>
    <row r="247">
      <c r="A247" s="34" t="s">
        <v>1790</v>
      </c>
      <c r="B247" s="34" t="s">
        <v>4427</v>
      </c>
      <c r="C247" s="34" t="s">
        <v>618</v>
      </c>
      <c r="D247" s="13" t="str">
        <f t="shared" si="1"/>
        <v>K</v>
      </c>
      <c r="E247" s="42">
        <f>countif(Constants!F:F,F247)</f>
        <v>1</v>
      </c>
      <c r="F247" s="21" t="str">
        <f>ifna(VLOOKUP($A247,Constants!$D:$F,3,false),"")</f>
        <v>PlanckTemperature</v>
      </c>
      <c r="G247" s="21" t="str">
        <f>IFERROR(__xludf.DUMMYFUNCTION("REGEXREPLACE(substitute(substitute(B247,"" "",""""),""..."",""""),""\(.*\)"","""")"),"1.416785e32")</f>
        <v>1.416785e32</v>
      </c>
      <c r="H247" s="43">
        <f t="shared" si="2"/>
        <v>1.41679E+32</v>
      </c>
      <c r="I247" s="21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43">
        <f t="shared" si="3"/>
        <v>7.1E+25</v>
      </c>
      <c r="K247" s="43" t="b">
        <f t="shared" si="4"/>
        <v>0</v>
      </c>
      <c r="L247" s="21" t="str">
        <f>IFERROR(__xludf.DUMMYFUNCTION("if(regexmatch(B247,""e(.*)$""),regexextract(B247,""e(.*)$""),"""")"),"32")</f>
        <v>32</v>
      </c>
    </row>
    <row r="248">
      <c r="A248" s="34" t="s">
        <v>1795</v>
      </c>
      <c r="B248" s="34" t="s">
        <v>4428</v>
      </c>
      <c r="C248" s="34" t="s">
        <v>749</v>
      </c>
      <c r="D248" s="13" t="str">
        <f t="shared" si="1"/>
        <v>s</v>
      </c>
      <c r="E248" s="42">
        <f>countif(Constants!F:F,F248)</f>
        <v>1</v>
      </c>
      <c r="F248" s="21" t="str">
        <f>ifna(VLOOKUP($A248,Constants!$D:$F,3,false),"")</f>
        <v>PlanckTime</v>
      </c>
      <c r="G248" s="21" t="str">
        <f>IFERROR(__xludf.DUMMYFUNCTION("REGEXREPLACE(substitute(substitute(B248,"" "",""""),""..."",""""),""\(.*\)"","""")"),"5.39124e-44")</f>
        <v>5.39124e-44</v>
      </c>
      <c r="H248" s="43">
        <f t="shared" si="2"/>
        <v>0</v>
      </c>
      <c r="I248" s="21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43">
        <f t="shared" si="3"/>
        <v>0</v>
      </c>
      <c r="K248" s="43" t="b">
        <f t="shared" si="4"/>
        <v>0</v>
      </c>
      <c r="L248" s="21" t="str">
        <f>IFERROR(__xludf.DUMMYFUNCTION("if(regexmatch(B248,""e(.*)$""),regexextract(B248,""e(.*)$""),"""")"),"-44")</f>
        <v>-44</v>
      </c>
    </row>
    <row r="249">
      <c r="A249" s="34" t="s">
        <v>1803</v>
      </c>
      <c r="B249" s="34" t="s">
        <v>4429</v>
      </c>
      <c r="C249" s="34" t="s">
        <v>571</v>
      </c>
      <c r="D249" s="13" t="str">
        <f t="shared" si="1"/>
        <v>m</v>
      </c>
      <c r="E249" s="42">
        <f>countif(Constants!F:F,F249)</f>
        <v>1</v>
      </c>
      <c r="F249" s="21" t="str">
        <f>ifna(VLOOKUP($A249,Constants!$D:$F,3,false),"")</f>
        <v>ProtonComptonWavelength</v>
      </c>
      <c r="G249" s="21" t="str">
        <f>IFERROR(__xludf.DUMMYFUNCTION("REGEXREPLACE(substitute(substitute(B249,"" "",""""),""..."",""""),""\(.*\)"","""")"),"1.3214098446e-15")</f>
        <v>1.3214098446e-15</v>
      </c>
      <c r="H249" s="43">
        <f t="shared" si="2"/>
        <v>0</v>
      </c>
      <c r="I249" s="21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43">
        <f t="shared" si="3"/>
        <v>0</v>
      </c>
      <c r="K249" s="43" t="b">
        <f t="shared" si="4"/>
        <v>0</v>
      </c>
      <c r="L249" s="21" t="str">
        <f>IFERROR(__xludf.DUMMYFUNCTION("if(regexmatch(B249,""e(.*)$""),regexextract(B249,""e(.*)$""),"""")"),"-15")</f>
        <v>-15</v>
      </c>
    </row>
    <row r="250">
      <c r="A250" s="34" t="s">
        <v>1924</v>
      </c>
      <c r="B250" s="34" t="s">
        <v>4430</v>
      </c>
      <c r="C250" s="34" t="s">
        <v>571</v>
      </c>
      <c r="D250" s="13" t="str">
        <f t="shared" si="1"/>
        <v>m</v>
      </c>
      <c r="E250" s="42">
        <f>countif(Constants!F:F,F250)</f>
        <v>1</v>
      </c>
      <c r="F250" s="47" t="s">
        <v>3601</v>
      </c>
      <c r="G250" s="21" t="str">
        <f>IFERROR(__xludf.DUMMYFUNCTION("REGEXREPLACE(substitute(substitute(B250,"" "",""""),""..."",""""),""\(.*\)"","""")"),"0.21030890861e-15")</f>
        <v>0.21030890861e-15</v>
      </c>
      <c r="H250" s="43">
        <f t="shared" si="2"/>
        <v>0</v>
      </c>
      <c r="I250" s="21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43">
        <f t="shared" si="3"/>
        <v>0</v>
      </c>
      <c r="K250" s="43" t="b">
        <f t="shared" si="4"/>
        <v>0</v>
      </c>
      <c r="L250" s="21" t="str">
        <f>IFERROR(__xludf.DUMMYFUNCTION("if(regexmatch(B250,""e(.*)$""),regexextract(B250,""e(.*)$""),"""")"),"-15")</f>
        <v>-15</v>
      </c>
    </row>
    <row r="251">
      <c r="A251" s="34" t="s">
        <v>1799</v>
      </c>
      <c r="B251" s="34" t="s">
        <v>4431</v>
      </c>
      <c r="C251" s="34" t="s">
        <v>4255</v>
      </c>
      <c r="D251" s="13" t="str">
        <f t="shared" si="1"/>
        <v>C kg^-1</v>
      </c>
      <c r="E251" s="42">
        <f>countif(Constants!F:F,F251)</f>
        <v>1</v>
      </c>
      <c r="F251" s="21" t="str">
        <f>ifna(VLOOKUP($A251,Constants!$D:$F,3,false),"")</f>
        <v>ProtonChargeToMassQuotient</v>
      </c>
      <c r="G251" s="21" t="str">
        <f>IFERROR(__xludf.DUMMYFUNCTION("REGEXREPLACE(substitute(substitute(B251,"" "",""""),""..."",""""),""\(.*\)"","""")"),"9.57883392e7")</f>
        <v>9.57883392e7</v>
      </c>
      <c r="H251" s="43">
        <f t="shared" si="2"/>
        <v>95788339.2</v>
      </c>
      <c r="I251" s="21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43">
        <f t="shared" si="3"/>
        <v>0.024</v>
      </c>
      <c r="K251" s="43" t="b">
        <f t="shared" si="4"/>
        <v>0</v>
      </c>
      <c r="L251" s="21" t="str">
        <f>IFERROR(__xludf.DUMMYFUNCTION("if(regexmatch(B251,""e(.*)$""),regexextract(B251,""e(.*)$""),"""")"),"7")</f>
        <v>7</v>
      </c>
    </row>
    <row r="252">
      <c r="A252" s="34" t="s">
        <v>1811</v>
      </c>
      <c r="B252" s="34" t="s">
        <v>4432</v>
      </c>
      <c r="C252" s="34"/>
      <c r="D252" s="13" t="str">
        <f t="shared" si="1"/>
        <v/>
      </c>
      <c r="E252" s="42">
        <f>countif(Constants!F:F,F252)</f>
        <v>1</v>
      </c>
      <c r="F252" s="21" t="str">
        <f>ifna(VLOOKUP($A252,Constants!$D:$F,3,false),"")</f>
        <v>ProtonGFactor</v>
      </c>
      <c r="G252" s="21" t="str">
        <f>IFERROR(__xludf.DUMMYFUNCTION("REGEXREPLACE(substitute(substitute(B252,"" "",""""),""..."",""""),""\(.*\)"","""")"),"5.585694713")</f>
        <v>5.585694713</v>
      </c>
      <c r="H252" s="43">
        <f t="shared" si="2"/>
        <v>5.585694713</v>
      </c>
      <c r="I252" s="21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43">
        <f t="shared" si="3"/>
        <v>0.00000000046</v>
      </c>
      <c r="K252" s="43" t="b">
        <f t="shared" si="4"/>
        <v>0</v>
      </c>
      <c r="L252" s="21" t="str">
        <f>IFERROR(__xludf.DUMMYFUNCTION("if(regexmatch(B252,""e(.*)$""),regexextract(B252,""e(.*)$""),"""")"),"")</f>
        <v/>
      </c>
    </row>
    <row r="253">
      <c r="A253" s="34" t="s">
        <v>1816</v>
      </c>
      <c r="B253" s="34" t="s">
        <v>4433</v>
      </c>
      <c r="C253" s="34" t="s">
        <v>4258</v>
      </c>
      <c r="D253" s="13" t="str">
        <f t="shared" si="1"/>
        <v>s^-1 T^-1</v>
      </c>
      <c r="E253" s="42">
        <f>countif(Constants!F:F,F253)</f>
        <v>1</v>
      </c>
      <c r="F253" s="47" t="s">
        <v>439</v>
      </c>
      <c r="G253" s="21" t="str">
        <f>IFERROR(__xludf.DUMMYFUNCTION("REGEXREPLACE(substitute(substitute(B253,"" "",""""),""..."",""""),""\(.*\)"","""")"),"2.675222099e8")</f>
        <v>2.675222099e8</v>
      </c>
      <c r="H253" s="43">
        <f t="shared" si="2"/>
        <v>267522209.9</v>
      </c>
      <c r="I253" s="21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43">
        <f t="shared" si="3"/>
        <v>0.07</v>
      </c>
      <c r="K253" s="43" t="b">
        <f t="shared" si="4"/>
        <v>0</v>
      </c>
      <c r="L253" s="21" t="str">
        <f>IFERROR(__xludf.DUMMYFUNCTION("if(regexmatch(B253,""e(.*)$""),regexextract(B253,""e(.*)$""),"""")"),"8")</f>
        <v>8</v>
      </c>
    </row>
    <row r="254">
      <c r="A254" s="34" t="s">
        <v>1819</v>
      </c>
      <c r="B254" s="34" t="s">
        <v>4434</v>
      </c>
      <c r="C254" s="34" t="s">
        <v>4260</v>
      </c>
      <c r="D254" s="13" t="str">
        <f t="shared" si="1"/>
        <v>MHz T^-1</v>
      </c>
      <c r="E254" s="42">
        <f>countif(Constants!F:F,F254)</f>
        <v>1</v>
      </c>
      <c r="F254" s="47" t="s">
        <v>2636</v>
      </c>
      <c r="G254" s="21" t="str">
        <f>IFERROR(__xludf.DUMMYFUNCTION("REGEXREPLACE(substitute(substitute(B254,"" "",""""),""..."",""""),""\(.*\)"","""")"),"42.5774821")</f>
        <v>42.5774821</v>
      </c>
      <c r="H254" s="43">
        <f t="shared" si="2"/>
        <v>42.5774821</v>
      </c>
      <c r="I254" s="21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43">
        <f t="shared" si="3"/>
        <v>0.000000011</v>
      </c>
      <c r="K254" s="43" t="b">
        <f t="shared" si="4"/>
        <v>0</v>
      </c>
      <c r="L254" s="21" t="str">
        <f>IFERROR(__xludf.DUMMYFUNCTION("if(regexmatch(B254,""e(.*)$""),regexextract(B254,""e(.*)$""),"""")"),"")</f>
        <v/>
      </c>
    </row>
    <row r="255">
      <c r="A255" s="34" t="s">
        <v>1825</v>
      </c>
      <c r="B255" s="34" t="s">
        <v>4435</v>
      </c>
      <c r="C255" s="34" t="s">
        <v>4197</v>
      </c>
      <c r="D255" s="13" t="str">
        <f t="shared" si="1"/>
        <v>J T^-1</v>
      </c>
      <c r="E255" s="42">
        <f>countif(Constants!F:F,F255)</f>
        <v>1</v>
      </c>
      <c r="F255" s="47" t="s">
        <v>440</v>
      </c>
      <c r="G255" s="21" t="str">
        <f>IFERROR(__xludf.DUMMYFUNCTION("REGEXREPLACE(substitute(substitute(B255,"" "",""""),""..."",""""),""\(.*\)"","""")"),"1.410606662e-26")</f>
        <v>1.410606662e-26</v>
      </c>
      <c r="H255" s="43">
        <f t="shared" si="2"/>
        <v>0</v>
      </c>
      <c r="I255" s="21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43">
        <f t="shared" si="3"/>
        <v>0</v>
      </c>
      <c r="K255" s="43" t="b">
        <f t="shared" si="4"/>
        <v>0</v>
      </c>
      <c r="L255" s="21" t="str">
        <f>IFERROR(__xludf.DUMMYFUNCTION("if(regexmatch(B255,""e(.*)$""),regexextract(B255,""e(.*)$""),"""")"),"-26")</f>
        <v>-26</v>
      </c>
    </row>
    <row r="256">
      <c r="A256" s="34" t="s">
        <v>1830</v>
      </c>
      <c r="B256" s="34" t="s">
        <v>4436</v>
      </c>
      <c r="C256" s="34"/>
      <c r="D256" s="13" t="str">
        <f t="shared" si="1"/>
        <v/>
      </c>
      <c r="E256" s="42">
        <f>countif(Constants!F:F,F256)</f>
        <v>1</v>
      </c>
      <c r="F256" s="47" t="s">
        <v>441</v>
      </c>
      <c r="G256" s="21" t="str">
        <f>IFERROR(__xludf.DUMMYFUNCTION("REGEXREPLACE(substitute(substitute(B256,"" "",""""),""..."",""""),""\(.*\)"","""")"),"1.521032209e-3")</f>
        <v>1.521032209e-3</v>
      </c>
      <c r="H256" s="43">
        <f t="shared" si="2"/>
        <v>0.001521032209</v>
      </c>
      <c r="I256" s="21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43">
        <f t="shared" si="3"/>
        <v>0</v>
      </c>
      <c r="K256" s="43" t="b">
        <f t="shared" si="4"/>
        <v>0</v>
      </c>
      <c r="L256" s="21" t="str">
        <f>IFERROR(__xludf.DUMMYFUNCTION("if(regexmatch(B256,""e(.*)$""),regexextract(B256,""e(.*)$""),"""")"),"-3")</f>
        <v>-3</v>
      </c>
    </row>
    <row r="257">
      <c r="A257" s="34" t="s">
        <v>1835</v>
      </c>
      <c r="B257" s="34" t="s">
        <v>4437</v>
      </c>
      <c r="C257" s="34"/>
      <c r="D257" s="13" t="str">
        <f t="shared" si="1"/>
        <v/>
      </c>
      <c r="E257" s="42">
        <f>countif(Constants!F:F,F257)</f>
        <v>1</v>
      </c>
      <c r="F257" s="47" t="s">
        <v>442</v>
      </c>
      <c r="G257" s="21" t="str">
        <f>IFERROR(__xludf.DUMMYFUNCTION("REGEXREPLACE(substitute(substitute(B257,"" "",""""),""..."",""""),""\(.*\)"","""")"),"2.792847356")</f>
        <v>2.792847356</v>
      </c>
      <c r="H257" s="43">
        <f t="shared" si="2"/>
        <v>2.792847356</v>
      </c>
      <c r="I257" s="21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43">
        <f t="shared" si="3"/>
        <v>0.00000000023</v>
      </c>
      <c r="K257" s="43" t="b">
        <f t="shared" si="4"/>
        <v>0</v>
      </c>
      <c r="L257" s="21" t="str">
        <f>IFERROR(__xludf.DUMMYFUNCTION("if(regexmatch(B257,""e(.*)$""),regexextract(B257,""e(.*)$""),"""")"),"")</f>
        <v/>
      </c>
    </row>
    <row r="258">
      <c r="A258" s="34" t="s">
        <v>1840</v>
      </c>
      <c r="B258" s="34" t="s">
        <v>4438</v>
      </c>
      <c r="C258" s="34"/>
      <c r="D258" s="13" t="str">
        <f t="shared" si="1"/>
        <v/>
      </c>
      <c r="E258" s="42">
        <f>countif(Constants!F:F,F258)</f>
        <v>1</v>
      </c>
      <c r="F258" s="49" t="s">
        <v>443</v>
      </c>
      <c r="G258" s="21" t="str">
        <f>IFERROR(__xludf.DUMMYFUNCTION("REGEXREPLACE(substitute(substitute(B258,"" "",""""),""..."",""""),""\(.*\)"","""")"),"25.694e-6")</f>
        <v>25.694e-6</v>
      </c>
      <c r="H258" s="43">
        <f t="shared" si="2"/>
        <v>0.000025694</v>
      </c>
      <c r="I258" s="21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43">
        <f t="shared" si="3"/>
        <v>0.00000000014</v>
      </c>
      <c r="K258" s="43" t="b">
        <f t="shared" si="4"/>
        <v>0</v>
      </c>
      <c r="L258" s="21" t="str">
        <f>IFERROR(__xludf.DUMMYFUNCTION("if(regexmatch(B258,""e(.*)$""),regexextract(B258,""e(.*)$""),"""")"),"-6")</f>
        <v>-6</v>
      </c>
    </row>
    <row r="259">
      <c r="A259" s="34" t="s">
        <v>1843</v>
      </c>
      <c r="B259" s="34" t="s">
        <v>4439</v>
      </c>
      <c r="C259" s="34" t="s">
        <v>538</v>
      </c>
      <c r="D259" s="13" t="str">
        <f t="shared" si="1"/>
        <v>kg</v>
      </c>
      <c r="E259" s="42">
        <f>countif(Constants!F:F,F259)</f>
        <v>1</v>
      </c>
      <c r="F259" s="21" t="str">
        <f>ifna(VLOOKUP($A259,Constants!$D:$F,3,false),"")</f>
        <v>ProtonMass</v>
      </c>
      <c r="G259" s="21" t="str">
        <f>IFERROR(__xludf.DUMMYFUNCTION("REGEXREPLACE(substitute(substitute(B259,"" "",""""),""..."",""""),""\(.*\)"","""")"),"1.672621637e-27")</f>
        <v>1.672621637e-27</v>
      </c>
      <c r="H259" s="43">
        <f t="shared" si="2"/>
        <v>0</v>
      </c>
      <c r="I259" s="21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43">
        <f t="shared" si="3"/>
        <v>0</v>
      </c>
      <c r="K259" s="43" t="b">
        <f t="shared" si="4"/>
        <v>0</v>
      </c>
      <c r="L259" s="21" t="str">
        <f>IFERROR(__xludf.DUMMYFUNCTION("if(regexmatch(B259,""e(.*)$""),regexextract(B259,""e(.*)$""),"""")"),"-27")</f>
        <v>-27</v>
      </c>
    </row>
    <row r="260">
      <c r="A260" s="34" t="s">
        <v>1848</v>
      </c>
      <c r="B260" s="34" t="s">
        <v>4440</v>
      </c>
      <c r="C260" s="34" t="s">
        <v>543</v>
      </c>
      <c r="D260" s="13" t="str">
        <f t="shared" si="1"/>
        <v>J</v>
      </c>
      <c r="E260" s="42">
        <f>countif(Constants!F:F,F260)</f>
        <v>1</v>
      </c>
      <c r="F260" s="21" t="str">
        <f>ifna(VLOOKUP($A260,Constants!$D:$F,3,false),"")</f>
        <v>ProtonMassEnergyEquivalent</v>
      </c>
      <c r="G260" s="21" t="str">
        <f>IFERROR(__xludf.DUMMYFUNCTION("REGEXREPLACE(substitute(substitute(B260,"" "",""""),""..."",""""),""\(.*\)"","""")"),"1.503277359e-10")</f>
        <v>1.503277359e-10</v>
      </c>
      <c r="H260" s="43">
        <f t="shared" si="2"/>
        <v>0.0000000001503277359</v>
      </c>
      <c r="I260" s="21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43">
        <f t="shared" si="3"/>
        <v>0</v>
      </c>
      <c r="K260" s="43" t="b">
        <f t="shared" si="4"/>
        <v>0</v>
      </c>
      <c r="L260" s="21" t="str">
        <f>IFERROR(__xludf.DUMMYFUNCTION("if(regexmatch(B260,""e(.*)$""),regexextract(B260,""e(.*)$""),"""")"),"-10")</f>
        <v>-10</v>
      </c>
    </row>
    <row r="261">
      <c r="A261" s="34" t="s">
        <v>1852</v>
      </c>
      <c r="B261" s="34" t="s">
        <v>4441</v>
      </c>
      <c r="C261" s="34" t="s">
        <v>548</v>
      </c>
      <c r="D261" s="13" t="str">
        <f t="shared" si="1"/>
        <v>MeV</v>
      </c>
      <c r="E261" s="42">
        <f>countif(Constants!F:F,F261)</f>
        <v>1</v>
      </c>
      <c r="F261" s="21" t="str">
        <f>ifna(VLOOKUP($A261,Constants!$D:$F,3,false),"")</f>
        <v>ProtonMassEnergyEquivalentInMeV</v>
      </c>
      <c r="G261" s="21" t="str">
        <f>IFERROR(__xludf.DUMMYFUNCTION("REGEXREPLACE(substitute(substitute(B261,"" "",""""),""..."",""""),""\(.*\)"","""")"),"938.272013")</f>
        <v>938.272013</v>
      </c>
      <c r="H261" s="43">
        <f t="shared" si="2"/>
        <v>938.272013</v>
      </c>
      <c r="I261" s="21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43">
        <f t="shared" si="3"/>
        <v>0.00000023</v>
      </c>
      <c r="K261" s="43" t="b">
        <f t="shared" si="4"/>
        <v>0</v>
      </c>
      <c r="L261" s="21" t="str">
        <f>IFERROR(__xludf.DUMMYFUNCTION("if(regexmatch(B261,""e(.*)$""),regexextract(B261,""e(.*)$""),"""")"),"")</f>
        <v/>
      </c>
    </row>
    <row r="262">
      <c r="A262" s="34" t="s">
        <v>1855</v>
      </c>
      <c r="B262" s="34" t="s">
        <v>4442</v>
      </c>
      <c r="C262" s="34" t="s">
        <v>553</v>
      </c>
      <c r="D262" s="13" t="str">
        <f t="shared" si="1"/>
        <v>u</v>
      </c>
      <c r="E262" s="42">
        <f>countif(Constants!F:F,F262)</f>
        <v>1</v>
      </c>
      <c r="F262" s="21" t="str">
        <f>ifna(VLOOKUP($A262,Constants!$D:$F,3,false),"")</f>
        <v>ProtonMassInAtomicMassUnit</v>
      </c>
      <c r="G262" s="21" t="str">
        <f>IFERROR(__xludf.DUMMYFUNCTION("REGEXREPLACE(substitute(substitute(B262,"" "",""""),""..."",""""),""\(.*\)"","""")"),"1.00727646677")</f>
        <v>1.00727646677</v>
      </c>
      <c r="H262" s="43">
        <f t="shared" si="2"/>
        <v>1.007276467</v>
      </c>
      <c r="I262" s="21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43">
        <f t="shared" si="3"/>
        <v>0</v>
      </c>
      <c r="K262" s="43" t="b">
        <f t="shared" si="4"/>
        <v>0</v>
      </c>
      <c r="L262" s="21" t="str">
        <f>IFERROR(__xludf.DUMMYFUNCTION("if(regexmatch(B262,""e(.*)$""),regexextract(B262,""e(.*)$""),"""")"),"")</f>
        <v/>
      </c>
    </row>
    <row r="263">
      <c r="A263" s="34" t="s">
        <v>1858</v>
      </c>
      <c r="B263" s="34" t="s">
        <v>4443</v>
      </c>
      <c r="C263" s="34" t="s">
        <v>4163</v>
      </c>
      <c r="D263" s="13" t="str">
        <f t="shared" si="1"/>
        <v>kg mol^-1</v>
      </c>
      <c r="E263" s="42">
        <f>countif(Constants!F:F,F263)</f>
        <v>1</v>
      </c>
      <c r="F263" s="21" t="str">
        <f>ifna(VLOOKUP($A263,Constants!$D:$F,3,false),"")</f>
        <v>ProtonMolarMass</v>
      </c>
      <c r="G263" s="21" t="str">
        <f>IFERROR(__xludf.DUMMYFUNCTION("REGEXREPLACE(substitute(substitute(B263,"" "",""""),""..."",""""),""\(.*\)"","""")"),"1.00727646677e-3")</f>
        <v>1.00727646677e-3</v>
      </c>
      <c r="H263" s="43">
        <f t="shared" si="2"/>
        <v>0.001007276467</v>
      </c>
      <c r="I263" s="21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43">
        <f t="shared" si="3"/>
        <v>0</v>
      </c>
      <c r="K263" s="43" t="b">
        <f t="shared" si="4"/>
        <v>0</v>
      </c>
      <c r="L263" s="21" t="str">
        <f>IFERROR(__xludf.DUMMYFUNCTION("if(regexmatch(B263,""e(.*)$""),regexextract(B263,""e(.*)$""),"""")"),"-3")</f>
        <v>-3</v>
      </c>
    </row>
    <row r="264">
      <c r="A264" s="34" t="s">
        <v>1880</v>
      </c>
      <c r="B264" s="34" t="s">
        <v>4444</v>
      </c>
      <c r="C264" s="34" t="s">
        <v>571</v>
      </c>
      <c r="D264" s="13" t="str">
        <f t="shared" si="1"/>
        <v>m</v>
      </c>
      <c r="E264" s="42">
        <f>countif(Constants!F:F,F264)</f>
        <v>1</v>
      </c>
      <c r="F264" s="21" t="str">
        <f>ifna(VLOOKUP($A264,Constants!$D:$F,3,false),"")</f>
        <v>ProtonRmsChargeRadius</v>
      </c>
      <c r="G264" s="21" t="str">
        <f>IFERROR(__xludf.DUMMYFUNCTION("REGEXREPLACE(substitute(substitute(B264,"" "",""""),""..."",""""),""\(.*\)"","""")"),"0.8768e-15")</f>
        <v>0.8768e-15</v>
      </c>
      <c r="H264" s="43">
        <f t="shared" si="2"/>
        <v>0</v>
      </c>
      <c r="I264" s="21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43">
        <f t="shared" si="3"/>
        <v>0</v>
      </c>
      <c r="K264" s="43" t="b">
        <f t="shared" si="4"/>
        <v>0</v>
      </c>
      <c r="L264" s="21" t="str">
        <f>IFERROR(__xludf.DUMMYFUNCTION("if(regexmatch(B264,""e(.*)$""),regexextract(B264,""e(.*)$""),"""")"),"-15")</f>
        <v>-15</v>
      </c>
    </row>
    <row r="265">
      <c r="A265" s="34" t="s">
        <v>1807</v>
      </c>
      <c r="B265" s="34" t="s">
        <v>4445</v>
      </c>
      <c r="C265" s="34"/>
      <c r="D265" s="13" t="str">
        <f t="shared" si="1"/>
        <v/>
      </c>
      <c r="E265" s="42">
        <f>countif(Constants!F:F,F265)</f>
        <v>1</v>
      </c>
      <c r="F265" s="21" t="str">
        <f>ifna(VLOOKUP($A265,Constants!$D:$F,3,false),"")</f>
        <v>ProtonElectronMassRatio</v>
      </c>
      <c r="G265" s="21" t="str">
        <f>IFERROR(__xludf.DUMMYFUNCTION("REGEXREPLACE(substitute(substitute(B265,"" "",""""),""..."",""""),""\(.*\)"","""")"),"1836.15267247")</f>
        <v>1836.15267247</v>
      </c>
      <c r="H265" s="43">
        <f t="shared" si="2"/>
        <v>1836.152672</v>
      </c>
      <c r="I265" s="21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43">
        <f t="shared" si="3"/>
        <v>0.000000008</v>
      </c>
      <c r="K265" s="43" t="b">
        <f t="shared" si="4"/>
        <v>0</v>
      </c>
      <c r="L265" s="21" t="str">
        <f>IFERROR(__xludf.DUMMYFUNCTION("if(regexmatch(B265,""e(.*)$""),regexextract(B265,""e(.*)$""),"""")"),"")</f>
        <v/>
      </c>
    </row>
    <row r="266">
      <c r="A266" s="34" t="s">
        <v>1862</v>
      </c>
      <c r="B266" s="34" t="s">
        <v>4446</v>
      </c>
      <c r="C266" s="34"/>
      <c r="D266" s="13" t="str">
        <f t="shared" si="1"/>
        <v/>
      </c>
      <c r="E266" s="42">
        <f>countif(Constants!F:F,F266)</f>
        <v>1</v>
      </c>
      <c r="F266" s="21" t="str">
        <f>ifna(VLOOKUP($A266,Constants!$D:$F,3,false),"")</f>
        <v>ProtonMuonMassRatio</v>
      </c>
      <c r="G266" s="21" t="str">
        <f>IFERROR(__xludf.DUMMYFUNCTION("REGEXREPLACE(substitute(substitute(B266,"" "",""""),""..."",""""),""\(.*\)"","""")"),"8.88024339")</f>
        <v>8.88024339</v>
      </c>
      <c r="H266" s="43">
        <f t="shared" si="2"/>
        <v>8.88024339</v>
      </c>
      <c r="I266" s="21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43">
        <f t="shared" si="3"/>
        <v>0.0000000023</v>
      </c>
      <c r="K266" s="43" t="b">
        <f t="shared" si="4"/>
        <v>0</v>
      </c>
      <c r="L266" s="21" t="str">
        <f>IFERROR(__xludf.DUMMYFUNCTION("if(regexmatch(B266,""e(.*)$""),regexextract(B266,""e(.*)$""),"""")"),"")</f>
        <v/>
      </c>
    </row>
    <row r="267">
      <c r="A267" s="34" t="s">
        <v>4447</v>
      </c>
      <c r="B267" s="34" t="s">
        <v>4448</v>
      </c>
      <c r="C267" s="34"/>
      <c r="D267" s="13" t="str">
        <f t="shared" si="1"/>
        <v/>
      </c>
      <c r="E267" s="42">
        <f>countif(Constants!F:F,F267)</f>
        <v>1</v>
      </c>
      <c r="F267" s="47" t="s">
        <v>447</v>
      </c>
      <c r="G267" s="21" t="str">
        <f>IFERROR(__xludf.DUMMYFUNCTION("REGEXREPLACE(substitute(substitute(B267,"" "",""""),""..."",""""),""\(.*\)"","""")"),"-1.45989806")</f>
        <v>-1.45989806</v>
      </c>
      <c r="H267" s="43">
        <f t="shared" si="2"/>
        <v>-1.45989806</v>
      </c>
      <c r="I267" s="21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43">
        <f t="shared" si="3"/>
        <v>0.0000000034</v>
      </c>
      <c r="K267" s="43" t="b">
        <f t="shared" si="4"/>
        <v>0</v>
      </c>
      <c r="L267" s="21" t="str">
        <f>IFERROR(__xludf.DUMMYFUNCTION("if(regexmatch(B267,""e(.*)$""),regexextract(B267,""e(.*)$""),"""")"),"")</f>
        <v/>
      </c>
    </row>
    <row r="268">
      <c r="A268" s="34" t="s">
        <v>1872</v>
      </c>
      <c r="B268" s="34" t="s">
        <v>4449</v>
      </c>
      <c r="C268" s="34"/>
      <c r="D268" s="13" t="str">
        <f t="shared" si="1"/>
        <v/>
      </c>
      <c r="E268" s="42">
        <f>countif(Constants!F:F,F268)</f>
        <v>1</v>
      </c>
      <c r="F268" s="21" t="str">
        <f>ifna(VLOOKUP($A268,Constants!$D:$F,3,false),"")</f>
        <v>ProtonNeutronMassRatio</v>
      </c>
      <c r="G268" s="21" t="str">
        <f>IFERROR(__xludf.DUMMYFUNCTION("REGEXREPLACE(substitute(substitute(B268,"" "",""""),""..."",""""),""\(.*\)"","""")"),"0.99862347824")</f>
        <v>0.99862347824</v>
      </c>
      <c r="H268" s="43">
        <f t="shared" si="2"/>
        <v>0.9986234782</v>
      </c>
      <c r="I268" s="21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43">
        <f t="shared" si="3"/>
        <v>0</v>
      </c>
      <c r="K268" s="43" t="b">
        <f t="shared" si="4"/>
        <v>0</v>
      </c>
      <c r="L268" s="21" t="str">
        <f>IFERROR(__xludf.DUMMYFUNCTION("if(regexmatch(B268,""e(.*)$""),regexextract(B268,""e(.*)$""),"""")"),"")</f>
        <v/>
      </c>
    </row>
    <row r="269">
      <c r="A269" s="34" t="s">
        <v>1884</v>
      </c>
      <c r="B269" s="34" t="s">
        <v>4450</v>
      </c>
      <c r="C269" s="34"/>
      <c r="D269" s="13" t="str">
        <f t="shared" si="1"/>
        <v/>
      </c>
      <c r="E269" s="42">
        <f>countif(Constants!F:F,F269)</f>
        <v>1</v>
      </c>
      <c r="F269" s="21" t="str">
        <f>ifna(VLOOKUP($A269,Constants!$D:$F,3,false),"")</f>
        <v>ProtonTauMassRatio</v>
      </c>
      <c r="G269" s="21" t="str">
        <f>IFERROR(__xludf.DUMMYFUNCTION("REGEXREPLACE(substitute(substitute(B269,"" "",""""),""..."",""""),""\(.*\)"","""")"),"0.528012")</f>
        <v>0.528012</v>
      </c>
      <c r="H269" s="43">
        <f t="shared" si="2"/>
        <v>0.528012</v>
      </c>
      <c r="I269" s="21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43">
        <f t="shared" si="3"/>
        <v>0.00000086</v>
      </c>
      <c r="K269" s="43" t="b">
        <f t="shared" si="4"/>
        <v>0</v>
      </c>
      <c r="L269" s="21" t="str">
        <f>IFERROR(__xludf.DUMMYFUNCTION("if(regexmatch(B269,""e(.*)$""),regexextract(B269,""e(.*)$""),"""")"),"")</f>
        <v/>
      </c>
    </row>
    <row r="270">
      <c r="A270" s="34" t="s">
        <v>1889</v>
      </c>
      <c r="B270" s="34" t="s">
        <v>4451</v>
      </c>
      <c r="C270" s="34" t="s">
        <v>4452</v>
      </c>
      <c r="D270" s="13" t="str">
        <f t="shared" si="1"/>
        <v>m^2 s^-1</v>
      </c>
      <c r="E270" s="42">
        <f>countif(Constants!F:F,F270)</f>
        <v>1</v>
      </c>
      <c r="F270" s="21" t="str">
        <f>ifna(VLOOKUP($A270,Constants!$D:$F,3,false),"")</f>
        <v>QuantumOfCirculation</v>
      </c>
      <c r="G270" s="21" t="str">
        <f>IFERROR(__xludf.DUMMYFUNCTION("REGEXREPLACE(substitute(substitute(B270,"" "",""""),""..."",""""),""\(.*\)"","""")"),"3.6369475199e-4")</f>
        <v>3.6369475199e-4</v>
      </c>
      <c r="H270" s="43">
        <f t="shared" si="2"/>
        <v>0.000363694752</v>
      </c>
      <c r="I270" s="21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43">
        <f t="shared" si="3"/>
        <v>0</v>
      </c>
      <c r="K270" s="43" t="b">
        <f t="shared" si="4"/>
        <v>0</v>
      </c>
      <c r="L270" s="21" t="str">
        <f>IFERROR(__xludf.DUMMYFUNCTION("if(regexmatch(B270,""e(.*)$""),regexextract(B270,""e(.*)$""),"""")"),"-4")</f>
        <v>-4</v>
      </c>
    </row>
    <row r="271">
      <c r="A271" s="34" t="s">
        <v>1895</v>
      </c>
      <c r="B271" s="34" t="s">
        <v>4453</v>
      </c>
      <c r="C271" s="34" t="s">
        <v>4452</v>
      </c>
      <c r="D271" s="13" t="str">
        <f t="shared" si="1"/>
        <v>m^2 s^-1</v>
      </c>
      <c r="E271" s="42">
        <f>countif(Constants!F:F,F271)</f>
        <v>1</v>
      </c>
      <c r="F271" s="21" t="str">
        <f>ifna(VLOOKUP($A271,Constants!$D:$F,3,false),"")</f>
        <v>QuantumOfCirculationTimes2</v>
      </c>
      <c r="G271" s="21" t="str">
        <f>IFERROR(__xludf.DUMMYFUNCTION("REGEXREPLACE(substitute(substitute(B271,"" "",""""),""..."",""""),""\(.*\)"","""")"),"7.273895040e-4")</f>
        <v>7.273895040e-4</v>
      </c>
      <c r="H271" s="43">
        <f t="shared" si="2"/>
        <v>0.000727389504</v>
      </c>
      <c r="I271" s="21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43">
        <f t="shared" si="3"/>
        <v>0</v>
      </c>
      <c r="K271" s="43" t="b">
        <f t="shared" si="4"/>
        <v>0</v>
      </c>
      <c r="L271" s="21" t="str">
        <f>IFERROR(__xludf.DUMMYFUNCTION("if(regexmatch(B271,""e(.*)$""),regexextract(B271,""e(.*)$""),"""")"),"-4")</f>
        <v>-4</v>
      </c>
    </row>
    <row r="272">
      <c r="A272" s="34" t="s">
        <v>1933</v>
      </c>
      <c r="B272" s="34" t="s">
        <v>4454</v>
      </c>
      <c r="C272" s="34" t="s">
        <v>4174</v>
      </c>
      <c r="D272" s="13" t="str">
        <f t="shared" si="1"/>
        <v>m^-1</v>
      </c>
      <c r="E272" s="42">
        <f>countif(Constants!F:F,F272)</f>
        <v>1</v>
      </c>
      <c r="F272" s="21" t="str">
        <f>ifna(VLOOKUP($A272,Constants!$D:$F,3,false),"")</f>
        <v>RydbergConstant</v>
      </c>
      <c r="G272" s="21" t="str">
        <f>IFERROR(__xludf.DUMMYFUNCTION("REGEXREPLACE(substitute(substitute(B272,"" "",""""),""..."",""""),""\(.*\)"","""")"),"10973731.568527")</f>
        <v>10973731.568527</v>
      </c>
      <c r="H272" s="43">
        <f t="shared" si="2"/>
        <v>10973731.57</v>
      </c>
      <c r="I272" s="21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43">
        <f t="shared" si="3"/>
        <v>0.00000073</v>
      </c>
      <c r="K272" s="43" t="b">
        <f t="shared" si="4"/>
        <v>0</v>
      </c>
      <c r="L272" s="21" t="str">
        <f>IFERROR(__xludf.DUMMYFUNCTION("if(regexmatch(B272,""e(.*)$""),regexextract(B272,""e(.*)$""),"""")"),"")</f>
        <v/>
      </c>
    </row>
    <row r="273">
      <c r="A273" s="34" t="s">
        <v>1937</v>
      </c>
      <c r="B273" s="34" t="s">
        <v>4455</v>
      </c>
      <c r="C273" s="34" t="s">
        <v>600</v>
      </c>
      <c r="D273" s="13" t="str">
        <f t="shared" si="1"/>
        <v>Hz</v>
      </c>
      <c r="E273" s="42">
        <f>countif(Constants!F:F,F273)</f>
        <v>1</v>
      </c>
      <c r="F273" s="21" t="str">
        <f>ifna(VLOOKUP($A273,Constants!$D:$F,3,false),"")</f>
        <v>RydbergConstantTimesCInHz</v>
      </c>
      <c r="G273" s="21" t="str">
        <f>IFERROR(__xludf.DUMMYFUNCTION("REGEXREPLACE(substitute(substitute(B273,"" "",""""),""..."",""""),""\(.*\)"","""")"),"3.289841960361e15")</f>
        <v>3.289841960361e15</v>
      </c>
      <c r="H273" s="43">
        <f t="shared" si="2"/>
        <v>3.28984E+15</v>
      </c>
      <c r="I273" s="21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43">
        <f t="shared" si="3"/>
        <v>220</v>
      </c>
      <c r="K273" s="43" t="b">
        <f t="shared" si="4"/>
        <v>0</v>
      </c>
      <c r="L273" s="21" t="str">
        <f>IFERROR(__xludf.DUMMYFUNCTION("if(regexmatch(B273,""e(.*)$""),regexextract(B273,""e(.*)$""),"""")"),"15")</f>
        <v>15</v>
      </c>
    </row>
    <row r="274">
      <c r="A274" s="34" t="s">
        <v>1945</v>
      </c>
      <c r="B274" s="34" t="s">
        <v>4456</v>
      </c>
      <c r="C274" s="34" t="s">
        <v>543</v>
      </c>
      <c r="D274" s="13" t="str">
        <f t="shared" si="1"/>
        <v>J</v>
      </c>
      <c r="E274" s="42">
        <f>countif(Constants!F:F,F274)</f>
        <v>1</v>
      </c>
      <c r="F274" s="21" t="str">
        <f>ifna(VLOOKUP($A274,Constants!$D:$F,3,false),"")</f>
        <v>RydbergConstantTimesHcInJ</v>
      </c>
      <c r="G274" s="21" t="str">
        <f>IFERROR(__xludf.DUMMYFUNCTION("REGEXREPLACE(substitute(substitute(B274,"" "",""""),""..."",""""),""\(.*\)"","""")"),"2.17987197e-18")</f>
        <v>2.17987197e-18</v>
      </c>
      <c r="H274" s="43">
        <f t="shared" si="2"/>
        <v>0</v>
      </c>
      <c r="I274" s="21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43">
        <f t="shared" si="3"/>
        <v>0</v>
      </c>
      <c r="K274" s="43" t="b">
        <f t="shared" si="4"/>
        <v>0</v>
      </c>
      <c r="L274" s="21" t="str">
        <f>IFERROR(__xludf.DUMMYFUNCTION("if(regexmatch(B274,""e(.*)$""),regexextract(B274,""e(.*)$""),"""")"),"-18")</f>
        <v>-18</v>
      </c>
    </row>
    <row r="275">
      <c r="A275" s="34" t="s">
        <v>1941</v>
      </c>
      <c r="B275" s="34" t="s">
        <v>4457</v>
      </c>
      <c r="C275" s="34" t="s">
        <v>175</v>
      </c>
      <c r="D275" s="13" t="str">
        <f t="shared" si="1"/>
        <v>eV</v>
      </c>
      <c r="E275" s="42">
        <f>countif(Constants!F:F,F275)</f>
        <v>1</v>
      </c>
      <c r="F275" s="21" t="str">
        <f>ifna(VLOOKUP($A275,Constants!$D:$F,3,false),"")</f>
        <v>RydbergConstantTimesHcInEV</v>
      </c>
      <c r="G275" s="21" t="str">
        <f>IFERROR(__xludf.DUMMYFUNCTION("REGEXREPLACE(substitute(substitute(B275,"" "",""""),""..."",""""),""\(.*\)"","""")"),"13.60569193")</f>
        <v>13.60569193</v>
      </c>
      <c r="H275" s="43">
        <f t="shared" si="2"/>
        <v>13.60569193</v>
      </c>
      <c r="I275" s="21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43">
        <f t="shared" si="3"/>
        <v>0.0000000034</v>
      </c>
      <c r="K275" s="43" t="b">
        <f t="shared" si="4"/>
        <v>0</v>
      </c>
      <c r="L275" s="21" t="str">
        <f>IFERROR(__xludf.DUMMYFUNCTION("if(regexmatch(B275,""e(.*)$""),regexextract(B275,""e(.*)$""),"""")"),"")</f>
        <v/>
      </c>
    </row>
    <row r="276">
      <c r="A276" s="34" t="s">
        <v>4458</v>
      </c>
      <c r="B276" s="34" t="s">
        <v>4459</v>
      </c>
      <c r="C276" s="34"/>
      <c r="D276" s="13" t="str">
        <f t="shared" si="1"/>
        <v/>
      </c>
      <c r="E276" s="42">
        <f>countif(Constants!F:F,F276)</f>
        <v>1</v>
      </c>
      <c r="F276" s="18" t="s">
        <v>461</v>
      </c>
      <c r="G276" s="21" t="str">
        <f>IFERROR(__xludf.DUMMYFUNCTION("REGEXREPLACE(substitute(substitute(B276,"" "",""""),""..."",""""),""\(.*\)"","""")"),"-1.1517047")</f>
        <v>-1.1517047</v>
      </c>
      <c r="H276" s="43">
        <f t="shared" si="2"/>
        <v>-1.1517047</v>
      </c>
      <c r="I276" s="21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43">
        <f t="shared" si="3"/>
        <v>0.000000044</v>
      </c>
      <c r="K276" s="43" t="b">
        <f t="shared" si="4"/>
        <v>0</v>
      </c>
      <c r="L276" s="21" t="str">
        <f>IFERROR(__xludf.DUMMYFUNCTION("if(regexmatch(B276,""e(.*)$""),regexextract(B276,""e(.*)$""),"""")"),"")</f>
        <v/>
      </c>
    </row>
    <row r="277">
      <c r="A277" s="34" t="s">
        <v>4460</v>
      </c>
      <c r="B277" s="34" t="s">
        <v>4461</v>
      </c>
      <c r="C277" s="34"/>
      <c r="D277" s="13" t="str">
        <f t="shared" si="1"/>
        <v/>
      </c>
      <c r="E277" s="42">
        <f>countif(Constants!F:F,F277)</f>
        <v>1</v>
      </c>
      <c r="F277" s="49" t="s">
        <v>1952</v>
      </c>
      <c r="G277" s="21" t="str">
        <f>IFERROR(__xludf.DUMMYFUNCTION("REGEXREPLACE(substitute(substitute(B277,"" "",""""),""..."",""""),""\(.*\)"","""")"),"-1.1648677")</f>
        <v>-1.1648677</v>
      </c>
      <c r="H277" s="43">
        <f t="shared" si="2"/>
        <v>-1.1648677</v>
      </c>
      <c r="I277" s="21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43">
        <f t="shared" si="3"/>
        <v>0.000000044</v>
      </c>
      <c r="K277" s="43" t="b">
        <f t="shared" si="4"/>
        <v>0</v>
      </c>
      <c r="L277" s="21" t="str">
        <f>IFERROR(__xludf.DUMMYFUNCTION("if(regexmatch(B277,""e(.*)$""),regexextract(B277,""e(.*)$""),"""")"),"")</f>
        <v/>
      </c>
    </row>
    <row r="278">
      <c r="A278" s="34" t="s">
        <v>1954</v>
      </c>
      <c r="B278" s="34" t="s">
        <v>4329</v>
      </c>
      <c r="C278" s="34" t="s">
        <v>1955</v>
      </c>
      <c r="D278" s="13" t="str">
        <f t="shared" si="1"/>
        <v>m K</v>
      </c>
      <c r="E278" s="42">
        <f>countif(Constants!F:F,F278)</f>
        <v>1</v>
      </c>
      <c r="F278" s="21" t="str">
        <f>ifna(VLOOKUP($A278,Constants!$D:$F,3,false),"")</f>
        <v>SecondRadiationConstant</v>
      </c>
      <c r="G278" s="21" t="str">
        <f>IFERROR(__xludf.DUMMYFUNCTION("REGEXREPLACE(substitute(substitute(B278,"" "",""""),""..."",""""),""\(.*\)"","""")"),"1.4387752e-2")</f>
        <v>1.4387752e-2</v>
      </c>
      <c r="H278" s="43">
        <f t="shared" si="2"/>
        <v>0.014387752</v>
      </c>
      <c r="I278" s="21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43">
        <f t="shared" si="3"/>
        <v>0.00000000025</v>
      </c>
      <c r="K278" s="43" t="b">
        <f t="shared" si="4"/>
        <v>0</v>
      </c>
      <c r="L278" s="21" t="str">
        <f>IFERROR(__xludf.DUMMYFUNCTION("if(regexmatch(B278,""e(.*)$""),regexextract(B278,""e(.*)$""),"""")"),"-2")</f>
        <v>-2</v>
      </c>
    </row>
    <row r="279">
      <c r="A279" s="34" t="s">
        <v>1961</v>
      </c>
      <c r="B279" s="34" t="s">
        <v>4462</v>
      </c>
      <c r="C279" s="34" t="s">
        <v>4258</v>
      </c>
      <c r="D279" s="13" t="str">
        <f t="shared" si="1"/>
        <v>s^-1 T^-1</v>
      </c>
      <c r="E279" s="42">
        <f>countif(Constants!F:F,F279)</f>
        <v>1</v>
      </c>
      <c r="F279" s="47" t="s">
        <v>463</v>
      </c>
      <c r="G279" s="21" t="str">
        <f>IFERROR(__xludf.DUMMYFUNCTION("REGEXREPLACE(substitute(substitute(B279,"" "",""""),""..."",""""),""\(.*\)"","""")"),"2.037894730e8")</f>
        <v>2.037894730e8</v>
      </c>
      <c r="H279" s="43">
        <f t="shared" si="2"/>
        <v>203789473</v>
      </c>
      <c r="I279" s="21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43">
        <f t="shared" si="3"/>
        <v>0.056</v>
      </c>
      <c r="K279" s="43" t="b">
        <f t="shared" si="4"/>
        <v>0</v>
      </c>
      <c r="L279" s="21" t="str">
        <f>IFERROR(__xludf.DUMMYFUNCTION("if(regexmatch(B279,""e(.*)$""),regexextract(B279,""e(.*)$""),"""")"),"8")</f>
        <v>8</v>
      </c>
    </row>
    <row r="280">
      <c r="A280" s="34" t="s">
        <v>1964</v>
      </c>
      <c r="B280" s="34" t="s">
        <v>4463</v>
      </c>
      <c r="C280" s="34" t="s">
        <v>4260</v>
      </c>
      <c r="D280" s="13" t="str">
        <f t="shared" si="1"/>
        <v>MHz T^-1</v>
      </c>
      <c r="E280" s="42">
        <f>countif(Constants!F:F,F280)</f>
        <v>1</v>
      </c>
      <c r="F280" s="47" t="s">
        <v>2685</v>
      </c>
      <c r="G280" s="21" t="str">
        <f>IFERROR(__xludf.DUMMYFUNCTION("REGEXREPLACE(substitute(substitute(B280,"" "",""""),""..."",""""),""\(.*\)"","""")"),"32.43410198")</f>
        <v>32.43410198</v>
      </c>
      <c r="H280" s="43">
        <f t="shared" si="2"/>
        <v>32.43410198</v>
      </c>
      <c r="I280" s="21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43">
        <f t="shared" si="3"/>
        <v>0.000000009</v>
      </c>
      <c r="K280" s="43" t="b">
        <f t="shared" si="4"/>
        <v>0</v>
      </c>
      <c r="L280" s="21" t="str">
        <f>IFERROR(__xludf.DUMMYFUNCTION("if(regexmatch(B280,""e(.*)$""),regexextract(B280,""e(.*)$""),"""")"),"")</f>
        <v/>
      </c>
    </row>
    <row r="281">
      <c r="A281" s="34" t="s">
        <v>1970</v>
      </c>
      <c r="B281" s="34" t="s">
        <v>4464</v>
      </c>
      <c r="C281" s="34" t="s">
        <v>4197</v>
      </c>
      <c r="D281" s="13" t="str">
        <f t="shared" si="1"/>
        <v>J T^-1</v>
      </c>
      <c r="E281" s="42">
        <f>countif(Constants!F:F,F281)</f>
        <v>1</v>
      </c>
      <c r="F281" s="47" t="s">
        <v>464</v>
      </c>
      <c r="G281" s="21" t="str">
        <f>IFERROR(__xludf.DUMMYFUNCTION("REGEXREPLACE(substitute(substitute(B281,"" "",""""),""..."",""""),""\(.*\)"","""")"),"-1.074552982e-26")</f>
        <v>-1.074552982e-26</v>
      </c>
      <c r="H281" s="43">
        <f t="shared" si="2"/>
        <v>0</v>
      </c>
      <c r="I281" s="21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43">
        <f t="shared" si="3"/>
        <v>0</v>
      </c>
      <c r="K281" s="43" t="b">
        <f t="shared" si="4"/>
        <v>0</v>
      </c>
      <c r="L281" s="21" t="str">
        <f>IFERROR(__xludf.DUMMYFUNCTION("if(regexmatch(B281,""e(.*)$""),regexextract(B281,""e(.*)$""),"""")"),"-26")</f>
        <v>-26</v>
      </c>
    </row>
    <row r="282">
      <c r="A282" s="34" t="s">
        <v>1975</v>
      </c>
      <c r="B282" s="34" t="s">
        <v>4465</v>
      </c>
      <c r="C282" s="34"/>
      <c r="D282" s="13" t="str">
        <f t="shared" si="1"/>
        <v/>
      </c>
      <c r="E282" s="42">
        <f>countif(Constants!F:F,F282)</f>
        <v>1</v>
      </c>
      <c r="F282" s="47" t="s">
        <v>465</v>
      </c>
      <c r="G282" s="21" t="str">
        <f>IFERROR(__xludf.DUMMYFUNCTION("REGEXREPLACE(substitute(substitute(B282,"" "",""""),""..."",""""),""\(.*\)"","""")"),"-1.158671471e-3")</f>
        <v>-1.158671471e-3</v>
      </c>
      <c r="H282" s="43">
        <f t="shared" si="2"/>
        <v>-0.001158671471</v>
      </c>
      <c r="I282" s="21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43">
        <f t="shared" si="3"/>
        <v>0</v>
      </c>
      <c r="K282" s="43" t="b">
        <f t="shared" si="4"/>
        <v>0</v>
      </c>
      <c r="L282" s="21" t="str">
        <f>IFERROR(__xludf.DUMMYFUNCTION("if(regexmatch(B282,""e(.*)$""),regexextract(B282,""e(.*)$""),"""")"),"-3")</f>
        <v>-3</v>
      </c>
    </row>
    <row r="283">
      <c r="A283" s="34" t="s">
        <v>1980</v>
      </c>
      <c r="B283" s="34" t="s">
        <v>4466</v>
      </c>
      <c r="C283" s="34"/>
      <c r="D283" s="13" t="str">
        <f t="shared" si="1"/>
        <v/>
      </c>
      <c r="E283" s="42">
        <f>countif(Constants!F:F,F283)</f>
        <v>1</v>
      </c>
      <c r="F283" s="47" t="s">
        <v>466</v>
      </c>
      <c r="G283" s="21" t="str">
        <f>IFERROR(__xludf.DUMMYFUNCTION("REGEXREPLACE(substitute(substitute(B283,"" "",""""),""..."",""""),""\(.*\)"","""")"),"-2.127497718")</f>
        <v>-2.127497718</v>
      </c>
      <c r="H283" s="43">
        <f t="shared" si="2"/>
        <v>-2.127497718</v>
      </c>
      <c r="I283" s="21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43">
        <f t="shared" si="3"/>
        <v>0.00000000025</v>
      </c>
      <c r="K283" s="43" t="b">
        <f t="shared" si="4"/>
        <v>0</v>
      </c>
      <c r="L283" s="21" t="str">
        <f>IFERROR(__xludf.DUMMYFUNCTION("if(regexmatch(B283,""e(.*)$""),regexextract(B283,""e(.*)$""),"""")"),"")</f>
        <v/>
      </c>
    </row>
    <row r="284">
      <c r="A284" s="34" t="s">
        <v>1985</v>
      </c>
      <c r="B284" s="34" t="s">
        <v>4467</v>
      </c>
      <c r="C284" s="34"/>
      <c r="D284" s="13" t="str">
        <f t="shared" si="1"/>
        <v/>
      </c>
      <c r="E284" s="42">
        <f>countif(Constants!F:F,F284)</f>
        <v>1</v>
      </c>
      <c r="F284" s="47" t="s">
        <v>467</v>
      </c>
      <c r="G284" s="21" t="str">
        <f>IFERROR(__xludf.DUMMYFUNCTION("REGEXREPLACE(substitute(substitute(B284,"" "",""""),""..."",""""),""\(.*\)"","""")"),"-0.761766558")</f>
        <v>-0.761766558</v>
      </c>
      <c r="H284" s="43">
        <f t="shared" si="2"/>
        <v>-0.761766558</v>
      </c>
      <c r="I284" s="21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43">
        <f t="shared" si="3"/>
        <v>0.00000000011</v>
      </c>
      <c r="K284" s="43" t="b">
        <f t="shared" si="4"/>
        <v>0</v>
      </c>
      <c r="L284" s="21" t="str">
        <f>IFERROR(__xludf.DUMMYFUNCTION("if(regexmatch(B284,""e(.*)$""),regexextract(B284,""e(.*)$""),"""")"),"")</f>
        <v/>
      </c>
    </row>
    <row r="285">
      <c r="A285" s="34" t="s">
        <v>1990</v>
      </c>
      <c r="B285" s="34" t="s">
        <v>4468</v>
      </c>
      <c r="C285" s="34"/>
      <c r="D285" s="13" t="str">
        <f t="shared" si="1"/>
        <v/>
      </c>
      <c r="E285" s="42">
        <f>countif(Constants!F:F,F285)</f>
        <v>1</v>
      </c>
      <c r="F285" s="47" t="s">
        <v>468</v>
      </c>
      <c r="G285" s="21" t="str">
        <f>IFERROR(__xludf.DUMMYFUNCTION("REGEXREPLACE(substitute(substitute(B285,"" "",""""),""..."",""""),""\(.*\)"","""")"),"-0.7617861313")</f>
        <v>-0.7617861313</v>
      </c>
      <c r="H285" s="43">
        <f t="shared" si="2"/>
        <v>-0.7617861313</v>
      </c>
      <c r="I285" s="21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43">
        <f t="shared" si="3"/>
        <v>0</v>
      </c>
      <c r="K285" s="43" t="b">
        <f t="shared" si="4"/>
        <v>0</v>
      </c>
      <c r="L285" s="21" t="str">
        <f>IFERROR(__xludf.DUMMYFUNCTION("if(regexmatch(B285,""e(.*)$""),regexextract(B285,""e(.*)$""),"""")"),"")</f>
        <v/>
      </c>
    </row>
    <row r="286">
      <c r="A286" s="34" t="s">
        <v>1995</v>
      </c>
      <c r="B286" s="34" t="s">
        <v>4469</v>
      </c>
      <c r="C286" s="34" t="s">
        <v>4258</v>
      </c>
      <c r="D286" s="13" t="str">
        <f t="shared" si="1"/>
        <v>s^-1 T^-1</v>
      </c>
      <c r="E286" s="42">
        <f>countif(Constants!F:F,F286)</f>
        <v>1</v>
      </c>
      <c r="F286" s="47" t="s">
        <v>469</v>
      </c>
      <c r="G286" s="21" t="str">
        <f>IFERROR(__xludf.DUMMYFUNCTION("REGEXREPLACE(substitute(substitute(B286,"" "",""""),""..."",""""),""\(.*\)"","""")"),"2.675153362e8")</f>
        <v>2.675153362e8</v>
      </c>
      <c r="H286" s="43">
        <f t="shared" si="2"/>
        <v>267515336.2</v>
      </c>
      <c r="I286" s="21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43">
        <f t="shared" si="3"/>
        <v>0.073</v>
      </c>
      <c r="K286" s="43" t="b">
        <f t="shared" si="4"/>
        <v>0</v>
      </c>
      <c r="L286" s="21" t="str">
        <f>IFERROR(__xludf.DUMMYFUNCTION("if(regexmatch(B286,""e(.*)$""),regexextract(B286,""e(.*)$""),"""")"),"8")</f>
        <v>8</v>
      </c>
    </row>
    <row r="287">
      <c r="A287" s="34" t="s">
        <v>4470</v>
      </c>
      <c r="B287" s="34" t="s">
        <v>4471</v>
      </c>
      <c r="C287" s="34" t="s">
        <v>4260</v>
      </c>
      <c r="D287" s="13" t="str">
        <f t="shared" si="1"/>
        <v>MHz T^-1</v>
      </c>
      <c r="E287" s="42">
        <f>countif(Constants!F:F,F287)</f>
        <v>1</v>
      </c>
      <c r="F287" s="47" t="s">
        <v>3658</v>
      </c>
      <c r="G287" s="21" t="str">
        <f>IFERROR(__xludf.DUMMYFUNCTION("REGEXREPLACE(substitute(substitute(B287,"" "",""""),""..."",""""),""\(.*\)"","""")"),"42.5763881")</f>
        <v>42.5763881</v>
      </c>
      <c r="H287" s="43">
        <f t="shared" si="2"/>
        <v>42.5763881</v>
      </c>
      <c r="I287" s="21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43">
        <f t="shared" si="3"/>
        <v>0.000000012</v>
      </c>
      <c r="K287" s="43" t="b">
        <f t="shared" si="4"/>
        <v>0</v>
      </c>
      <c r="L287" s="21" t="str">
        <f>IFERROR(__xludf.DUMMYFUNCTION("if(regexmatch(B287,""e(.*)$""),regexextract(B287,""e(.*)$""),"""")"),"")</f>
        <v/>
      </c>
    </row>
    <row r="288">
      <c r="A288" s="34" t="s">
        <v>2004</v>
      </c>
      <c r="B288" s="34" t="s">
        <v>4472</v>
      </c>
      <c r="C288" s="34" t="s">
        <v>4197</v>
      </c>
      <c r="D288" s="13" t="str">
        <f t="shared" si="1"/>
        <v>J T^-1</v>
      </c>
      <c r="E288" s="42">
        <f>countif(Constants!F:F,F288)</f>
        <v>1</v>
      </c>
      <c r="F288" s="47" t="s">
        <v>470</v>
      </c>
      <c r="G288" s="21" t="str">
        <f>IFERROR(__xludf.DUMMYFUNCTION("REGEXREPLACE(substitute(substitute(B288,"" "",""""),""..."",""""),""\(.*\)"","""")"),"1.410570419e-26")</f>
        <v>1.410570419e-26</v>
      </c>
      <c r="H288" s="43">
        <f t="shared" si="2"/>
        <v>0</v>
      </c>
      <c r="I288" s="21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43">
        <f t="shared" si="3"/>
        <v>0</v>
      </c>
      <c r="K288" s="43" t="b">
        <f t="shared" si="4"/>
        <v>0</v>
      </c>
      <c r="L288" s="21" t="str">
        <f>IFERROR(__xludf.DUMMYFUNCTION("if(regexmatch(B288,""e(.*)$""),regexextract(B288,""e(.*)$""),"""")"),"-26")</f>
        <v>-26</v>
      </c>
    </row>
    <row r="289">
      <c r="A289" s="34" t="s">
        <v>2009</v>
      </c>
      <c r="B289" s="34" t="s">
        <v>4473</v>
      </c>
      <c r="C289" s="34"/>
      <c r="D289" s="13" t="str">
        <f t="shared" si="1"/>
        <v/>
      </c>
      <c r="E289" s="42">
        <f>countif(Constants!F:F,F289)</f>
        <v>1</v>
      </c>
      <c r="F289" s="47" t="s">
        <v>471</v>
      </c>
      <c r="G289" s="21" t="str">
        <f>IFERROR(__xludf.DUMMYFUNCTION("REGEXREPLACE(substitute(substitute(B289,"" "",""""),""..."",""""),""\(.*\)"","""")"),"1.520993128e-3")</f>
        <v>1.520993128e-3</v>
      </c>
      <c r="H289" s="43">
        <f t="shared" si="2"/>
        <v>0.001520993128</v>
      </c>
      <c r="I289" s="21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43">
        <f t="shared" si="3"/>
        <v>0</v>
      </c>
      <c r="K289" s="43" t="b">
        <f t="shared" si="4"/>
        <v>0</v>
      </c>
      <c r="L289" s="21" t="str">
        <f>IFERROR(__xludf.DUMMYFUNCTION("if(regexmatch(B289,""e(.*)$""),regexextract(B289,""e(.*)$""),"""")"),"-3")</f>
        <v>-3</v>
      </c>
    </row>
    <row r="290">
      <c r="A290" s="34" t="s">
        <v>2014</v>
      </c>
      <c r="B290" s="34" t="s">
        <v>4474</v>
      </c>
      <c r="C290" s="34"/>
      <c r="D290" s="13" t="str">
        <f t="shared" si="1"/>
        <v/>
      </c>
      <c r="E290" s="42">
        <f>countif(Constants!F:F,F290)</f>
        <v>1</v>
      </c>
      <c r="F290" s="47" t="s">
        <v>472</v>
      </c>
      <c r="G290" s="21" t="str">
        <f>IFERROR(__xludf.DUMMYFUNCTION("REGEXREPLACE(substitute(substitute(B290,"" "",""""),""..."",""""),""\(.*\)"","""")"),"2.792775598")</f>
        <v>2.792775598</v>
      </c>
      <c r="H290" s="43">
        <f t="shared" si="2"/>
        <v>2.792775598</v>
      </c>
      <c r="I290" s="21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43">
        <f t="shared" si="3"/>
        <v>0.0000000003</v>
      </c>
      <c r="K290" s="43" t="b">
        <f t="shared" si="4"/>
        <v>0</v>
      </c>
      <c r="L290" s="21" t="str">
        <f>IFERROR(__xludf.DUMMYFUNCTION("if(regexmatch(B290,""e(.*)$""),regexextract(B290,""e(.*)$""),"""")"),"")</f>
        <v/>
      </c>
    </row>
    <row r="291">
      <c r="A291" s="34" t="s">
        <v>2021</v>
      </c>
      <c r="B291" s="34" t="s">
        <v>2474</v>
      </c>
      <c r="C291" s="34" t="s">
        <v>4209</v>
      </c>
      <c r="D291" s="13" t="str">
        <f t="shared" si="1"/>
        <v>m s^-1</v>
      </c>
      <c r="E291" s="42">
        <f>countif(Constants!F:F,F291)</f>
        <v>1</v>
      </c>
      <c r="F291" s="21" t="str">
        <f>ifna(VLOOKUP($A291,Constants!$D:$F,3,false),"")</f>
        <v>SpeedOfLight_Vacuum</v>
      </c>
      <c r="G291" s="21" t="str">
        <f>IFERROR(__xludf.DUMMYFUNCTION("REGEXREPLACE(substitute(substitute(B291,"" "",""""),""..."",""""),""\(.*\)"","""")"),"299792458")</f>
        <v>299792458</v>
      </c>
      <c r="H291" s="43">
        <f t="shared" si="2"/>
        <v>299792458</v>
      </c>
      <c r="I291" s="21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43" t="str">
        <f t="shared" si="3"/>
        <v/>
      </c>
      <c r="K291" s="43" t="b">
        <f t="shared" si="4"/>
        <v>0</v>
      </c>
      <c r="L291" s="21" t="str">
        <f>IFERROR(__xludf.DUMMYFUNCTION("if(regexmatch(B291,""e(.*)$""),regexextract(B291,""e(.*)$""),"""")"),"")</f>
        <v/>
      </c>
    </row>
    <row r="292">
      <c r="A292" s="34" t="s">
        <v>2026</v>
      </c>
      <c r="B292" s="34" t="s">
        <v>2706</v>
      </c>
      <c r="C292" s="34" t="s">
        <v>4475</v>
      </c>
      <c r="D292" s="13" t="str">
        <f t="shared" si="1"/>
        <v>m s^-2</v>
      </c>
      <c r="E292" s="42">
        <f>countif(Constants!F:F,F292)</f>
        <v>1</v>
      </c>
      <c r="F292" s="21" t="str">
        <f>ifna(VLOOKUP($A292,Constants!$D:$F,3,false),"")</f>
        <v>StandardAccelerationOfGravity</v>
      </c>
      <c r="G292" s="21" t="str">
        <f>IFERROR(__xludf.DUMMYFUNCTION("REGEXREPLACE(substitute(substitute(B292,"" "",""""),""..."",""""),""\(.*\)"","""")"),"9.80665")</f>
        <v>9.80665</v>
      </c>
      <c r="H292" s="43">
        <f t="shared" si="2"/>
        <v>9.80665</v>
      </c>
      <c r="I292" s="21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43" t="str">
        <f t="shared" si="3"/>
        <v/>
      </c>
      <c r="K292" s="43" t="b">
        <f t="shared" si="4"/>
        <v>0</v>
      </c>
      <c r="L292" s="21" t="str">
        <f>IFERROR(__xludf.DUMMYFUNCTION("if(regexmatch(B292,""e(.*)$""),regexextract(B292,""e(.*)$""),"""")"),"")</f>
        <v/>
      </c>
    </row>
    <row r="293">
      <c r="A293" s="34" t="s">
        <v>2033</v>
      </c>
      <c r="B293" s="34" t="s">
        <v>2707</v>
      </c>
      <c r="C293" s="34" t="s">
        <v>2034</v>
      </c>
      <c r="D293" s="13" t="str">
        <f t="shared" si="1"/>
        <v>Pa</v>
      </c>
      <c r="E293" s="42">
        <f>countif(Constants!F:F,F293)</f>
        <v>1</v>
      </c>
      <c r="F293" s="21" t="str">
        <f>ifna(VLOOKUP($A293,Constants!$D:$F,3,false),"")</f>
        <v>StandardAtmosphere</v>
      </c>
      <c r="G293" s="21" t="str">
        <f>IFERROR(__xludf.DUMMYFUNCTION("REGEXREPLACE(substitute(substitute(B293,"" "",""""),""..."",""""),""\(.*\)"","""")"),"101325")</f>
        <v>101325</v>
      </c>
      <c r="H293" s="43">
        <f t="shared" si="2"/>
        <v>101325</v>
      </c>
      <c r="I293" s="21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43" t="str">
        <f t="shared" si="3"/>
        <v/>
      </c>
      <c r="K293" s="43" t="b">
        <f t="shared" si="4"/>
        <v>0</v>
      </c>
      <c r="L293" s="21" t="str">
        <f>IFERROR(__xludf.DUMMYFUNCTION("if(regexmatch(B293,""e(.*)$""),regexextract(B293,""e(.*)$""),"""")"),"")</f>
        <v/>
      </c>
    </row>
    <row r="294">
      <c r="A294" s="34" t="s">
        <v>2041</v>
      </c>
      <c r="B294" s="34" t="s">
        <v>4476</v>
      </c>
      <c r="C294" s="34" t="s">
        <v>4477</v>
      </c>
      <c r="D294" s="13" t="str">
        <f t="shared" si="1"/>
        <v>W m^-2 K^-4</v>
      </c>
      <c r="E294" s="42">
        <f>countif(Constants!F:F,F294)</f>
        <v>1</v>
      </c>
      <c r="F294" s="21" t="str">
        <f>ifna(VLOOKUP($A294,Constants!$D:$F,3,false),"")</f>
        <v>StefanBoltzmannConstant</v>
      </c>
      <c r="G294" s="21" t="str">
        <f>IFERROR(__xludf.DUMMYFUNCTION("REGEXREPLACE(substitute(substitute(B294,"" "",""""),""..."",""""),""\(.*\)"","""")"),"5.670400e-8")</f>
        <v>5.670400e-8</v>
      </c>
      <c r="H294" s="43">
        <f t="shared" si="2"/>
        <v>0.000000056704</v>
      </c>
      <c r="I294" s="21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43">
        <f t="shared" si="3"/>
        <v>0</v>
      </c>
      <c r="K294" s="43" t="b">
        <f t="shared" si="4"/>
        <v>0</v>
      </c>
      <c r="L294" s="21" t="str">
        <f>IFERROR(__xludf.DUMMYFUNCTION("if(regexmatch(B294,""e(.*)$""),regexextract(B294,""e(.*)$""),"""")"),"-8")</f>
        <v>-8</v>
      </c>
    </row>
    <row r="295">
      <c r="A295" s="34" t="s">
        <v>2047</v>
      </c>
      <c r="B295" s="34" t="s">
        <v>4478</v>
      </c>
      <c r="C295" s="34" t="s">
        <v>571</v>
      </c>
      <c r="D295" s="13" t="str">
        <f t="shared" si="1"/>
        <v>m</v>
      </c>
      <c r="E295" s="42">
        <f>countif(Constants!F:F,F295)</f>
        <v>1</v>
      </c>
      <c r="F295" s="21" t="str">
        <f>ifna(VLOOKUP($A295,Constants!$D:$F,3,false),"")</f>
        <v>TauComptonWavelength</v>
      </c>
      <c r="G295" s="21" t="str">
        <f>IFERROR(__xludf.DUMMYFUNCTION("REGEXREPLACE(substitute(substitute(B295,"" "",""""),""..."",""""),""\(.*\)"","""")"),"0.69772e-15")</f>
        <v>0.69772e-15</v>
      </c>
      <c r="H295" s="43">
        <f t="shared" si="2"/>
        <v>0</v>
      </c>
      <c r="I295" s="21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43">
        <f t="shared" si="3"/>
        <v>0</v>
      </c>
      <c r="K295" s="43" t="b">
        <f t="shared" si="4"/>
        <v>0</v>
      </c>
      <c r="L295" s="21" t="str">
        <f>IFERROR(__xludf.DUMMYFUNCTION("if(regexmatch(B295,""e(.*)$""),regexextract(B295,""e(.*)$""),"""")"),"-15")</f>
        <v>-15</v>
      </c>
    </row>
    <row r="296">
      <c r="A296" s="34" t="s">
        <v>2050</v>
      </c>
      <c r="B296" s="34" t="s">
        <v>4479</v>
      </c>
      <c r="C296" s="34" t="s">
        <v>571</v>
      </c>
      <c r="D296" s="13" t="str">
        <f t="shared" si="1"/>
        <v>m</v>
      </c>
      <c r="E296" s="42">
        <f>countif(Constants!F:F,F296)</f>
        <v>1</v>
      </c>
      <c r="F296" s="47" t="s">
        <v>480</v>
      </c>
      <c r="G296" s="21" t="str">
        <f>IFERROR(__xludf.DUMMYFUNCTION("REGEXREPLACE(substitute(substitute(B296,"" "",""""),""..."",""""),""\(.*\)"","""")"),"0.111046e-15")</f>
        <v>0.111046e-15</v>
      </c>
      <c r="H296" s="43">
        <f t="shared" si="2"/>
        <v>0</v>
      </c>
      <c r="I296" s="21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43">
        <f t="shared" si="3"/>
        <v>0</v>
      </c>
      <c r="K296" s="43" t="b">
        <f t="shared" si="4"/>
        <v>0</v>
      </c>
      <c r="L296" s="21" t="str">
        <f>IFERROR(__xludf.DUMMYFUNCTION("if(regexmatch(B296,""e(.*)$""),regexextract(B296,""e(.*)$""),"""")"),"-15")</f>
        <v>-15</v>
      </c>
    </row>
    <row r="297">
      <c r="A297" s="34" t="s">
        <v>2071</v>
      </c>
      <c r="B297" s="34" t="s">
        <v>4480</v>
      </c>
      <c r="C297" s="34" t="s">
        <v>548</v>
      </c>
      <c r="D297" s="13" t="str">
        <f t="shared" si="1"/>
        <v>MeV</v>
      </c>
      <c r="E297" s="42">
        <f>countif(Constants!F:F,F297)</f>
        <v>1</v>
      </c>
      <c r="F297" s="21" t="str">
        <f>ifna(VLOOKUP($A297,Constants!$D:$F,3,false),"")</f>
        <v>TauMassEnergyEquivalentInMeV</v>
      </c>
      <c r="G297" s="21" t="str">
        <f>IFERROR(__xludf.DUMMYFUNCTION("REGEXREPLACE(substitute(substitute(B297,"" "",""""),""..."",""""),""\(.*\)"","""")"),"1776.99")</f>
        <v>1776.99</v>
      </c>
      <c r="H297" s="43">
        <f t="shared" si="2"/>
        <v>1776.99</v>
      </c>
      <c r="I297" s="21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43">
        <f t="shared" si="3"/>
        <v>0.0029</v>
      </c>
      <c r="K297" s="43" t="b">
        <f t="shared" si="4"/>
        <v>0</v>
      </c>
      <c r="L297" s="21" t="str">
        <f>IFERROR(__xludf.DUMMYFUNCTION("if(regexmatch(B297,""e(.*)$""),regexextract(B297,""e(.*)$""),"""")"),"")</f>
        <v/>
      </c>
    </row>
    <row r="298">
      <c r="A298" s="34" t="s">
        <v>2062</v>
      </c>
      <c r="B298" s="34" t="s">
        <v>4481</v>
      </c>
      <c r="C298" s="34" t="s">
        <v>538</v>
      </c>
      <c r="D298" s="13" t="str">
        <f t="shared" si="1"/>
        <v>kg</v>
      </c>
      <c r="E298" s="42">
        <f>countif(Constants!F:F,F298)</f>
        <v>1</v>
      </c>
      <c r="F298" s="21" t="str">
        <f>ifna(VLOOKUP($A298,Constants!$D:$F,3,false),"")</f>
        <v>TauMass</v>
      </c>
      <c r="G298" s="21" t="str">
        <f>IFERROR(__xludf.DUMMYFUNCTION("REGEXREPLACE(substitute(substitute(B298,"" "",""""),""..."",""""),""\(.*\)"","""")"),"3.16777e-27")</f>
        <v>3.16777e-27</v>
      </c>
      <c r="H298" s="43">
        <f t="shared" si="2"/>
        <v>0</v>
      </c>
      <c r="I298" s="21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43">
        <f t="shared" si="3"/>
        <v>0</v>
      </c>
      <c r="K298" s="43" t="b">
        <f t="shared" si="4"/>
        <v>0</v>
      </c>
      <c r="L298" s="21" t="str">
        <f>IFERROR(__xludf.DUMMYFUNCTION("if(regexmatch(B298,""e(.*)$""),regexextract(B298,""e(.*)$""),"""")"),"-27")</f>
        <v>-27</v>
      </c>
    </row>
    <row r="299">
      <c r="A299" s="34" t="s">
        <v>2066</v>
      </c>
      <c r="B299" s="34" t="s">
        <v>4482</v>
      </c>
      <c r="C299" s="34" t="s">
        <v>543</v>
      </c>
      <c r="D299" s="13" t="str">
        <f t="shared" si="1"/>
        <v>J</v>
      </c>
      <c r="E299" s="42">
        <f>countif(Constants!F:F,F299)</f>
        <v>1</v>
      </c>
      <c r="F299" s="21" t="str">
        <f>ifna(VLOOKUP($A299,Constants!$D:$F,3,false),"")</f>
        <v>TauMassEnergyEquivalent</v>
      </c>
      <c r="G299" s="21" t="str">
        <f>IFERROR(__xludf.DUMMYFUNCTION("REGEXREPLACE(substitute(substitute(B299,"" "",""""),""..."",""""),""\(.*\)"","""")"),"2.84705e-10")</f>
        <v>2.84705e-10</v>
      </c>
      <c r="H299" s="43">
        <f t="shared" si="2"/>
        <v>0.000000000284705</v>
      </c>
      <c r="I299" s="21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43">
        <f t="shared" si="3"/>
        <v>0</v>
      </c>
      <c r="K299" s="43" t="b">
        <f t="shared" si="4"/>
        <v>0</v>
      </c>
      <c r="L299" s="21" t="str">
        <f>IFERROR(__xludf.DUMMYFUNCTION("if(regexmatch(B299,""e(.*)$""),regexextract(B299,""e(.*)$""),"""")"),"-10")</f>
        <v>-10</v>
      </c>
    </row>
    <row r="300">
      <c r="A300" s="34" t="s">
        <v>2074</v>
      </c>
      <c r="B300" s="34" t="s">
        <v>4483</v>
      </c>
      <c r="C300" s="34" t="s">
        <v>553</v>
      </c>
      <c r="D300" s="13" t="str">
        <f t="shared" si="1"/>
        <v>u</v>
      </c>
      <c r="E300" s="42">
        <f>countif(Constants!F:F,F300)</f>
        <v>1</v>
      </c>
      <c r="F300" s="21" t="str">
        <f>ifna(VLOOKUP($A300,Constants!$D:$F,3,false),"")</f>
        <v>TauMassInAtomicMassUnit</v>
      </c>
      <c r="G300" s="21" t="str">
        <f>IFERROR(__xludf.DUMMYFUNCTION("REGEXREPLACE(substitute(substitute(B300,"" "",""""),""..."",""""),""\(.*\)"","""")"),"1.90768")</f>
        <v>1.90768</v>
      </c>
      <c r="H300" s="43">
        <f t="shared" si="2"/>
        <v>1.90768</v>
      </c>
      <c r="I300" s="21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43">
        <f t="shared" si="3"/>
        <v>0.0000031</v>
      </c>
      <c r="K300" s="43" t="b">
        <f t="shared" si="4"/>
        <v>0</v>
      </c>
      <c r="L300" s="21" t="str">
        <f>IFERROR(__xludf.DUMMYFUNCTION("if(regexmatch(B300,""e(.*)$""),regexextract(B300,""e(.*)$""),"""")"),"")</f>
        <v/>
      </c>
    </row>
    <row r="301">
      <c r="A301" s="34" t="s">
        <v>2077</v>
      </c>
      <c r="B301" s="34" t="s">
        <v>4484</v>
      </c>
      <c r="C301" s="34" t="s">
        <v>4163</v>
      </c>
      <c r="D301" s="13" t="str">
        <f t="shared" si="1"/>
        <v>kg mol^-1</v>
      </c>
      <c r="E301" s="42">
        <f>countif(Constants!F:F,F301)</f>
        <v>1</v>
      </c>
      <c r="F301" s="21" t="str">
        <f>ifna(VLOOKUP($A301,Constants!$D:$F,3,false),"")</f>
        <v>TauMolarMass</v>
      </c>
      <c r="G301" s="21" t="str">
        <f>IFERROR(__xludf.DUMMYFUNCTION("REGEXREPLACE(substitute(substitute(B301,"" "",""""),""..."",""""),""\(.*\)"","""")"),"1.90768e-3")</f>
        <v>1.90768e-3</v>
      </c>
      <c r="H301" s="43">
        <f t="shared" si="2"/>
        <v>0.00190768</v>
      </c>
      <c r="I301" s="21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43">
        <f t="shared" si="3"/>
        <v>0.0000000031</v>
      </c>
      <c r="K301" s="43" t="b">
        <f t="shared" si="4"/>
        <v>0</v>
      </c>
      <c r="L301" s="21" t="str">
        <f>IFERROR(__xludf.DUMMYFUNCTION("if(regexmatch(B301,""e(.*)$""),regexextract(B301,""e(.*)$""),"""")"),"-3")</f>
        <v>-3</v>
      </c>
    </row>
    <row r="302">
      <c r="A302" s="34" t="s">
        <v>2057</v>
      </c>
      <c r="B302" s="34" t="s">
        <v>4485</v>
      </c>
      <c r="C302" s="34"/>
      <c r="D302" s="13" t="str">
        <f t="shared" si="1"/>
        <v/>
      </c>
      <c r="E302" s="42">
        <f>countif(Constants!F:F,F302)</f>
        <v>1</v>
      </c>
      <c r="F302" s="21" t="str">
        <f>ifna(VLOOKUP($A302,Constants!$D:$F,3,false),"")</f>
        <v>TauElectronMassRatio</v>
      </c>
      <c r="G302" s="21" t="str">
        <f>IFERROR(__xludf.DUMMYFUNCTION("REGEXREPLACE(substitute(substitute(B302,"" "",""""),""..."",""""),""\(.*\)"","""")"),"3477.48")</f>
        <v>3477.48</v>
      </c>
      <c r="H302" s="43">
        <f t="shared" si="2"/>
        <v>3477.48</v>
      </c>
      <c r="I302" s="21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43">
        <f t="shared" si="3"/>
        <v>0.0057</v>
      </c>
      <c r="K302" s="43" t="b">
        <f t="shared" si="4"/>
        <v>0</v>
      </c>
      <c r="L302" s="21" t="str">
        <f>IFERROR(__xludf.DUMMYFUNCTION("if(regexmatch(B302,""e(.*)$""),regexextract(B302,""e(.*)$""),"""")"),"")</f>
        <v/>
      </c>
    </row>
    <row r="303">
      <c r="A303" s="34" t="s">
        <v>2081</v>
      </c>
      <c r="B303" s="34" t="s">
        <v>4486</v>
      </c>
      <c r="C303" s="34"/>
      <c r="D303" s="13" t="str">
        <f t="shared" si="1"/>
        <v/>
      </c>
      <c r="E303" s="42">
        <f>countif(Constants!F:F,F303)</f>
        <v>1</v>
      </c>
      <c r="F303" s="21" t="str">
        <f>ifna(VLOOKUP($A303,Constants!$D:$F,3,false),"")</f>
        <v>TauMuonMassRatio</v>
      </c>
      <c r="G303" s="21" t="str">
        <f>IFERROR(__xludf.DUMMYFUNCTION("REGEXREPLACE(substitute(substitute(B303,"" "",""""),""..."",""""),""\(.*\)"","""")"),"16.8183")</f>
        <v>16.8183</v>
      </c>
      <c r="H303" s="43">
        <f t="shared" si="2"/>
        <v>16.8183</v>
      </c>
      <c r="I303" s="21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43">
        <f t="shared" si="3"/>
        <v>0.000027</v>
      </c>
      <c r="K303" s="43" t="b">
        <f t="shared" si="4"/>
        <v>0</v>
      </c>
      <c r="L303" s="21" t="str">
        <f>IFERROR(__xludf.DUMMYFUNCTION("if(regexmatch(B303,""e(.*)$""),regexextract(B303,""e(.*)$""),"""")"),"")</f>
        <v/>
      </c>
    </row>
    <row r="304">
      <c r="A304" s="34" t="s">
        <v>2086</v>
      </c>
      <c r="B304" s="34" t="s">
        <v>4487</v>
      </c>
      <c r="C304" s="34"/>
      <c r="D304" s="13" t="str">
        <f t="shared" si="1"/>
        <v/>
      </c>
      <c r="E304" s="42">
        <f>countif(Constants!F:F,F304)</f>
        <v>1</v>
      </c>
      <c r="F304" s="21" t="str">
        <f>ifna(VLOOKUP($A304,Constants!$D:$F,3,false),"")</f>
        <v>TauNeutronMassRatio</v>
      </c>
      <c r="G304" s="21" t="str">
        <f>IFERROR(__xludf.DUMMYFUNCTION("REGEXREPLACE(substitute(substitute(B304,"" "",""""),""..."",""""),""\(.*\)"","""")"),"1.89129")</f>
        <v>1.89129</v>
      </c>
      <c r="H304" s="43">
        <f t="shared" si="2"/>
        <v>1.89129</v>
      </c>
      <c r="I304" s="21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43">
        <f t="shared" si="3"/>
        <v>0.0000031</v>
      </c>
      <c r="K304" s="43" t="b">
        <f t="shared" si="4"/>
        <v>0</v>
      </c>
      <c r="L304" s="21" t="str">
        <f>IFERROR(__xludf.DUMMYFUNCTION("if(regexmatch(B304,""e(.*)$""),regexextract(B304,""e(.*)$""),"""")"),"")</f>
        <v/>
      </c>
    </row>
    <row r="305">
      <c r="A305" s="34" t="s">
        <v>2091</v>
      </c>
      <c r="B305" s="34" t="s">
        <v>4488</v>
      </c>
      <c r="C305" s="34"/>
      <c r="D305" s="13" t="str">
        <f t="shared" si="1"/>
        <v/>
      </c>
      <c r="E305" s="42">
        <f>countif(Constants!F:F,F305)</f>
        <v>1</v>
      </c>
      <c r="F305" s="21" t="str">
        <f>ifna(VLOOKUP($A305,Constants!$D:$F,3,false),"")</f>
        <v>TauProtonMassRatio</v>
      </c>
      <c r="G305" s="21" t="str">
        <f>IFERROR(__xludf.DUMMYFUNCTION("REGEXREPLACE(substitute(substitute(B305,"" "",""""),""..."",""""),""\(.*\)"","""")"),"1.89390")</f>
        <v>1.89390</v>
      </c>
      <c r="H305" s="43">
        <f t="shared" si="2"/>
        <v>1.8939</v>
      </c>
      <c r="I305" s="21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43">
        <f t="shared" si="3"/>
        <v>0.0000031</v>
      </c>
      <c r="K305" s="43" t="b">
        <f t="shared" si="4"/>
        <v>0</v>
      </c>
      <c r="L305" s="21" t="str">
        <f>IFERROR(__xludf.DUMMYFUNCTION("if(regexmatch(B305,""e(.*)$""),regexextract(B305,""e(.*)$""),"""")"),"")</f>
        <v/>
      </c>
    </row>
    <row r="306">
      <c r="A306" s="34" t="s">
        <v>2096</v>
      </c>
      <c r="B306" s="34" t="s">
        <v>4489</v>
      </c>
      <c r="C306" s="34" t="s">
        <v>2097</v>
      </c>
      <c r="D306" s="13" t="str">
        <f t="shared" si="1"/>
        <v>m^2</v>
      </c>
      <c r="E306" s="42">
        <f>countif(Constants!F:F,F306)</f>
        <v>1</v>
      </c>
      <c r="F306" s="21" t="str">
        <f>ifna(VLOOKUP($A306,Constants!$D:$F,3,false),"")</f>
        <v>ThomsonCrossSection</v>
      </c>
      <c r="G306" s="21" t="str">
        <f>IFERROR(__xludf.DUMMYFUNCTION("REGEXREPLACE(substitute(substitute(B306,"" "",""""),""..."",""""),""\(.*\)"","""")"),"0.6652458558e-28")</f>
        <v>0.6652458558e-28</v>
      </c>
      <c r="H306" s="43">
        <f t="shared" si="2"/>
        <v>0</v>
      </c>
      <c r="I306" s="21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43">
        <f t="shared" si="3"/>
        <v>0</v>
      </c>
      <c r="K306" s="43" t="b">
        <f t="shared" si="4"/>
        <v>0</v>
      </c>
      <c r="L306" s="21" t="str">
        <f>IFERROR(__xludf.DUMMYFUNCTION("if(regexmatch(B306,""e(.*)$""),regexextract(B306,""e(.*)$""),"""")"),"-28")</f>
        <v>-28</v>
      </c>
    </row>
    <row r="307">
      <c r="A307" s="34" t="s">
        <v>2113</v>
      </c>
      <c r="B307" s="34" t="s">
        <v>4490</v>
      </c>
      <c r="C307" s="34"/>
      <c r="D307" s="13" t="str">
        <f t="shared" si="1"/>
        <v/>
      </c>
      <c r="E307" s="42">
        <f>countif(Constants!F:F,F307)</f>
        <v>1</v>
      </c>
      <c r="F307" s="21" t="str">
        <f>ifna(VLOOKUP($A307,Constants!$D:$F,3,false),"")</f>
        <v>TritonGFactor</v>
      </c>
      <c r="G307" s="21" t="str">
        <f>IFERROR(__xludf.DUMMYFUNCTION("REGEXREPLACE(substitute(substitute(B307,"" "",""""),""..."",""""),""\(.*\)"","""")"),"5.957924896")</f>
        <v>5.957924896</v>
      </c>
      <c r="H307" s="43">
        <f t="shared" si="2"/>
        <v>5.957924896</v>
      </c>
      <c r="I307" s="21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43">
        <f t="shared" si="3"/>
        <v>0.00000000076</v>
      </c>
      <c r="K307" s="43" t="b">
        <f t="shared" si="4"/>
        <v>0</v>
      </c>
      <c r="L307" s="21" t="str">
        <f>IFERROR(__xludf.DUMMYFUNCTION("if(regexmatch(B307,""e(.*)$""),regexextract(B307,""e(.*)$""),"""")"),"")</f>
        <v/>
      </c>
    </row>
    <row r="308">
      <c r="A308" s="34" t="s">
        <v>2118</v>
      </c>
      <c r="B308" s="34" t="s">
        <v>4491</v>
      </c>
      <c r="C308" s="34" t="s">
        <v>4197</v>
      </c>
      <c r="D308" s="13" t="str">
        <f t="shared" si="1"/>
        <v>J T^-1</v>
      </c>
      <c r="E308" s="42">
        <f>countif(Constants!F:F,F308)</f>
        <v>1</v>
      </c>
      <c r="F308" s="47" t="s">
        <v>491</v>
      </c>
      <c r="G308" s="21" t="str">
        <f>IFERROR(__xludf.DUMMYFUNCTION("REGEXREPLACE(substitute(substitute(B308,"" "",""""),""..."",""""),""\(.*\)"","""")"),"1.504609361e-26")</f>
        <v>1.504609361e-26</v>
      </c>
      <c r="H308" s="43">
        <f t="shared" si="2"/>
        <v>0</v>
      </c>
      <c r="I308" s="21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43">
        <f t="shared" si="3"/>
        <v>0</v>
      </c>
      <c r="K308" s="43" t="b">
        <f t="shared" si="4"/>
        <v>0</v>
      </c>
      <c r="L308" s="21" t="str">
        <f>IFERROR(__xludf.DUMMYFUNCTION("if(regexmatch(B308,""e(.*)$""),regexextract(B308,""e(.*)$""),"""")"),"-26")</f>
        <v>-26</v>
      </c>
    </row>
    <row r="309">
      <c r="A309" s="34" t="s">
        <v>2123</v>
      </c>
      <c r="B309" s="34" t="s">
        <v>4492</v>
      </c>
      <c r="C309" s="34"/>
      <c r="D309" s="13" t="str">
        <f t="shared" si="1"/>
        <v/>
      </c>
      <c r="E309" s="42">
        <f>countif(Constants!F:F,F309)</f>
        <v>1</v>
      </c>
      <c r="F309" s="47" t="s">
        <v>492</v>
      </c>
      <c r="G309" s="21" t="str">
        <f>IFERROR(__xludf.DUMMYFUNCTION("REGEXREPLACE(substitute(substitute(B309,"" "",""""),""..."",""""),""\(.*\)"","""")"),"1.622393657e-3")</f>
        <v>1.622393657e-3</v>
      </c>
      <c r="H309" s="43">
        <f t="shared" si="2"/>
        <v>0.001622393657</v>
      </c>
      <c r="I309" s="21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43">
        <f t="shared" si="3"/>
        <v>0</v>
      </c>
      <c r="K309" s="43" t="b">
        <f t="shared" si="4"/>
        <v>0</v>
      </c>
      <c r="L309" s="21" t="str">
        <f>IFERROR(__xludf.DUMMYFUNCTION("if(regexmatch(B309,""e(.*)$""),regexextract(B309,""e(.*)$""),"""")"),"-3")</f>
        <v>-3</v>
      </c>
    </row>
    <row r="310">
      <c r="A310" s="34" t="s">
        <v>2128</v>
      </c>
      <c r="B310" s="34" t="s">
        <v>4493</v>
      </c>
      <c r="C310" s="34"/>
      <c r="D310" s="13" t="str">
        <f t="shared" si="1"/>
        <v/>
      </c>
      <c r="E310" s="42">
        <f>countif(Constants!F:F,F310)</f>
        <v>1</v>
      </c>
      <c r="F310" s="47" t="s">
        <v>493</v>
      </c>
      <c r="G310" s="21" t="str">
        <f>IFERROR(__xludf.DUMMYFUNCTION("REGEXREPLACE(substitute(substitute(B310,"" "",""""),""..."",""""),""\(.*\)"","""")"),"2.978962448")</f>
        <v>2.978962448</v>
      </c>
      <c r="H310" s="43">
        <f t="shared" si="2"/>
        <v>2.978962448</v>
      </c>
      <c r="I310" s="21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43">
        <f t="shared" si="3"/>
        <v>0.00000000038</v>
      </c>
      <c r="K310" s="43" t="b">
        <f t="shared" si="4"/>
        <v>0</v>
      </c>
      <c r="L310" s="21" t="str">
        <f>IFERROR(__xludf.DUMMYFUNCTION("if(regexmatch(B310,""e(.*)$""),regexextract(B310,""e(.*)$""),"""")"),"")</f>
        <v/>
      </c>
    </row>
    <row r="311">
      <c r="A311" s="34" t="s">
        <v>2132</v>
      </c>
      <c r="B311" s="34" t="s">
        <v>4494</v>
      </c>
      <c r="C311" s="34" t="s">
        <v>538</v>
      </c>
      <c r="D311" s="13" t="str">
        <f t="shared" si="1"/>
        <v>kg</v>
      </c>
      <c r="E311" s="42">
        <f>countif(Constants!F:F,F311)</f>
        <v>1</v>
      </c>
      <c r="F311" s="21" t="str">
        <f>ifna(VLOOKUP($A311,Constants!$D:$F,3,false),"")</f>
        <v>TritonMass</v>
      </c>
      <c r="G311" s="21" t="str">
        <f>IFERROR(__xludf.DUMMYFUNCTION("REGEXREPLACE(substitute(substitute(B311,"" "",""""),""..."",""""),""\(.*\)"","""")"),"5.00735588e-27")</f>
        <v>5.00735588e-27</v>
      </c>
      <c r="H311" s="43">
        <f t="shared" si="2"/>
        <v>0</v>
      </c>
      <c r="I311" s="21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43">
        <f t="shared" si="3"/>
        <v>0</v>
      </c>
      <c r="K311" s="43" t="b">
        <f t="shared" si="4"/>
        <v>0</v>
      </c>
      <c r="L311" s="21" t="str">
        <f>IFERROR(__xludf.DUMMYFUNCTION("if(regexmatch(B311,""e(.*)$""),regexextract(B311,""e(.*)$""),"""")"),"-27")</f>
        <v>-27</v>
      </c>
    </row>
    <row r="312">
      <c r="A312" s="34" t="s">
        <v>2136</v>
      </c>
      <c r="B312" s="34" t="s">
        <v>4495</v>
      </c>
      <c r="C312" s="34" t="s">
        <v>543</v>
      </c>
      <c r="D312" s="13" t="str">
        <f t="shared" si="1"/>
        <v>J</v>
      </c>
      <c r="E312" s="42">
        <f>countif(Constants!F:F,F312)</f>
        <v>1</v>
      </c>
      <c r="F312" s="21" t="str">
        <f>ifna(VLOOKUP($A312,Constants!$D:$F,3,false),"")</f>
        <v>TritonMassEnergyEquivalent</v>
      </c>
      <c r="G312" s="21" t="str">
        <f>IFERROR(__xludf.DUMMYFUNCTION("REGEXREPLACE(substitute(substitute(B312,"" "",""""),""..."",""""),""\(.*\)"","""")"),"4.50038703e-10")</f>
        <v>4.50038703e-10</v>
      </c>
      <c r="H312" s="43">
        <f t="shared" si="2"/>
        <v>0.000000000450038703</v>
      </c>
      <c r="I312" s="21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43">
        <f t="shared" si="3"/>
        <v>0</v>
      </c>
      <c r="K312" s="43" t="b">
        <f t="shared" si="4"/>
        <v>0</v>
      </c>
      <c r="L312" s="21" t="str">
        <f>IFERROR(__xludf.DUMMYFUNCTION("if(regexmatch(B312,""e(.*)$""),regexextract(B312,""e(.*)$""),"""")"),"-10")</f>
        <v>-10</v>
      </c>
    </row>
    <row r="313">
      <c r="A313" s="34" t="s">
        <v>2140</v>
      </c>
      <c r="B313" s="34" t="s">
        <v>4496</v>
      </c>
      <c r="C313" s="34" t="s">
        <v>548</v>
      </c>
      <c r="D313" s="13" t="str">
        <f t="shared" si="1"/>
        <v>MeV</v>
      </c>
      <c r="E313" s="42">
        <f>countif(Constants!F:F,F313)</f>
        <v>1</v>
      </c>
      <c r="F313" s="21" t="str">
        <f>ifna(VLOOKUP($A313,Constants!$D:$F,3,false),"")</f>
        <v>TritonMassEnergyEquivalentInMeV</v>
      </c>
      <c r="G313" s="21" t="str">
        <f>IFERROR(__xludf.DUMMYFUNCTION("REGEXREPLACE(substitute(substitute(B313,"" "",""""),""..."",""""),""\(.*\)"","""")"),"2808.920906")</f>
        <v>2808.920906</v>
      </c>
      <c r="H313" s="43">
        <f t="shared" si="2"/>
        <v>2808.920906</v>
      </c>
      <c r="I313" s="21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43">
        <f t="shared" si="3"/>
        <v>0.0000007</v>
      </c>
      <c r="K313" s="43" t="b">
        <f t="shared" si="4"/>
        <v>0</v>
      </c>
      <c r="L313" s="21" t="str">
        <f>IFERROR(__xludf.DUMMYFUNCTION("if(regexmatch(B313,""e(.*)$""),regexextract(B313,""e(.*)$""),"""")"),"")</f>
        <v/>
      </c>
    </row>
    <row r="314">
      <c r="A314" s="34" t="s">
        <v>2143</v>
      </c>
      <c r="B314" s="34" t="s">
        <v>4497</v>
      </c>
      <c r="C314" s="34" t="s">
        <v>553</v>
      </c>
      <c r="D314" s="13" t="str">
        <f t="shared" si="1"/>
        <v>u</v>
      </c>
      <c r="E314" s="42">
        <f>countif(Constants!F:F,F314)</f>
        <v>1</v>
      </c>
      <c r="F314" s="21" t="str">
        <f>ifna(VLOOKUP($A314,Constants!$D:$F,3,false),"")</f>
        <v>TritonMassInAtomicMassUnit</v>
      </c>
      <c r="G314" s="21" t="str">
        <f>IFERROR(__xludf.DUMMYFUNCTION("REGEXREPLACE(substitute(substitute(B314,"" "",""""),""..."",""""),""\(.*\)"","""")"),"3.0155007134")</f>
        <v>3.0155007134</v>
      </c>
      <c r="H314" s="43">
        <f t="shared" si="2"/>
        <v>3.015500713</v>
      </c>
      <c r="I314" s="21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43">
        <f t="shared" si="3"/>
        <v>0</v>
      </c>
      <c r="K314" s="43" t="b">
        <f t="shared" si="4"/>
        <v>0</v>
      </c>
      <c r="L314" s="21" t="str">
        <f>IFERROR(__xludf.DUMMYFUNCTION("if(regexmatch(B314,""e(.*)$""),regexextract(B314,""e(.*)$""),"""")"),"")</f>
        <v/>
      </c>
    </row>
    <row r="315">
      <c r="A315" s="34" t="s">
        <v>2146</v>
      </c>
      <c r="B315" s="34" t="s">
        <v>4498</v>
      </c>
      <c r="C315" s="34" t="s">
        <v>4163</v>
      </c>
      <c r="D315" s="13" t="str">
        <f t="shared" si="1"/>
        <v>kg mol^-1</v>
      </c>
      <c r="E315" s="42">
        <f>countif(Constants!F:F,F315)</f>
        <v>1</v>
      </c>
      <c r="F315" s="21" t="str">
        <f>ifna(VLOOKUP($A315,Constants!$D:$F,3,false),"")</f>
        <v>TritonMolarMass</v>
      </c>
      <c r="G315" s="21" t="str">
        <f>IFERROR(__xludf.DUMMYFUNCTION("REGEXREPLACE(substitute(substitute(B315,"" "",""""),""..."",""""),""\(.*\)"","""")"),"3.0155007134e-3")</f>
        <v>3.0155007134e-3</v>
      </c>
      <c r="H315" s="43">
        <f t="shared" si="2"/>
        <v>0.003015500713</v>
      </c>
      <c r="I315" s="21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43">
        <f t="shared" si="3"/>
        <v>0</v>
      </c>
      <c r="K315" s="43" t="b">
        <f t="shared" si="4"/>
        <v>0</v>
      </c>
      <c r="L315" s="21" t="str">
        <f>IFERROR(__xludf.DUMMYFUNCTION("if(regexmatch(B315,""e(.*)$""),regexextract(B315,""e(.*)$""),"""")"),"-3")</f>
        <v>-3</v>
      </c>
    </row>
    <row r="316">
      <c r="A316" s="34" t="s">
        <v>2164</v>
      </c>
      <c r="B316" s="34" t="s">
        <v>4499</v>
      </c>
      <c r="C316" s="34"/>
      <c r="D316" s="13" t="str">
        <f t="shared" si="1"/>
        <v/>
      </c>
      <c r="E316" s="42">
        <f>countif(Constants!F:F,F316)</f>
        <v>1</v>
      </c>
      <c r="F316" s="47" t="s">
        <v>499</v>
      </c>
      <c r="G316" s="21" t="str">
        <f>IFERROR(__xludf.DUMMYFUNCTION("REGEXREPLACE(substitute(substitute(B316,"" "",""""),""..."",""""),""\(.*\)"","""")"),"1.066639908")</f>
        <v>1.066639908</v>
      </c>
      <c r="H316" s="43">
        <f t="shared" si="2"/>
        <v>1.066639908</v>
      </c>
      <c r="I316" s="21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43">
        <f t="shared" si="3"/>
        <v>0.0000000001</v>
      </c>
      <c r="K316" s="43" t="b">
        <f t="shared" si="4"/>
        <v>0</v>
      </c>
      <c r="L316" s="21" t="str">
        <f>IFERROR(__xludf.DUMMYFUNCTION("if(regexmatch(B316,""e(.*)$""),regexextract(B316,""e(.*)$""),"""")"),"")</f>
        <v/>
      </c>
    </row>
    <row r="317">
      <c r="A317" s="34" t="s">
        <v>2101</v>
      </c>
      <c r="B317" s="34" t="s">
        <v>4500</v>
      </c>
      <c r="C317" s="34"/>
      <c r="D317" s="13" t="str">
        <f t="shared" si="1"/>
        <v/>
      </c>
      <c r="E317" s="42">
        <f>countif(Constants!F:F,F317)</f>
        <v>1</v>
      </c>
      <c r="F317" s="47" t="s">
        <v>488</v>
      </c>
      <c r="G317" s="21" t="str">
        <f>IFERROR(__xludf.DUMMYFUNCTION("REGEXREPLACE(substitute(substitute(B317,"" "",""""),""..."",""""),""\(.*\)"","""")"),"-1.620514423e-3")</f>
        <v>-1.620514423e-3</v>
      </c>
      <c r="H317" s="43">
        <f t="shared" si="2"/>
        <v>-0.001620514423</v>
      </c>
      <c r="I317" s="21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43">
        <f t="shared" si="3"/>
        <v>0</v>
      </c>
      <c r="K317" s="43" t="b">
        <f t="shared" si="4"/>
        <v>0</v>
      </c>
      <c r="L317" s="21" t="str">
        <f>IFERROR(__xludf.DUMMYFUNCTION("if(regexmatch(B317,""e(.*)$""),regexextract(B317,""e(.*)$""),"""")"),"-3")</f>
        <v>-3</v>
      </c>
    </row>
    <row r="318">
      <c r="A318" s="34" t="s">
        <v>2108</v>
      </c>
      <c r="B318" s="34" t="s">
        <v>4501</v>
      </c>
      <c r="C318" s="34"/>
      <c r="D318" s="13" t="str">
        <f t="shared" si="1"/>
        <v/>
      </c>
      <c r="E318" s="42">
        <f>countif(Constants!F:F,F318)</f>
        <v>1</v>
      </c>
      <c r="F318" s="21" t="str">
        <f>ifna(VLOOKUP($A318,Constants!$D:$F,3,false),"")</f>
        <v>TritonElectronMassRatio</v>
      </c>
      <c r="G318" s="21" t="str">
        <f>IFERROR(__xludf.DUMMYFUNCTION("REGEXREPLACE(substitute(substitute(B318,"" "",""""),""..."",""""),""\(.*\)"","""")"),"5496.9215269")</f>
        <v>5496.9215269</v>
      </c>
      <c r="H318" s="43">
        <f t="shared" si="2"/>
        <v>5496.921527</v>
      </c>
      <c r="I318" s="21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43">
        <f t="shared" si="3"/>
        <v>0.000000051</v>
      </c>
      <c r="K318" s="43" t="b">
        <f t="shared" si="4"/>
        <v>0</v>
      </c>
      <c r="L318" s="21" t="str">
        <f>IFERROR(__xludf.DUMMYFUNCTION("if(regexmatch(B318,""e(.*)$""),regexextract(B318,""e(.*)$""),"""")"),"")</f>
        <v/>
      </c>
    </row>
    <row r="319">
      <c r="A319" s="34" t="s">
        <v>2149</v>
      </c>
      <c r="B319" s="34" t="s">
        <v>4502</v>
      </c>
      <c r="C319" s="34"/>
      <c r="D319" s="13" t="str">
        <f t="shared" si="1"/>
        <v/>
      </c>
      <c r="E319" s="42">
        <f>countif(Constants!F:F,F319)</f>
        <v>1</v>
      </c>
      <c r="F319" s="47" t="s">
        <v>496</v>
      </c>
      <c r="G319" s="21" t="str">
        <f>IFERROR(__xludf.DUMMYFUNCTION("REGEXREPLACE(substitute(substitute(B319,"" "",""""),""..."",""""),""\(.*\)"","""")"),"-1.55718553")</f>
        <v>-1.55718553</v>
      </c>
      <c r="H319" s="43">
        <f t="shared" si="2"/>
        <v>-1.55718553</v>
      </c>
      <c r="I319" s="21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43">
        <f t="shared" si="3"/>
        <v>0.0000000037</v>
      </c>
      <c r="K319" s="43" t="b">
        <f t="shared" si="4"/>
        <v>0</v>
      </c>
      <c r="L319" s="21" t="str">
        <f>IFERROR(__xludf.DUMMYFUNCTION("if(regexmatch(B319,""e(.*)$""),regexextract(B319,""e(.*)$""),"""")"),"")</f>
        <v/>
      </c>
    </row>
    <row r="320">
      <c r="A320" s="34" t="s">
        <v>2155</v>
      </c>
      <c r="B320" s="34" t="s">
        <v>4503</v>
      </c>
      <c r="C320" s="34"/>
      <c r="D320" s="13" t="str">
        <f t="shared" si="1"/>
        <v/>
      </c>
      <c r="E320" s="42">
        <f>countif(Constants!F:F,F320)</f>
        <v>1</v>
      </c>
      <c r="F320" s="21" t="str">
        <f>ifna(VLOOKUP($A320,Constants!$D:$F,3,false),"")</f>
        <v>TritonProtonMassRatio</v>
      </c>
      <c r="G320" s="21" t="str">
        <f>IFERROR(__xludf.DUMMYFUNCTION("REGEXREPLACE(substitute(substitute(B320,"" "",""""),""..."",""""),""\(.*\)"","""")"),"2.9937170309")</f>
        <v>2.9937170309</v>
      </c>
      <c r="H320" s="43">
        <f t="shared" si="2"/>
        <v>2.993717031</v>
      </c>
      <c r="I320" s="21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43">
        <f t="shared" si="3"/>
        <v>0</v>
      </c>
      <c r="K320" s="43" t="b">
        <f t="shared" si="4"/>
        <v>0</v>
      </c>
      <c r="L320" s="21" t="str">
        <f>IFERROR(__xludf.DUMMYFUNCTION("if(regexmatch(B320,""e(.*)$""),regexextract(B320,""e(.*)$""),"""")"),"")</f>
        <v/>
      </c>
    </row>
    <row r="321">
      <c r="A321" s="34" t="s">
        <v>2168</v>
      </c>
      <c r="B321" s="34" t="s">
        <v>4167</v>
      </c>
      <c r="C321" s="34" t="s">
        <v>538</v>
      </c>
      <c r="D321" s="13" t="str">
        <f t="shared" si="1"/>
        <v>kg</v>
      </c>
      <c r="E321" s="42">
        <f>countif(Constants!F:F,F321)</f>
        <v>1</v>
      </c>
      <c r="F321" s="21" t="str">
        <f>ifna(VLOOKUP($A321,Constants!$D:$F,3,false),"")</f>
        <v>UnifiedAtomicMassUnit</v>
      </c>
      <c r="G321" s="21" t="str">
        <f>IFERROR(__xludf.DUMMYFUNCTION("REGEXREPLACE(substitute(substitute(B321,"" "",""""),""..."",""""),""\(.*\)"","""")"),"1.660538782e-27")</f>
        <v>1.660538782e-27</v>
      </c>
      <c r="H321" s="43">
        <f t="shared" si="2"/>
        <v>0</v>
      </c>
      <c r="I321" s="21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43">
        <f t="shared" si="3"/>
        <v>0</v>
      </c>
      <c r="K321" s="43" t="b">
        <f t="shared" si="4"/>
        <v>0</v>
      </c>
      <c r="L321" s="21" t="str">
        <f>IFERROR(__xludf.DUMMYFUNCTION("if(regexmatch(B321,""e(.*)$""),regexextract(B321,""e(.*)$""),"""")"),"-27")</f>
        <v>-27</v>
      </c>
    </row>
    <row r="322">
      <c r="A322" s="34" t="s">
        <v>2192</v>
      </c>
      <c r="B322" s="34" t="s">
        <v>4504</v>
      </c>
      <c r="C322" s="34" t="s">
        <v>816</v>
      </c>
      <c r="D322" s="13" t="str">
        <f t="shared" si="1"/>
        <v>Ohm</v>
      </c>
      <c r="E322" s="42">
        <f>countif(Constants!F:F,F322)</f>
        <v>1</v>
      </c>
      <c r="F322" s="21" t="str">
        <f>ifna(VLOOKUP($A322,Constants!$D:$F,3,false),"")</f>
        <v>VonKlitzingConstant</v>
      </c>
      <c r="G322" s="21" t="str">
        <f>IFERROR(__xludf.DUMMYFUNCTION("REGEXREPLACE(substitute(substitute(B322,"" "",""""),""..."",""""),""\(.*\)"","""")"),"25812.807557")</f>
        <v>25812.807557</v>
      </c>
      <c r="H322" s="43">
        <f t="shared" si="2"/>
        <v>25812.80756</v>
      </c>
      <c r="I322" s="21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43">
        <f t="shared" si="3"/>
        <v>0.00000018</v>
      </c>
      <c r="K322" s="43" t="b">
        <f t="shared" si="4"/>
        <v>0</v>
      </c>
      <c r="L322" s="21" t="str">
        <f>IFERROR(__xludf.DUMMYFUNCTION("if(regexmatch(B322,""e(.*)$""),regexextract(B322,""e(.*)$""),"""")"),"")</f>
        <v/>
      </c>
    </row>
    <row r="323">
      <c r="A323" s="34" t="s">
        <v>2197</v>
      </c>
      <c r="B323" s="34" t="s">
        <v>4505</v>
      </c>
      <c r="C323" s="34"/>
      <c r="D323" s="13" t="str">
        <f t="shared" si="1"/>
        <v/>
      </c>
      <c r="E323" s="42">
        <f>countif(Constants!F:F,F323)</f>
        <v>1</v>
      </c>
      <c r="F323" s="21" t="str">
        <f>ifna(VLOOKUP($A323,Constants!$D:$F,3,false),"")</f>
        <v>WeakMixingAngle</v>
      </c>
      <c r="G323" s="21" t="str">
        <f>IFERROR(__xludf.DUMMYFUNCTION("REGEXREPLACE(substitute(substitute(B323,"" "",""""),""..."",""""),""\(.*\)"","""")"),"0.22255")</f>
        <v>0.22255</v>
      </c>
      <c r="H323" s="43">
        <f t="shared" si="2"/>
        <v>0.22255</v>
      </c>
      <c r="I323" s="21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43">
        <f t="shared" si="3"/>
        <v>0.0000056</v>
      </c>
      <c r="K323" s="43" t="b">
        <f t="shared" si="4"/>
        <v>0</v>
      </c>
      <c r="L323" s="21" t="str">
        <f>IFERROR(__xludf.DUMMYFUNCTION("if(regexmatch(B323,""e(.*)$""),regexextract(B323,""e(.*)$""),"""")"),"")</f>
        <v/>
      </c>
    </row>
    <row r="324">
      <c r="A324" s="34" t="s">
        <v>2200</v>
      </c>
      <c r="B324" s="34" t="s">
        <v>4506</v>
      </c>
      <c r="C324" s="34" t="s">
        <v>4224</v>
      </c>
      <c r="D324" s="13" t="str">
        <f t="shared" si="1"/>
        <v>Hz K^-1</v>
      </c>
      <c r="E324" s="42">
        <f>countif(Constants!F:F,F324)</f>
        <v>1</v>
      </c>
      <c r="F324" s="21" t="str">
        <f>ifna(VLOOKUP($A324,Constants!$D:$F,3,false),"")</f>
        <v>WienFrequencyDisplacementLawConstant</v>
      </c>
      <c r="G324" s="21" t="str">
        <f>IFERROR(__xludf.DUMMYFUNCTION("REGEXREPLACE(substitute(substitute(B324,"" "",""""),""..."",""""),""\(.*\)"","""")"),"5.878933e10")</f>
        <v>5.878933e10</v>
      </c>
      <c r="H324" s="43">
        <f t="shared" si="2"/>
        <v>58789330000</v>
      </c>
      <c r="I324" s="21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43">
        <f t="shared" si="3"/>
        <v>1000</v>
      </c>
      <c r="K324" s="43" t="b">
        <f t="shared" si="4"/>
        <v>0</v>
      </c>
      <c r="L324" s="21" t="str">
        <f>IFERROR(__xludf.DUMMYFUNCTION("if(regexmatch(B324,""e(.*)$""),regexextract(B324,""e(.*)$""),"""")"),"10")</f>
        <v>10</v>
      </c>
    </row>
    <row r="325">
      <c r="A325" s="34" t="s">
        <v>2204</v>
      </c>
      <c r="B325" s="34" t="s">
        <v>4507</v>
      </c>
      <c r="C325" s="34" t="s">
        <v>1955</v>
      </c>
      <c r="D325" s="13" t="str">
        <f t="shared" si="1"/>
        <v>m K</v>
      </c>
      <c r="E325" s="42">
        <f>countif(Constants!F:F,F325)</f>
        <v>1</v>
      </c>
      <c r="F325" s="21" t="str">
        <f>ifna(VLOOKUP($A325,Constants!$D:$F,3,false),"")</f>
        <v>WienWavelengthDisplacementLawConstant</v>
      </c>
      <c r="G325" s="21" t="str">
        <f>IFERROR(__xludf.DUMMYFUNCTION("REGEXREPLACE(substitute(substitute(B325,"" "",""""),""..."",""""),""\(.*\)"","""")"),"2.8977685e-3")</f>
        <v>2.8977685e-3</v>
      </c>
      <c r="H325" s="43">
        <f t="shared" si="2"/>
        <v>0.0028977685</v>
      </c>
      <c r="I325" s="21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43">
        <f t="shared" si="3"/>
        <v>0</v>
      </c>
      <c r="K325" s="43" t="b">
        <f t="shared" si="4"/>
        <v>0</v>
      </c>
      <c r="L325" s="21" t="str">
        <f>IFERROR(__xludf.DUMMYFUNCTION("if(regexmatch(B325,""e(.*)$""),regexextract(B325,""e(.*)$""),"""")"),"-3")</f>
        <v>-3</v>
      </c>
    </row>
  </sheetData>
  <conditionalFormatting sqref="E2:E325">
    <cfRule type="cellIs" dxfId="0" priority="1" operator="notEqual">
      <formula>1</formula>
    </cfRule>
  </conditionalFormatting>
  <conditionalFormatting sqref="E319">
    <cfRule type="cellIs" dxfId="0" priority="2" operator="notEqual">
      <formula>1</formula>
    </cfRule>
  </conditionalFormatting>
  <conditionalFormatting sqref="E316:E317">
    <cfRule type="cellIs" dxfId="0" priority="3" operator="notEqual">
      <formula>1</formula>
    </cfRule>
  </conditionalFormatting>
  <conditionalFormatting sqref="E308:E310">
    <cfRule type="cellIs" dxfId="0" priority="4" operator="notEqual">
      <formula>1</formula>
    </cfRule>
  </conditionalFormatting>
  <conditionalFormatting sqref="E296">
    <cfRule type="cellIs" dxfId="0" priority="5" operator="notEqual">
      <formula>1</formula>
    </cfRule>
  </conditionalFormatting>
  <conditionalFormatting sqref="E279:E290">
    <cfRule type="cellIs" dxfId="0" priority="6" operator="notEqual">
      <formula>1</formula>
    </cfRule>
  </conditionalFormatting>
  <conditionalFormatting sqref="E276:E277">
    <cfRule type="cellIs" dxfId="0" priority="7" operator="notEqual">
      <formula>1</formula>
    </cfRule>
  </conditionalFormatting>
  <conditionalFormatting sqref="E267">
    <cfRule type="cellIs" dxfId="0" priority="8" operator="notEqual">
      <formula>1</formula>
    </cfRule>
  </conditionalFormatting>
  <conditionalFormatting sqref="E253:E258">
    <cfRule type="cellIs" dxfId="0" priority="9" operator="notEqual">
      <formula>1</formula>
    </cfRule>
  </conditionalFormatting>
  <conditionalFormatting sqref="E250">
    <cfRule type="cellIs" dxfId="0" priority="10" operator="notEqual">
      <formula>1</formula>
    </cfRule>
  </conditionalFormatting>
  <conditionalFormatting sqref="E240:E243">
    <cfRule type="cellIs" dxfId="0" priority="11" operator="notEqual">
      <formula>1</formula>
    </cfRule>
  </conditionalFormatting>
  <conditionalFormatting sqref="E238">
    <cfRule type="cellIs" dxfId="0" priority="12" operator="notEqual">
      <formula>1</formula>
    </cfRule>
  </conditionalFormatting>
  <conditionalFormatting sqref="E229">
    <cfRule type="cellIs" dxfId="0" priority="13" operator="notEqual">
      <formula>1</formula>
    </cfRule>
  </conditionalFormatting>
  <conditionalFormatting sqref="E225:E226">
    <cfRule type="cellIs" dxfId="0" priority="14" operator="notEqual">
      <formula>1</formula>
    </cfRule>
  </conditionalFormatting>
  <conditionalFormatting sqref="E215:E219">
    <cfRule type="cellIs" dxfId="0" priority="15" operator="notEqual">
      <formula>1</formula>
    </cfRule>
  </conditionalFormatting>
  <conditionalFormatting sqref="E213">
    <cfRule type="cellIs" dxfId="0" priority="16" operator="notEqual">
      <formula>1</formula>
    </cfRule>
  </conditionalFormatting>
  <conditionalFormatting sqref="E199">
    <cfRule type="cellIs" dxfId="0" priority="17" operator="notEqual">
      <formula>1</formula>
    </cfRule>
  </conditionalFormatting>
  <conditionalFormatting sqref="E188:E191">
    <cfRule type="cellIs" dxfId="0" priority="18" operator="notEqual">
      <formula>1</formula>
    </cfRule>
  </conditionalFormatting>
  <conditionalFormatting sqref="E186">
    <cfRule type="cellIs" dxfId="0" priority="19" operator="notEqual">
      <formula>1</formula>
    </cfRule>
  </conditionalFormatting>
  <conditionalFormatting sqref="E178">
    <cfRule type="cellIs" dxfId="0" priority="20" operator="notEqual">
      <formula>1</formula>
    </cfRule>
  </conditionalFormatting>
  <conditionalFormatting sqref="E174:E176">
    <cfRule type="cellIs" dxfId="0" priority="21" operator="notEqual">
      <formula>1</formula>
    </cfRule>
  </conditionalFormatting>
  <conditionalFormatting sqref="E172">
    <cfRule type="cellIs" dxfId="0" priority="22" operator="notEqual">
      <formula>1</formula>
    </cfRule>
  </conditionalFormatting>
  <conditionalFormatting sqref="E118">
    <cfRule type="cellIs" dxfId="0" priority="23" operator="notEqual">
      <formula>1</formula>
    </cfRule>
  </conditionalFormatting>
  <conditionalFormatting sqref="E110">
    <cfRule type="cellIs" dxfId="0" priority="24" operator="notEqual">
      <formula>1</formula>
    </cfRule>
  </conditionalFormatting>
  <conditionalFormatting sqref="E107">
    <cfRule type="cellIs" dxfId="0" priority="25" operator="notEqual">
      <formula>1</formula>
    </cfRule>
  </conditionalFormatting>
  <conditionalFormatting sqref="E105">
    <cfRule type="cellIs" dxfId="0" priority="26" operator="notEqual">
      <formula>1</formula>
    </cfRule>
  </conditionalFormatting>
  <conditionalFormatting sqref="E103">
    <cfRule type="cellIs" dxfId="0" priority="27" operator="notEqual">
      <formula>1</formula>
    </cfRule>
  </conditionalFormatting>
  <conditionalFormatting sqref="E101">
    <cfRule type="cellIs" dxfId="0" priority="28" operator="notEqual">
      <formula>1</formula>
    </cfRule>
  </conditionalFormatting>
  <conditionalFormatting sqref="E91:E92">
    <cfRule type="cellIs" dxfId="0" priority="29" operator="notEqual">
      <formula>1</formula>
    </cfRule>
  </conditionalFormatting>
  <conditionalFormatting sqref="E79:E84">
    <cfRule type="cellIs" dxfId="0" priority="30" operator="notEqual">
      <formula>1</formula>
    </cfRule>
  </conditionalFormatting>
  <conditionalFormatting sqref="E76">
    <cfRule type="cellIs" dxfId="0" priority="31" operator="notEqual">
      <formula>1</formula>
    </cfRule>
  </conditionalFormatting>
  <conditionalFormatting sqref="E73:E74">
    <cfRule type="cellIs" dxfId="0" priority="32" operator="notEqual">
      <formula>1</formula>
    </cfRule>
  </conditionalFormatting>
  <conditionalFormatting sqref="E71">
    <cfRule type="cellIs" dxfId="0" priority="33" operator="notEqual">
      <formula>1</formula>
    </cfRule>
  </conditionalFormatting>
  <conditionalFormatting sqref="E62:E64">
    <cfRule type="cellIs" dxfId="0" priority="34" operator="notEqual">
      <formula>1</formula>
    </cfRule>
  </conditionalFormatting>
  <conditionalFormatting sqref="E60">
    <cfRule type="cellIs" dxfId="0" priority="35" operator="notEqual">
      <formula>1</formula>
    </cfRule>
  </conditionalFormatting>
  <conditionalFormatting sqref="E56">
    <cfRule type="cellIs" dxfId="0" priority="36" operator="notEqual">
      <formula>1</formula>
    </cfRule>
  </conditionalFormatting>
  <conditionalFormatting sqref="E52">
    <cfRule type="cellIs" dxfId="0" priority="37" operator="notEqual">
      <formula>1</formula>
    </cfRule>
  </conditionalFormatting>
  <conditionalFormatting sqref="E47">
    <cfRule type="cellIs" dxfId="0" priority="38" operator="notEqual">
      <formula>1</formula>
    </cfRule>
  </conditionalFormatting>
  <conditionalFormatting sqref="E34:E35">
    <cfRule type="cellIs" dxfId="0" priority="39" operator="notEqual">
      <formula>1</formula>
    </cfRule>
  </conditionalFormatting>
  <conditionalFormatting sqref="E30">
    <cfRule type="cellIs" dxfId="0" priority="40" operator="notEqual">
      <formula>1</formula>
    </cfRule>
  </conditionalFormatting>
  <conditionalFormatting sqref="E25">
    <cfRule type="cellIs" dxfId="0" priority="41" operator="not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7.25"/>
    <col customWidth="1" min="6" max="6" width="34.63"/>
    <col customWidth="1" min="9" max="9" width="18.75"/>
    <col customWidth="1" min="10" max="10" width="17.5"/>
  </cols>
  <sheetData>
    <row r="1">
      <c r="A1" s="48" t="s">
        <v>249</v>
      </c>
      <c r="B1" s="48" t="s">
        <v>2210</v>
      </c>
      <c r="C1" s="48" t="s">
        <v>4157</v>
      </c>
      <c r="D1" s="10" t="s">
        <v>2212</v>
      </c>
      <c r="E1" s="38" t="s">
        <v>2213</v>
      </c>
      <c r="F1" s="39" t="s">
        <v>0</v>
      </c>
      <c r="G1" s="39" t="s">
        <v>2214</v>
      </c>
      <c r="H1" s="39" t="s">
        <v>2215</v>
      </c>
      <c r="I1" s="39" t="s">
        <v>2216</v>
      </c>
      <c r="J1" s="39" t="s">
        <v>2217</v>
      </c>
      <c r="K1" s="39" t="s">
        <v>2218</v>
      </c>
      <c r="L1" s="39" t="s">
        <v>2219</v>
      </c>
    </row>
    <row r="2">
      <c r="A2" s="34" t="s">
        <v>537</v>
      </c>
      <c r="B2" s="34" t="s">
        <v>4508</v>
      </c>
      <c r="C2" s="34" t="s">
        <v>538</v>
      </c>
      <c r="D2" s="13" t="str">
        <f t="shared" ref="D2:D308" si="1">SUBSTITUTE(SUBSTITUTE(C2,"{",""),"}","")</f>
        <v>kg</v>
      </c>
      <c r="E2" s="42">
        <f>countif(Constants!F:F,F2)</f>
        <v>1</v>
      </c>
      <c r="F2" s="21" t="str">
        <f>ifna(VLOOKUP($A2,'v2006'!$A:$F,6,false),"")</f>
        <v>AlphaParticleMass</v>
      </c>
      <c r="G2" s="21" t="str">
        <f>IFERROR(__xludf.DUMMYFUNCTION("REGEXREPLACE(substitute(substitute(B2,"" "",""""),""..."",""""),""\(.*\)"","""")"),"6.6446565e-27")</f>
        <v>6.6446565e-27</v>
      </c>
      <c r="H2" s="43">
        <f t="shared" ref="H2:H308" si="2">value(G2)</f>
        <v>0</v>
      </c>
      <c r="I2" s="21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43">
        <f t="shared" ref="J2:J308" si="3">if(LEN(I2),value(I2),"")</f>
        <v>0</v>
      </c>
      <c r="K2" s="43" t="b">
        <f t="shared" ref="K2:K308" si="4">ISNUMBER(search("...",B2))</f>
        <v>0</v>
      </c>
      <c r="L2" s="21" t="str">
        <f>IFERROR(__xludf.DUMMYFUNCTION("if(regexmatch(B2,""e(.*)$""),regexextract(B2,""e(.*)$""),"""")"),"-27")</f>
        <v>-27</v>
      </c>
    </row>
    <row r="3">
      <c r="A3" s="34" t="s">
        <v>542</v>
      </c>
      <c r="B3" s="34" t="s">
        <v>4509</v>
      </c>
      <c r="C3" s="34" t="s">
        <v>543</v>
      </c>
      <c r="D3" s="13" t="str">
        <f t="shared" si="1"/>
        <v>J</v>
      </c>
      <c r="E3" s="42">
        <f>countif(Constants!F:F,F3)</f>
        <v>1</v>
      </c>
      <c r="F3" s="21" t="str">
        <f>ifna(VLOOKUP($A3,'v2006'!$A:$F,6,false),"")</f>
        <v>AlphaParticleMassEnergyEquivalent</v>
      </c>
      <c r="G3" s="21" t="str">
        <f>IFERROR(__xludf.DUMMYFUNCTION("REGEXREPLACE(substitute(substitute(B3,"" "",""""),""..."",""""),""\(.*\)"","""")"),"5.9719194e-10")</f>
        <v>5.9719194e-10</v>
      </c>
      <c r="H3" s="43">
        <f t="shared" si="2"/>
        <v>0.00000000059719194</v>
      </c>
      <c r="I3" s="21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43">
        <f t="shared" si="3"/>
        <v>0</v>
      </c>
      <c r="K3" s="43" t="b">
        <f t="shared" si="4"/>
        <v>0</v>
      </c>
      <c r="L3" s="21" t="str">
        <f>IFERROR(__xludf.DUMMYFUNCTION("if(regexmatch(B3,""e(.*)$""),regexextract(B3,""e(.*)$""),"""")"),"-10")</f>
        <v>-10</v>
      </c>
    </row>
    <row r="4">
      <c r="A4" s="34" t="s">
        <v>547</v>
      </c>
      <c r="B4" s="34" t="s">
        <v>4510</v>
      </c>
      <c r="C4" s="34" t="s">
        <v>548</v>
      </c>
      <c r="D4" s="13" t="str">
        <f t="shared" si="1"/>
        <v>MeV</v>
      </c>
      <c r="E4" s="42">
        <f>countif(Constants!F:F,F4)</f>
        <v>1</v>
      </c>
      <c r="F4" s="21" t="str">
        <f>ifna(VLOOKUP($A4,'v2006'!$A:$F,6,false),"")</f>
        <v>AlphaParticleMassEnergyEquivalentInMeV</v>
      </c>
      <c r="G4" s="21" t="str">
        <f>IFERROR(__xludf.DUMMYFUNCTION("REGEXREPLACE(substitute(substitute(B4,"" "",""""),""..."",""""),""\(.*\)"","""")"),"3727.37917")</f>
        <v>3727.37917</v>
      </c>
      <c r="H4" s="43">
        <f t="shared" si="2"/>
        <v>3727.37917</v>
      </c>
      <c r="I4" s="21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43">
        <f t="shared" si="3"/>
        <v>0.0000032</v>
      </c>
      <c r="K4" s="43" t="b">
        <f t="shared" si="4"/>
        <v>0</v>
      </c>
      <c r="L4" s="21" t="str">
        <f>IFERROR(__xludf.DUMMYFUNCTION("if(regexmatch(B4,""e(.*)$""),regexextract(B4,""e(.*)$""),"""")"),"")</f>
        <v/>
      </c>
    </row>
    <row r="5">
      <c r="A5" s="34" t="s">
        <v>552</v>
      </c>
      <c r="B5" s="34" t="s">
        <v>4511</v>
      </c>
      <c r="C5" s="34" t="s">
        <v>553</v>
      </c>
      <c r="D5" s="13" t="str">
        <f t="shared" si="1"/>
        <v>u</v>
      </c>
      <c r="E5" s="42">
        <f>countif(Constants!F:F,F5)</f>
        <v>1</v>
      </c>
      <c r="F5" s="21" t="str">
        <f>ifna(VLOOKUP($A5,'v2006'!$A:$F,6,false),"")</f>
        <v>AlphaParticleMassInAtomicMassUnit</v>
      </c>
      <c r="G5" s="21" t="str">
        <f>IFERROR(__xludf.DUMMYFUNCTION("REGEXREPLACE(substitute(substitute(B5,"" "",""""),""..."",""""),""\(.*\)"","""")"),"4.001506179149")</f>
        <v>4.001506179149</v>
      </c>
      <c r="H5" s="43">
        <f t="shared" si="2"/>
        <v>4.001506179</v>
      </c>
      <c r="I5" s="21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43">
        <f t="shared" si="3"/>
        <v>0</v>
      </c>
      <c r="K5" s="43" t="b">
        <f t="shared" si="4"/>
        <v>0</v>
      </c>
      <c r="L5" s="21" t="str">
        <f>IFERROR(__xludf.DUMMYFUNCTION("if(regexmatch(B5,""e(.*)$""),regexextract(B5,""e(.*)$""),"""")"),"")</f>
        <v/>
      </c>
    </row>
    <row r="6">
      <c r="A6" s="34" t="s">
        <v>556</v>
      </c>
      <c r="B6" s="34" t="s">
        <v>4512</v>
      </c>
      <c r="C6" s="34" t="s">
        <v>4163</v>
      </c>
      <c r="D6" s="13" t="str">
        <f t="shared" si="1"/>
        <v>kg mol^-1</v>
      </c>
      <c r="E6" s="42">
        <f>countif(Constants!F:F,F6)</f>
        <v>1</v>
      </c>
      <c r="F6" s="21" t="str">
        <f>ifna(VLOOKUP($A6,'v2006'!$A:$F,6,false),"")</f>
        <v>AlphaParticleMolarMass</v>
      </c>
      <c r="G6" s="21" t="str">
        <f>IFERROR(__xludf.DUMMYFUNCTION("REGEXREPLACE(substitute(substitute(B6,"" "",""""),""..."",""""),""\(.*\)"","""")"),"4.001506179149e-3")</f>
        <v>4.001506179149e-3</v>
      </c>
      <c r="H6" s="43">
        <f t="shared" si="2"/>
        <v>0.004001506179</v>
      </c>
      <c r="I6" s="21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43">
        <f t="shared" si="3"/>
        <v>0</v>
      </c>
      <c r="K6" s="43" t="b">
        <f t="shared" si="4"/>
        <v>0</v>
      </c>
      <c r="L6" s="21" t="str">
        <f>IFERROR(__xludf.DUMMYFUNCTION("if(regexmatch(B6,""e(.*)$""),regexextract(B6,""e(.*)$""),"""")"),"-3")</f>
        <v>-3</v>
      </c>
    </row>
    <row r="7">
      <c r="A7" s="34" t="s">
        <v>531</v>
      </c>
      <c r="B7" s="34" t="s">
        <v>4513</v>
      </c>
      <c r="C7" s="34"/>
      <c r="D7" s="13" t="str">
        <f t="shared" si="1"/>
        <v/>
      </c>
      <c r="E7" s="42">
        <f>countif(Constants!F:F,F7)</f>
        <v>1</v>
      </c>
      <c r="F7" s="21" t="str">
        <f>ifna(VLOOKUP($A7,'v2006'!$A:$F,6,false),"")</f>
        <v>AlphaParticleElectronMassRatio</v>
      </c>
      <c r="G7" s="21" t="str">
        <f>IFERROR(__xludf.DUMMYFUNCTION("REGEXREPLACE(substitute(substitute(B7,"" "",""""),""..."",""""),""\(.*\)"","""")"),"7294.2995363")</f>
        <v>7294.2995363</v>
      </c>
      <c r="H7" s="43">
        <f t="shared" si="2"/>
        <v>7294.299536</v>
      </c>
      <c r="I7" s="21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43">
        <f t="shared" si="3"/>
        <v>0.000000032</v>
      </c>
      <c r="K7" s="43" t="b">
        <f t="shared" si="4"/>
        <v>0</v>
      </c>
      <c r="L7" s="21" t="str">
        <f>IFERROR(__xludf.DUMMYFUNCTION("if(regexmatch(B7,""e(.*)$""),regexextract(B7,""e(.*)$""),"""")"),"")</f>
        <v/>
      </c>
    </row>
    <row r="8">
      <c r="A8" s="34" t="s">
        <v>562</v>
      </c>
      <c r="B8" s="34" t="s">
        <v>4514</v>
      </c>
      <c r="C8" s="34"/>
      <c r="D8" s="13" t="str">
        <f t="shared" si="1"/>
        <v/>
      </c>
      <c r="E8" s="42">
        <f>countif(Constants!F:F,F8)</f>
        <v>1</v>
      </c>
      <c r="F8" s="21" t="str">
        <f>ifna(VLOOKUP($A8,'v2006'!$A:$F,6,false),"")</f>
        <v>AlphaParticleProtonMassRatio</v>
      </c>
      <c r="G8" s="21" t="str">
        <f>IFERROR(__xludf.DUMMYFUNCTION("REGEXREPLACE(substitute(substitute(B8,"" "",""""),""..."",""""),""\(.*\)"","""")"),"3.97259968907")</f>
        <v>3.97259968907</v>
      </c>
      <c r="H8" s="43">
        <f t="shared" si="2"/>
        <v>3.972599689</v>
      </c>
      <c r="I8" s="21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43">
        <f t="shared" si="3"/>
        <v>0</v>
      </c>
      <c r="K8" s="43" t="b">
        <f t="shared" si="4"/>
        <v>0</v>
      </c>
      <c r="L8" s="21" t="str">
        <f>IFERROR(__xludf.DUMMYFUNCTION("if(regexmatch(B8,""e(.*)$""),regexextract(B8,""e(.*)$""),"""")"),"")</f>
        <v/>
      </c>
    </row>
    <row r="9">
      <c r="A9" s="34" t="s">
        <v>573</v>
      </c>
      <c r="B9" s="34" t="s">
        <v>4515</v>
      </c>
      <c r="C9" s="34" t="s">
        <v>571</v>
      </c>
      <c r="D9" s="13" t="str">
        <f t="shared" si="1"/>
        <v>m</v>
      </c>
      <c r="E9" s="42">
        <f>countif(Constants!F:F,F9)</f>
        <v>1</v>
      </c>
      <c r="F9" s="21" t="str">
        <f>ifna(VLOOKUP($A9,'v2006'!$A:$F,6,false),"")</f>
        <v>AngstromStar</v>
      </c>
      <c r="G9" s="21" t="str">
        <f>IFERROR(__xludf.DUMMYFUNCTION("REGEXREPLACE(substitute(substitute(B9,"" "",""""),""..."",""""),""\(.*\)"","""")"),"1.00001509e-10")</f>
        <v>1.00001509e-10</v>
      </c>
      <c r="H9" s="43">
        <f t="shared" si="2"/>
        <v>0.000000000100001509</v>
      </c>
      <c r="I9" s="21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43">
        <f t="shared" si="3"/>
        <v>0</v>
      </c>
      <c r="K9" s="43" t="b">
        <f t="shared" si="4"/>
        <v>0</v>
      </c>
      <c r="L9" s="21" t="str">
        <f>IFERROR(__xludf.DUMMYFUNCTION("if(regexmatch(B9,""e(.*)$""),regexextract(B9,""e(.*)$""),"""")"),"-10")</f>
        <v>-10</v>
      </c>
    </row>
    <row r="10">
      <c r="A10" s="34" t="s">
        <v>575</v>
      </c>
      <c r="B10" s="34" t="s">
        <v>4516</v>
      </c>
      <c r="C10" s="34" t="s">
        <v>538</v>
      </c>
      <c r="D10" s="13" t="str">
        <f t="shared" si="1"/>
        <v>kg</v>
      </c>
      <c r="E10" s="42">
        <f>countif(Constants!F:F,F10)</f>
        <v>1</v>
      </c>
      <c r="F10" s="21" t="str">
        <f>ifna(VLOOKUP($A10,'v2006'!$A:$F,6,false),"")</f>
        <v>AtomicMassConstant</v>
      </c>
      <c r="G10" s="21" t="str">
        <f>IFERROR(__xludf.DUMMYFUNCTION("REGEXREPLACE(substitute(substitute(B10,"" "",""""),""..."",""""),""\(.*\)"","""")"),"1.66053886e-27")</f>
        <v>1.66053886e-27</v>
      </c>
      <c r="H10" s="43">
        <f t="shared" si="2"/>
        <v>0</v>
      </c>
      <c r="I10" s="21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43">
        <f t="shared" si="3"/>
        <v>0</v>
      </c>
      <c r="K10" s="43" t="b">
        <f t="shared" si="4"/>
        <v>0</v>
      </c>
      <c r="L10" s="21" t="str">
        <f>IFERROR(__xludf.DUMMYFUNCTION("if(regexmatch(B10,""e(.*)$""),regexextract(B10,""e(.*)$""),"""")"),"-27")</f>
        <v>-27</v>
      </c>
    </row>
    <row r="11">
      <c r="A11" s="34" t="s">
        <v>579</v>
      </c>
      <c r="B11" s="34" t="s">
        <v>4517</v>
      </c>
      <c r="C11" s="34" t="s">
        <v>543</v>
      </c>
      <c r="D11" s="13" t="str">
        <f t="shared" si="1"/>
        <v>J</v>
      </c>
      <c r="E11" s="42">
        <f>countif(Constants!F:F,F11)</f>
        <v>1</v>
      </c>
      <c r="F11" s="21" t="str">
        <f>ifna(VLOOKUP($A11,'v2006'!$A:$F,6,false),"")</f>
        <v>AtomicMassConstantEnergyEquivalent</v>
      </c>
      <c r="G11" s="21" t="str">
        <f>IFERROR(__xludf.DUMMYFUNCTION("REGEXREPLACE(substitute(substitute(B11,"" "",""""),""..."",""""),""\(.*\)"","""")"),"1.49241790e-10")</f>
        <v>1.49241790e-10</v>
      </c>
      <c r="H11" s="43">
        <f t="shared" si="2"/>
        <v>0.00000000014924179</v>
      </c>
      <c r="I11" s="21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43">
        <f t="shared" si="3"/>
        <v>0</v>
      </c>
      <c r="K11" s="43" t="b">
        <f t="shared" si="4"/>
        <v>0</v>
      </c>
      <c r="L11" s="21" t="str">
        <f>IFERROR(__xludf.DUMMYFUNCTION("if(regexmatch(B11,""e(.*)$""),regexextract(B11,""e(.*)$""),"""")"),"-10")</f>
        <v>-10</v>
      </c>
    </row>
    <row r="12">
      <c r="A12" s="34" t="s">
        <v>583</v>
      </c>
      <c r="B12" s="34" t="s">
        <v>4518</v>
      </c>
      <c r="C12" s="34" t="s">
        <v>548</v>
      </c>
      <c r="D12" s="13" t="str">
        <f t="shared" si="1"/>
        <v>MeV</v>
      </c>
      <c r="E12" s="42">
        <f>countif(Constants!F:F,F12)</f>
        <v>1</v>
      </c>
      <c r="F12" s="21" t="str">
        <f>ifna(VLOOKUP($A12,'v2006'!$A:$F,6,false),"")</f>
        <v>AtomicMassConstantEnergyEquivalentInMeV</v>
      </c>
      <c r="G12" s="21" t="str">
        <f>IFERROR(__xludf.DUMMYFUNCTION("REGEXREPLACE(substitute(substitute(B12,"" "",""""),""..."",""""),""\(.*\)"","""")"),"931.494043")</f>
        <v>931.494043</v>
      </c>
      <c r="H12" s="43">
        <f t="shared" si="2"/>
        <v>931.494043</v>
      </c>
      <c r="I12" s="21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43">
        <f t="shared" si="3"/>
        <v>0.0000008</v>
      </c>
      <c r="K12" s="43" t="b">
        <f t="shared" si="4"/>
        <v>0</v>
      </c>
      <c r="L12" s="21" t="str">
        <f>IFERROR(__xludf.DUMMYFUNCTION("if(regexmatch(B12,""e(.*)$""),regexextract(B12,""e(.*)$""),"""")"),"")</f>
        <v/>
      </c>
    </row>
    <row r="13">
      <c r="A13" s="34" t="s">
        <v>587</v>
      </c>
      <c r="B13" s="34" t="s">
        <v>4519</v>
      </c>
      <c r="C13" s="34" t="s">
        <v>175</v>
      </c>
      <c r="D13" s="13" t="str">
        <f t="shared" si="1"/>
        <v>eV</v>
      </c>
      <c r="E13" s="42">
        <f>countif(Constants!F:F,F13)</f>
        <v>1</v>
      </c>
      <c r="F13" s="21" t="str">
        <f>ifna(VLOOKUP($A13,'v2006'!$A:$F,6,false),"")</f>
        <v>AtomicMassUnitElectronVoltRelationship</v>
      </c>
      <c r="G13" s="21" t="str">
        <f>IFERROR(__xludf.DUMMYFUNCTION("REGEXREPLACE(substitute(substitute(B13,"" "",""""),""..."",""""),""\(.*\)"","""")"),"931.494043e6")</f>
        <v>931.494043e6</v>
      </c>
      <c r="H13" s="43">
        <f t="shared" si="2"/>
        <v>931494043</v>
      </c>
      <c r="I13" s="21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43">
        <f t="shared" si="3"/>
        <v>0.8</v>
      </c>
      <c r="K13" s="43" t="b">
        <f t="shared" si="4"/>
        <v>0</v>
      </c>
      <c r="L13" s="21" t="str">
        <f>IFERROR(__xludf.DUMMYFUNCTION("if(regexmatch(B13,""e(.*)$""),regexextract(B13,""e(.*)$""),"""")"),"6")</f>
        <v>6</v>
      </c>
    </row>
    <row r="14">
      <c r="A14" s="34" t="s">
        <v>592</v>
      </c>
      <c r="B14" s="34" t="s">
        <v>4520</v>
      </c>
      <c r="C14" s="34" t="s">
        <v>593</v>
      </c>
      <c r="D14" s="13" t="str">
        <f t="shared" si="1"/>
        <v>E_h</v>
      </c>
      <c r="E14" s="42">
        <f>countif(Constants!F:F,F14)</f>
        <v>1</v>
      </c>
      <c r="F14" s="21" t="str">
        <f>ifna(VLOOKUP($A14,'v2006'!$A:$F,6,false),"")</f>
        <v>AtomicMassUnitHartreeRelationship</v>
      </c>
      <c r="G14" s="21" t="str">
        <f>IFERROR(__xludf.DUMMYFUNCTION("REGEXREPLACE(substitute(substitute(B14,"" "",""""),""..."",""""),""\(.*\)"","""")"),"3.423177686e7")</f>
        <v>3.423177686e7</v>
      </c>
      <c r="H14" s="43">
        <f t="shared" si="2"/>
        <v>34231776.86</v>
      </c>
      <c r="I14" s="21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43">
        <f t="shared" si="3"/>
        <v>0.0023</v>
      </c>
      <c r="K14" s="43" t="b">
        <f t="shared" si="4"/>
        <v>0</v>
      </c>
      <c r="L14" s="21" t="str">
        <f>IFERROR(__xludf.DUMMYFUNCTION("if(regexmatch(B14,""e(.*)$""),regexextract(B14,""e(.*)$""),"""")"),"7")</f>
        <v>7</v>
      </c>
    </row>
    <row r="15">
      <c r="A15" s="34" t="s">
        <v>599</v>
      </c>
      <c r="B15" s="34" t="s">
        <v>4521</v>
      </c>
      <c r="C15" s="34" t="s">
        <v>600</v>
      </c>
      <c r="D15" s="13" t="str">
        <f t="shared" si="1"/>
        <v>Hz</v>
      </c>
      <c r="E15" s="42">
        <f>countif(Constants!F:F,F15)</f>
        <v>1</v>
      </c>
      <c r="F15" s="21" t="str">
        <f>ifna(VLOOKUP($A15,'v2006'!$A:$F,6,false),"")</f>
        <v>AtomicMassUnitHertzRelationship</v>
      </c>
      <c r="G15" s="21" t="str">
        <f>IFERROR(__xludf.DUMMYFUNCTION("REGEXREPLACE(substitute(substitute(B15,"" "",""""),""..."",""""),""\(.*\)"","""")"),"2.252342718e23")</f>
        <v>2.252342718e23</v>
      </c>
      <c r="H15" s="43">
        <f t="shared" si="2"/>
        <v>2.25234E+23</v>
      </c>
      <c r="I15" s="21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43">
        <f t="shared" si="3"/>
        <v>15000000000000</v>
      </c>
      <c r="K15" s="43" t="b">
        <f t="shared" si="4"/>
        <v>0</v>
      </c>
      <c r="L15" s="21" t="str">
        <f>IFERROR(__xludf.DUMMYFUNCTION("if(regexmatch(B15,""e(.*)$""),regexextract(B15,""e(.*)$""),"""")"),"23")</f>
        <v>23</v>
      </c>
    </row>
    <row r="16">
      <c r="A16" s="34" t="s">
        <v>605</v>
      </c>
      <c r="B16" s="34" t="s">
        <v>4522</v>
      </c>
      <c r="C16" s="34" t="s">
        <v>4174</v>
      </c>
      <c r="D16" s="13" t="str">
        <f t="shared" si="1"/>
        <v>m^-1</v>
      </c>
      <c r="E16" s="42">
        <f>countif(Constants!F:F,F16)</f>
        <v>1</v>
      </c>
      <c r="F16" s="21" t="str">
        <f>ifna(VLOOKUP($A16,'v2006'!$A:$F,6,false),"")</f>
        <v>AtomicMassUnitInverseMeterRelationship</v>
      </c>
      <c r="G16" s="21" t="str">
        <f>IFERROR(__xludf.DUMMYFUNCTION("REGEXREPLACE(substitute(substitute(B16,"" "",""""),""..."",""""),""\(.*\)"","""")"),"7.513006608e14")</f>
        <v>7.513006608e14</v>
      </c>
      <c r="H16" s="43">
        <f t="shared" si="2"/>
        <v>751300660800000</v>
      </c>
      <c r="I16" s="21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43">
        <f t="shared" si="3"/>
        <v>50000</v>
      </c>
      <c r="K16" s="43" t="b">
        <f t="shared" si="4"/>
        <v>0</v>
      </c>
      <c r="L16" s="21" t="str">
        <f>IFERROR(__xludf.DUMMYFUNCTION("if(regexmatch(B16,""e(.*)$""),regexextract(B16,""e(.*)$""),"""")"),"14")</f>
        <v>14</v>
      </c>
    </row>
    <row r="17">
      <c r="A17" s="34" t="s">
        <v>612</v>
      </c>
      <c r="B17" s="34" t="s">
        <v>4517</v>
      </c>
      <c r="C17" s="34" t="s">
        <v>543</v>
      </c>
      <c r="D17" s="13" t="str">
        <f t="shared" si="1"/>
        <v>J</v>
      </c>
      <c r="E17" s="42">
        <f>countif(Constants!F:F,F17)</f>
        <v>1</v>
      </c>
      <c r="F17" s="21" t="str">
        <f>ifna(VLOOKUP($A17,'v2006'!$A:$F,6,false),"")</f>
        <v>AtomicMassUnitJouleRelationship</v>
      </c>
      <c r="G17" s="21" t="str">
        <f>IFERROR(__xludf.DUMMYFUNCTION("REGEXREPLACE(substitute(substitute(B17,"" "",""""),""..."",""""),""\(.*\)"","""")"),"1.49241790e-10")</f>
        <v>1.49241790e-10</v>
      </c>
      <c r="H17" s="43">
        <f t="shared" si="2"/>
        <v>0.00000000014924179</v>
      </c>
      <c r="I17" s="21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43">
        <f t="shared" si="3"/>
        <v>0</v>
      </c>
      <c r="K17" s="43" t="b">
        <f t="shared" si="4"/>
        <v>0</v>
      </c>
      <c r="L17" s="21" t="str">
        <f>IFERROR(__xludf.DUMMYFUNCTION("if(regexmatch(B17,""e(.*)$""),regexextract(B17,""e(.*)$""),"""")"),"-10")</f>
        <v>-10</v>
      </c>
    </row>
    <row r="18">
      <c r="A18" s="34" t="s">
        <v>617</v>
      </c>
      <c r="B18" s="34" t="s">
        <v>4175</v>
      </c>
      <c r="C18" s="34" t="s">
        <v>618</v>
      </c>
      <c r="D18" s="13" t="str">
        <f t="shared" si="1"/>
        <v>K</v>
      </c>
      <c r="E18" s="42">
        <f>countif(Constants!F:F,F18)</f>
        <v>1</v>
      </c>
      <c r="F18" s="21" t="str">
        <f>ifna(VLOOKUP($A18,'v2006'!$A:$F,6,false),"")</f>
        <v>AtomicMassUnitKelvinRelationship</v>
      </c>
      <c r="G18" s="21" t="str">
        <f>IFERROR(__xludf.DUMMYFUNCTION("REGEXREPLACE(substitute(substitute(B18,"" "",""""),""..."",""""),""\(.*\)"","""")"),"1.0809527e13")</f>
        <v>1.0809527e13</v>
      </c>
      <c r="H18" s="43">
        <f t="shared" si="2"/>
        <v>10809527000000</v>
      </c>
      <c r="I18" s="21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43">
        <f t="shared" si="3"/>
        <v>190000</v>
      </c>
      <c r="K18" s="43" t="b">
        <f t="shared" si="4"/>
        <v>0</v>
      </c>
      <c r="L18" s="21" t="str">
        <f>IFERROR(__xludf.DUMMYFUNCTION("if(regexmatch(B18,""e(.*)$""),regexextract(B18,""e(.*)$""),"""")"),"13")</f>
        <v>13</v>
      </c>
    </row>
    <row r="19">
      <c r="A19" s="34" t="s">
        <v>623</v>
      </c>
      <c r="B19" s="34" t="s">
        <v>4516</v>
      </c>
      <c r="C19" s="34" t="s">
        <v>538</v>
      </c>
      <c r="D19" s="13" t="str">
        <f t="shared" si="1"/>
        <v>kg</v>
      </c>
      <c r="E19" s="42">
        <f>countif(Constants!F:F,F19)</f>
        <v>1</v>
      </c>
      <c r="F19" s="21" t="str">
        <f>ifna(VLOOKUP($A19,'v2006'!$A:$F,6,false),"")</f>
        <v>AtomicMassUnitKilogramRelationship</v>
      </c>
      <c r="G19" s="21" t="str">
        <f>IFERROR(__xludf.DUMMYFUNCTION("REGEXREPLACE(substitute(substitute(B19,"" "",""""),""..."",""""),""\(.*\)"","""")"),"1.66053886e-27")</f>
        <v>1.66053886e-27</v>
      </c>
      <c r="H19" s="43">
        <f t="shared" si="2"/>
        <v>0</v>
      </c>
      <c r="I19" s="21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43">
        <f t="shared" si="3"/>
        <v>0</v>
      </c>
      <c r="K19" s="43" t="b">
        <f t="shared" si="4"/>
        <v>0</v>
      </c>
      <c r="L19" s="21" t="str">
        <f>IFERROR(__xludf.DUMMYFUNCTION("if(regexmatch(B19,""e(.*)$""),regexextract(B19,""e(.*)$""),"""")"),"-27")</f>
        <v>-27</v>
      </c>
    </row>
    <row r="20">
      <c r="A20" s="34" t="s">
        <v>628</v>
      </c>
      <c r="B20" s="34" t="s">
        <v>4523</v>
      </c>
      <c r="C20" s="34" t="s">
        <v>4177</v>
      </c>
      <c r="D20" s="13" t="str">
        <f t="shared" si="1"/>
        <v>C^3 m^3 J^-2</v>
      </c>
      <c r="E20" s="42">
        <f>countif(Constants!F:F,F20)</f>
        <v>1</v>
      </c>
      <c r="F20" s="21" t="str">
        <f>ifna(VLOOKUP($A20,'v2006'!$A:$F,6,false),"")</f>
        <v>AtomicUnitOf1stHyperpolarizablity</v>
      </c>
      <c r="G20" s="21" t="str">
        <f>IFERROR(__xludf.DUMMYFUNCTION("REGEXREPLACE(substitute(substitute(B20,"" "",""""),""..."",""""),""\(.*\)"","""")"),"3.20636151e-53")</f>
        <v>3.20636151e-53</v>
      </c>
      <c r="H20" s="43">
        <f t="shared" si="2"/>
        <v>0</v>
      </c>
      <c r="I20" s="21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43">
        <f t="shared" si="3"/>
        <v>0</v>
      </c>
      <c r="K20" s="43" t="b">
        <f t="shared" si="4"/>
        <v>0</v>
      </c>
      <c r="L20" s="21" t="str">
        <f>IFERROR(__xludf.DUMMYFUNCTION("if(regexmatch(B20,""e(.*)$""),regexextract(B20,""e(.*)$""),"""")"),"-53")</f>
        <v>-53</v>
      </c>
    </row>
    <row r="21">
      <c r="A21" s="34" t="s">
        <v>635</v>
      </c>
      <c r="B21" s="34" t="s">
        <v>4524</v>
      </c>
      <c r="C21" s="34" t="s">
        <v>4179</v>
      </c>
      <c r="D21" s="13" t="str">
        <f t="shared" si="1"/>
        <v>C^4 m^4 J^-3</v>
      </c>
      <c r="E21" s="42">
        <f>countif(Constants!F:F,F21)</f>
        <v>1</v>
      </c>
      <c r="F21" s="21" t="str">
        <f>ifna(VLOOKUP($A21,'v2006'!$A:$F,6,false),"")</f>
        <v>AtomicUnitOf2ndHyperpolarizablity</v>
      </c>
      <c r="G21" s="21" t="str">
        <f>IFERROR(__xludf.DUMMYFUNCTION("REGEXREPLACE(substitute(substitute(B21,"" "",""""),""..."",""""),""\(.*\)"","""")"),"6.2353808e-65")</f>
        <v>6.2353808e-65</v>
      </c>
      <c r="H21" s="43">
        <f t="shared" si="2"/>
        <v>0</v>
      </c>
      <c r="I21" s="21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43">
        <f t="shared" si="3"/>
        <v>0</v>
      </c>
      <c r="K21" s="43" t="b">
        <f t="shared" si="4"/>
        <v>0</v>
      </c>
      <c r="L21" s="21" t="str">
        <f>IFERROR(__xludf.DUMMYFUNCTION("if(regexmatch(B21,""e(.*)$""),regexextract(B21,""e(.*)$""),"""")"),"-65")</f>
        <v>-65</v>
      </c>
    </row>
    <row r="22">
      <c r="A22" s="34" t="s">
        <v>642</v>
      </c>
      <c r="B22" s="34" t="s">
        <v>4525</v>
      </c>
      <c r="C22" s="34" t="s">
        <v>643</v>
      </c>
      <c r="D22" s="13" t="str">
        <f t="shared" si="1"/>
        <v>J s</v>
      </c>
      <c r="E22" s="42">
        <f>countif(Constants!F:F,F22)</f>
        <v>1</v>
      </c>
      <c r="F22" s="21" t="str">
        <f>ifna(VLOOKUP($A22,'v2006'!$A:$F,6,false),"")</f>
        <v>AtomicUnitOfAction</v>
      </c>
      <c r="G22" s="21" t="str">
        <f>IFERROR(__xludf.DUMMYFUNCTION("REGEXREPLACE(substitute(substitute(B22,"" "",""""),""..."",""""),""\(.*\)"","""")"),"1.05457168e-34")</f>
        <v>1.05457168e-34</v>
      </c>
      <c r="H22" s="43">
        <f t="shared" si="2"/>
        <v>0</v>
      </c>
      <c r="I22" s="21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43">
        <f t="shared" si="3"/>
        <v>0</v>
      </c>
      <c r="K22" s="43" t="b">
        <f t="shared" si="4"/>
        <v>0</v>
      </c>
      <c r="L22" s="21" t="str">
        <f>IFERROR(__xludf.DUMMYFUNCTION("if(regexmatch(B22,""e(.*)$""),regexextract(B22,""e(.*)$""),"""")"),"-34")</f>
        <v>-34</v>
      </c>
    </row>
    <row r="23">
      <c r="A23" s="34" t="s">
        <v>654</v>
      </c>
      <c r="B23" s="34" t="s">
        <v>4526</v>
      </c>
      <c r="C23" s="34" t="s">
        <v>4182</v>
      </c>
      <c r="D23" s="13" t="str">
        <f t="shared" si="1"/>
        <v>C m^-3</v>
      </c>
      <c r="E23" s="42">
        <f>countif(Constants!F:F,F23)</f>
        <v>1</v>
      </c>
      <c r="F23" s="21" t="str">
        <f>ifna(VLOOKUP($A23,'v2006'!$A:$F,6,false),"")</f>
        <v>AtomicUnitOfChargeDensity</v>
      </c>
      <c r="G23" s="21" t="str">
        <f>IFERROR(__xludf.DUMMYFUNCTION("REGEXREPLACE(substitute(substitute(B23,"" "",""""),""..."",""""),""\(.*\)"","""")"),"1.081202317e12")</f>
        <v>1.081202317e12</v>
      </c>
      <c r="H23" s="43">
        <f t="shared" si="2"/>
        <v>1081202317000</v>
      </c>
      <c r="I23" s="21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43">
        <f t="shared" si="3"/>
        <v>930</v>
      </c>
      <c r="K23" s="43" t="b">
        <f t="shared" si="4"/>
        <v>0</v>
      </c>
      <c r="L23" s="21" t="str">
        <f>IFERROR(__xludf.DUMMYFUNCTION("if(regexmatch(B23,""e(.*)$""),regexextract(B23,""e(.*)$""),"""")"),"12")</f>
        <v>12</v>
      </c>
    </row>
    <row r="24">
      <c r="A24" s="34" t="s">
        <v>660</v>
      </c>
      <c r="B24" s="34" t="s">
        <v>4527</v>
      </c>
      <c r="C24" s="34" t="s">
        <v>661</v>
      </c>
      <c r="D24" s="13" t="str">
        <f t="shared" si="1"/>
        <v>A</v>
      </c>
      <c r="E24" s="42">
        <f>countif(Constants!F:F,F24)</f>
        <v>1</v>
      </c>
      <c r="F24" s="21" t="str">
        <f>ifna(VLOOKUP($A24,'v2006'!$A:$F,6,false),"")</f>
        <v>AtomicUnitOfCurrent</v>
      </c>
      <c r="G24" s="21" t="str">
        <f>IFERROR(__xludf.DUMMYFUNCTION("REGEXREPLACE(substitute(substitute(B24,"" "",""""),""..."",""""),""\(.*\)"","""")"),"6.62361782e-3")</f>
        <v>6.62361782e-3</v>
      </c>
      <c r="H24" s="43">
        <f t="shared" si="2"/>
        <v>0.00662361782</v>
      </c>
      <c r="I24" s="21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43">
        <f t="shared" si="3"/>
        <v>0</v>
      </c>
      <c r="K24" s="43" t="b">
        <f t="shared" si="4"/>
        <v>0</v>
      </c>
      <c r="L24" s="21" t="str">
        <f>IFERROR(__xludf.DUMMYFUNCTION("if(regexmatch(B24,""e(.*)$""),regexextract(B24,""e(.*)$""),"""")"),"-3")</f>
        <v>-3</v>
      </c>
    </row>
    <row r="25">
      <c r="A25" s="34" t="s">
        <v>667</v>
      </c>
      <c r="B25" s="34" t="s">
        <v>4528</v>
      </c>
      <c r="C25" s="34" t="s">
        <v>666</v>
      </c>
      <c r="D25" s="13" t="str">
        <f t="shared" si="1"/>
        <v>C m</v>
      </c>
      <c r="E25" s="42">
        <f>countif(Constants!F:F,F25)</f>
        <v>1</v>
      </c>
      <c r="F25" s="21" t="str">
        <f>ifna(VLOOKUP($A25,'v2006'!$A:$F,6,false),"")</f>
        <v>AtomicUnitOfElectricDipoleMoment</v>
      </c>
      <c r="G25" s="21" t="str">
        <f>IFERROR(__xludf.DUMMYFUNCTION("REGEXREPLACE(substitute(substitute(B25,"" "",""""),""..."",""""),""\(.*\)"","""")"),"8.47835309e-30")</f>
        <v>8.47835309e-30</v>
      </c>
      <c r="H25" s="43">
        <f t="shared" si="2"/>
        <v>0</v>
      </c>
      <c r="I25" s="21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43">
        <f t="shared" si="3"/>
        <v>0</v>
      </c>
      <c r="K25" s="43" t="b">
        <f t="shared" si="4"/>
        <v>0</v>
      </c>
      <c r="L25" s="21" t="str">
        <f>IFERROR(__xludf.DUMMYFUNCTION("if(regexmatch(B25,""e(.*)$""),regexextract(B25,""e(.*)$""),"""")"),"-30")</f>
        <v>-30</v>
      </c>
    </row>
    <row r="26">
      <c r="A26" s="34" t="s">
        <v>671</v>
      </c>
      <c r="B26" s="34" t="s">
        <v>4529</v>
      </c>
      <c r="C26" s="34" t="s">
        <v>4186</v>
      </c>
      <c r="D26" s="13" t="str">
        <f t="shared" si="1"/>
        <v>V m^-1</v>
      </c>
      <c r="E26" s="42">
        <f>countif(Constants!F:F,F26)</f>
        <v>1</v>
      </c>
      <c r="F26" s="21" t="str">
        <f>ifna(VLOOKUP($A26,'v2006'!$A:$F,6,false),"")</f>
        <v>AtomicUnitOfElectricField</v>
      </c>
      <c r="G26" s="21" t="str">
        <f>IFERROR(__xludf.DUMMYFUNCTION("REGEXREPLACE(substitute(substitute(B26,"" "",""""),""..."",""""),""\(.*\)"","""")"),"5.14220642e11")</f>
        <v>5.14220642e11</v>
      </c>
      <c r="H26" s="43">
        <f t="shared" si="2"/>
        <v>514220642000</v>
      </c>
      <c r="I26" s="21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43">
        <f t="shared" si="3"/>
        <v>440</v>
      </c>
      <c r="K26" s="43" t="b">
        <f t="shared" si="4"/>
        <v>0</v>
      </c>
      <c r="L26" s="21" t="str">
        <f>IFERROR(__xludf.DUMMYFUNCTION("if(regexmatch(B26,""e(.*)$""),regexextract(B26,""e(.*)$""),"""")"),"11")</f>
        <v>11</v>
      </c>
    </row>
    <row r="27">
      <c r="A27" s="34" t="s">
        <v>677</v>
      </c>
      <c r="B27" s="34" t="s">
        <v>4530</v>
      </c>
      <c r="C27" s="34" t="s">
        <v>4188</v>
      </c>
      <c r="D27" s="13" t="str">
        <f t="shared" si="1"/>
        <v>V m^-2</v>
      </c>
      <c r="E27" s="42">
        <f>countif(Constants!F:F,F27)</f>
        <v>1</v>
      </c>
      <c r="F27" s="21" t="str">
        <f>ifna(VLOOKUP($A27,'v2006'!$A:$F,6,false),"")</f>
        <v>AtomicUnitOfElectricFieldGradient</v>
      </c>
      <c r="G27" s="21" t="str">
        <f>IFERROR(__xludf.DUMMYFUNCTION("REGEXREPLACE(substitute(substitute(B27,"" "",""""),""..."",""""),""\(.*\)"","""")"),"9.71736182e21")</f>
        <v>9.71736182e21</v>
      </c>
      <c r="H27" s="43">
        <f t="shared" si="2"/>
        <v>9.71736E+21</v>
      </c>
      <c r="I27" s="21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43">
        <f t="shared" si="3"/>
        <v>8300000000000</v>
      </c>
      <c r="K27" s="43" t="b">
        <f t="shared" si="4"/>
        <v>0</v>
      </c>
      <c r="L27" s="21" t="str">
        <f>IFERROR(__xludf.DUMMYFUNCTION("if(regexmatch(B27,""e(.*)$""),regexextract(B27,""e(.*)$""),"""")"),"21")</f>
        <v>21</v>
      </c>
    </row>
    <row r="28">
      <c r="A28" s="34" t="s">
        <v>683</v>
      </c>
      <c r="B28" s="34" t="s">
        <v>4531</v>
      </c>
      <c r="C28" s="34" t="s">
        <v>4190</v>
      </c>
      <c r="D28" s="13" t="str">
        <f t="shared" si="1"/>
        <v>C^2 m^2 J^-1</v>
      </c>
      <c r="E28" s="42">
        <f>countif(Constants!F:F,F28)</f>
        <v>1</v>
      </c>
      <c r="F28" s="21" t="str">
        <f>ifna(VLOOKUP($A28,'v2006'!$A:$F,6,false),"")</f>
        <v>AtomicUnitOfElectricPolarizablity</v>
      </c>
      <c r="G28" s="21" t="str">
        <f>IFERROR(__xludf.DUMMYFUNCTION("REGEXREPLACE(substitute(substitute(B28,"" "",""""),""..."",""""),""\(.*\)"","""")"),"1.648777274e-41")</f>
        <v>1.648777274e-41</v>
      </c>
      <c r="H28" s="43">
        <f t="shared" si="2"/>
        <v>0</v>
      </c>
      <c r="I28" s="21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43">
        <f t="shared" si="3"/>
        <v>0</v>
      </c>
      <c r="K28" s="43" t="b">
        <f t="shared" si="4"/>
        <v>0</v>
      </c>
      <c r="L28" s="21" t="str">
        <f>IFERROR(__xludf.DUMMYFUNCTION("if(regexmatch(B28,""e(.*)$""),regexextract(B28,""e(.*)$""),"""")"),"-41")</f>
        <v>-41</v>
      </c>
    </row>
    <row r="29">
      <c r="A29" s="34" t="s">
        <v>689</v>
      </c>
      <c r="B29" s="34" t="s">
        <v>4532</v>
      </c>
      <c r="C29" s="34" t="s">
        <v>237</v>
      </c>
      <c r="D29" s="13" t="str">
        <f t="shared" si="1"/>
        <v>V</v>
      </c>
      <c r="E29" s="42">
        <f>countif(Constants!F:F,F29)</f>
        <v>1</v>
      </c>
      <c r="F29" s="21" t="str">
        <f>ifna(VLOOKUP($A29,'v2006'!$A:$F,6,false),"")</f>
        <v>AtomicUnitOfElectricPotential</v>
      </c>
      <c r="G29" s="21" t="str">
        <f>IFERROR(__xludf.DUMMYFUNCTION("REGEXREPLACE(substitute(substitute(B29,"" "",""""),""..."",""""),""\(.*\)"","""")"),"27.2113845")</f>
        <v>27.2113845</v>
      </c>
      <c r="H29" s="43">
        <f t="shared" si="2"/>
        <v>27.2113845</v>
      </c>
      <c r="I29" s="21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43">
        <f t="shared" si="3"/>
        <v>0.000000023</v>
      </c>
      <c r="K29" s="43" t="b">
        <f t="shared" si="4"/>
        <v>0</v>
      </c>
      <c r="L29" s="21" t="str">
        <f>IFERROR(__xludf.DUMMYFUNCTION("if(regexmatch(B29,""e(.*)$""),regexextract(B29,""e(.*)$""),"""")"),"")</f>
        <v/>
      </c>
    </row>
    <row r="30">
      <c r="A30" s="34" t="s">
        <v>695</v>
      </c>
      <c r="B30" s="34" t="s">
        <v>4533</v>
      </c>
      <c r="C30" s="34" t="s">
        <v>694</v>
      </c>
      <c r="D30" s="13" t="str">
        <f t="shared" si="1"/>
        <v>C m^2</v>
      </c>
      <c r="E30" s="42">
        <f>countif(Constants!F:F,F30)</f>
        <v>1</v>
      </c>
      <c r="F30" s="21" t="str">
        <f>ifna(VLOOKUP($A30,'v2006'!$A:$F,6,false),"")</f>
        <v>AtomicUnitOfElectricQuadrupoleMoment</v>
      </c>
      <c r="G30" s="21" t="str">
        <f>IFERROR(__xludf.DUMMYFUNCTION("REGEXREPLACE(substitute(substitute(B30,"" "",""""),""..."",""""),""\(.*\)"","""")"),"4.48655124e-40")</f>
        <v>4.48655124e-40</v>
      </c>
      <c r="H30" s="43">
        <f t="shared" si="2"/>
        <v>0</v>
      </c>
      <c r="I30" s="21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43">
        <f t="shared" si="3"/>
        <v>0</v>
      </c>
      <c r="K30" s="43" t="b">
        <f t="shared" si="4"/>
        <v>0</v>
      </c>
      <c r="L30" s="21" t="str">
        <f>IFERROR(__xludf.DUMMYFUNCTION("if(regexmatch(B30,""e(.*)$""),regexextract(B30,""e(.*)$""),"""")"),"-40")</f>
        <v>-40</v>
      </c>
    </row>
    <row r="31">
      <c r="A31" s="34" t="s">
        <v>700</v>
      </c>
      <c r="B31" s="34" t="s">
        <v>4534</v>
      </c>
      <c r="C31" s="34" t="s">
        <v>543</v>
      </c>
      <c r="D31" s="13" t="str">
        <f t="shared" si="1"/>
        <v>J</v>
      </c>
      <c r="E31" s="42">
        <f>countif(Constants!F:F,F31)</f>
        <v>1</v>
      </c>
      <c r="F31" s="21" t="str">
        <f>ifna(VLOOKUP($A31,'v2006'!$A:$F,6,false),"")</f>
        <v>AtomicUnitOfEnergy</v>
      </c>
      <c r="G31" s="21" t="str">
        <f>IFERROR(__xludf.DUMMYFUNCTION("REGEXREPLACE(substitute(substitute(B31,"" "",""""),""..."",""""),""\(.*\)"","""")"),"4.35974417e-18")</f>
        <v>4.35974417e-18</v>
      </c>
      <c r="H31" s="43">
        <f t="shared" si="2"/>
        <v>0</v>
      </c>
      <c r="I31" s="21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43">
        <f t="shared" si="3"/>
        <v>0</v>
      </c>
      <c r="K31" s="43" t="b">
        <f t="shared" si="4"/>
        <v>0</v>
      </c>
      <c r="L31" s="21" t="str">
        <f>IFERROR(__xludf.DUMMYFUNCTION("if(regexmatch(B31,""e(.*)$""),regexextract(B31,""e(.*)$""),"""")"),"-18")</f>
        <v>-18</v>
      </c>
    </row>
    <row r="32">
      <c r="A32" s="34" t="s">
        <v>704</v>
      </c>
      <c r="B32" s="34" t="s">
        <v>4535</v>
      </c>
      <c r="C32" s="34" t="s">
        <v>705</v>
      </c>
      <c r="D32" s="13" t="str">
        <f t="shared" si="1"/>
        <v>N</v>
      </c>
      <c r="E32" s="42">
        <f>countif(Constants!F:F,F32)</f>
        <v>1</v>
      </c>
      <c r="F32" s="21" t="str">
        <f>ifna(VLOOKUP($A32,'v2006'!$A:$F,6,false),"")</f>
        <v>AtomicUnitOfForce</v>
      </c>
      <c r="G32" s="21" t="str">
        <f>IFERROR(__xludf.DUMMYFUNCTION("REGEXREPLACE(substitute(substitute(B32,"" "",""""),""..."",""""),""\(.*\)"","""")"),"8.2387225e-8")</f>
        <v>8.2387225e-8</v>
      </c>
      <c r="H32" s="43">
        <f t="shared" si="2"/>
        <v>0.000000082387225</v>
      </c>
      <c r="I32" s="21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43">
        <f t="shared" si="3"/>
        <v>0</v>
      </c>
      <c r="K32" s="43" t="b">
        <f t="shared" si="4"/>
        <v>0</v>
      </c>
      <c r="L32" s="21" t="str">
        <f>IFERROR(__xludf.DUMMYFUNCTION("if(regexmatch(B32,""e(.*)$""),regexextract(B32,""e(.*)$""),"""")"),"-8")</f>
        <v>-8</v>
      </c>
    </row>
    <row r="33">
      <c r="A33" s="34" t="s">
        <v>709</v>
      </c>
      <c r="B33" s="34" t="s">
        <v>4536</v>
      </c>
      <c r="C33" s="34" t="s">
        <v>571</v>
      </c>
      <c r="D33" s="13" t="str">
        <f t="shared" si="1"/>
        <v>m</v>
      </c>
      <c r="E33" s="42">
        <f>countif(Constants!F:F,F33)</f>
        <v>1</v>
      </c>
      <c r="F33" s="21" t="str">
        <f>ifna(VLOOKUP($A33,'v2006'!$A:$F,6,false),"")</f>
        <v>AtomicUnitOfLength</v>
      </c>
      <c r="G33" s="21" t="str">
        <f>IFERROR(__xludf.DUMMYFUNCTION("REGEXREPLACE(substitute(substitute(B33,"" "",""""),""..."",""""),""\(.*\)"","""")"),"0.5291772108e-10")</f>
        <v>0.5291772108e-10</v>
      </c>
      <c r="H33" s="43">
        <f t="shared" si="2"/>
        <v>0</v>
      </c>
      <c r="I33" s="21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43">
        <f t="shared" si="3"/>
        <v>0</v>
      </c>
      <c r="K33" s="43" t="b">
        <f t="shared" si="4"/>
        <v>0</v>
      </c>
      <c r="L33" s="21" t="str">
        <f>IFERROR(__xludf.DUMMYFUNCTION("if(regexmatch(B33,""e(.*)$""),regexextract(B33,""e(.*)$""),"""")"),"-10")</f>
        <v>-10</v>
      </c>
    </row>
    <row r="34">
      <c r="A34" s="34" t="s">
        <v>715</v>
      </c>
      <c r="B34" s="34" t="s">
        <v>4537</v>
      </c>
      <c r="C34" s="34" t="s">
        <v>4197</v>
      </c>
      <c r="D34" s="13" t="str">
        <f t="shared" si="1"/>
        <v>J T^-1</v>
      </c>
      <c r="E34" s="42">
        <f>countif(Constants!F:F,F34)</f>
        <v>1</v>
      </c>
      <c r="F34" s="21" t="str">
        <f>ifna(VLOOKUP($A34,'v2006'!$A:$F,6,false),"")</f>
        <v>AtomicUnitOfMagneticDipoleMoment</v>
      </c>
      <c r="G34" s="21" t="str">
        <f>IFERROR(__xludf.DUMMYFUNCTION("REGEXREPLACE(substitute(substitute(B34,"" "",""""),""..."",""""),""\(.*\)"","""")"),"1.85480190e-23")</f>
        <v>1.85480190e-23</v>
      </c>
      <c r="H34" s="43">
        <f t="shared" si="2"/>
        <v>0</v>
      </c>
      <c r="I34" s="21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43">
        <f t="shared" si="3"/>
        <v>0</v>
      </c>
      <c r="K34" s="43" t="b">
        <f t="shared" si="4"/>
        <v>0</v>
      </c>
      <c r="L34" s="21" t="str">
        <f>IFERROR(__xludf.DUMMYFUNCTION("if(regexmatch(B34,""e(.*)$""),regexextract(B34,""e(.*)$""),"""")"),"-23")</f>
        <v>-23</v>
      </c>
    </row>
    <row r="35">
      <c r="A35" s="34" t="s">
        <v>4198</v>
      </c>
      <c r="B35" s="34" t="s">
        <v>4538</v>
      </c>
      <c r="C35" s="34" t="s">
        <v>721</v>
      </c>
      <c r="D35" s="13" t="str">
        <f t="shared" si="1"/>
        <v>T</v>
      </c>
      <c r="E35" s="42">
        <f>countif(Constants!F:F,F35)</f>
        <v>1</v>
      </c>
      <c r="F35" s="21" t="str">
        <f>ifna(VLOOKUP($A35,'v2006'!$A:$F,6,false),"")</f>
        <v>AtomicUnitOfMagneticFluxDensity</v>
      </c>
      <c r="G35" s="21" t="str">
        <f>IFERROR(__xludf.DUMMYFUNCTION("REGEXREPLACE(substitute(substitute(B35,"" "",""""),""..."",""""),""\(.*\)"","""")"),"2.35051742e5")</f>
        <v>2.35051742e5</v>
      </c>
      <c r="H35" s="43">
        <f t="shared" si="2"/>
        <v>235051.742</v>
      </c>
      <c r="I35" s="21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43">
        <f t="shared" si="3"/>
        <v>0.0002</v>
      </c>
      <c r="K35" s="43" t="b">
        <f t="shared" si="4"/>
        <v>0</v>
      </c>
      <c r="L35" s="21" t="str">
        <f>IFERROR(__xludf.DUMMYFUNCTION("if(regexmatch(B35,""e(.*)$""),regexextract(B35,""e(.*)$""),"""")"),"5")</f>
        <v>5</v>
      </c>
    </row>
    <row r="36">
      <c r="A36" s="34" t="s">
        <v>725</v>
      </c>
      <c r="B36" s="34" t="s">
        <v>4539</v>
      </c>
      <c r="C36" s="34" t="s">
        <v>4201</v>
      </c>
      <c r="D36" s="13" t="str">
        <f t="shared" si="1"/>
        <v>J T^-2</v>
      </c>
      <c r="E36" s="42">
        <f>countif(Constants!F:F,F36)</f>
        <v>1</v>
      </c>
      <c r="F36" s="21" t="str">
        <f>ifna(VLOOKUP($A36,'v2006'!$A:$F,6,false),"")</f>
        <v>AtomicUnitOfMagnetizability</v>
      </c>
      <c r="G36" s="21" t="str">
        <f>IFERROR(__xludf.DUMMYFUNCTION("REGEXREPLACE(substitute(substitute(B36,"" "",""""),""..."",""""),""\(.*\)"","""")"),"7.89103660e-29")</f>
        <v>7.89103660e-29</v>
      </c>
      <c r="H36" s="43">
        <f t="shared" si="2"/>
        <v>0</v>
      </c>
      <c r="I36" s="21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43">
        <f t="shared" si="3"/>
        <v>0</v>
      </c>
      <c r="K36" s="43" t="b">
        <f t="shared" si="4"/>
        <v>0</v>
      </c>
      <c r="L36" s="21" t="str">
        <f>IFERROR(__xludf.DUMMYFUNCTION("if(regexmatch(B36,""e(.*)$""),regexextract(B36,""e(.*)$""),"""")"),"-29")</f>
        <v>-29</v>
      </c>
    </row>
    <row r="37">
      <c r="A37" s="34" t="s">
        <v>731</v>
      </c>
      <c r="B37" s="34" t="s">
        <v>4540</v>
      </c>
      <c r="C37" s="34" t="s">
        <v>538</v>
      </c>
      <c r="D37" s="13" t="str">
        <f t="shared" si="1"/>
        <v>kg</v>
      </c>
      <c r="E37" s="42">
        <f>countif(Constants!F:F,F37)</f>
        <v>1</v>
      </c>
      <c r="F37" s="21" t="str">
        <f>ifna(VLOOKUP($A37,'v2006'!$A:$F,6,false),"")</f>
        <v>AtomicUnitOfMass</v>
      </c>
      <c r="G37" s="21" t="str">
        <f>IFERROR(__xludf.DUMMYFUNCTION("REGEXREPLACE(substitute(substitute(B37,"" "",""""),""..."",""""),""\(.*\)"","""")"),"9.1093826e-31")</f>
        <v>9.1093826e-31</v>
      </c>
      <c r="H37" s="43">
        <f t="shared" si="2"/>
        <v>0</v>
      </c>
      <c r="I37" s="21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43">
        <f t="shared" si="3"/>
        <v>0</v>
      </c>
      <c r="K37" s="43" t="b">
        <f t="shared" si="4"/>
        <v>0</v>
      </c>
      <c r="L37" s="21" t="str">
        <f>IFERROR(__xludf.DUMMYFUNCTION("if(regexmatch(B37,""e(.*)$""),regexextract(B37,""e(.*)$""),"""")"),"-31")</f>
        <v>-31</v>
      </c>
    </row>
    <row r="38">
      <c r="A38" s="34" t="s">
        <v>735</v>
      </c>
      <c r="B38" s="34" t="s">
        <v>4541</v>
      </c>
      <c r="C38" s="34" t="s">
        <v>4204</v>
      </c>
      <c r="D38" s="13" t="str">
        <f t="shared" si="1"/>
        <v>kg m s^-1</v>
      </c>
      <c r="E38" s="42">
        <f>countif(Constants!F:F,F38)</f>
        <v>1</v>
      </c>
      <c r="F38" s="21" t="str">
        <f>ifna(VLOOKUP($A38,'v2006'!$A:$F,6,false),"")</f>
        <v>AtomicUnitOfMomentum</v>
      </c>
      <c r="G38" s="21" t="str">
        <f>IFERROR(__xludf.DUMMYFUNCTION("REGEXREPLACE(substitute(substitute(B38,"" "",""""),""..."",""""),""\(.*\)"","""")"),"1.99285166e-24")</f>
        <v>1.99285166e-24</v>
      </c>
      <c r="H38" s="43">
        <f t="shared" si="2"/>
        <v>0</v>
      </c>
      <c r="I38" s="21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43">
        <f t="shared" si="3"/>
        <v>0</v>
      </c>
      <c r="K38" s="43" t="b">
        <f t="shared" si="4"/>
        <v>0</v>
      </c>
      <c r="L38" s="21" t="str">
        <f>IFERROR(__xludf.DUMMYFUNCTION("if(regexmatch(B38,""e(.*)$""),regexextract(B38,""e(.*)$""),"""")"),"-24")</f>
        <v>-24</v>
      </c>
    </row>
    <row r="39">
      <c r="A39" s="34" t="s">
        <v>742</v>
      </c>
      <c r="B39" s="34" t="s">
        <v>4205</v>
      </c>
      <c r="C39" s="34" t="s">
        <v>4206</v>
      </c>
      <c r="D39" s="13" t="str">
        <f t="shared" si="1"/>
        <v>F m^-1</v>
      </c>
      <c r="E39" s="42">
        <f>countif(Constants!F:F,F39)</f>
        <v>1</v>
      </c>
      <c r="F39" s="21" t="str">
        <f>ifna(VLOOKUP($A39,'v2006'!$A:$F,6,false),"")</f>
        <v>AtomicUnitOfPermittivity</v>
      </c>
      <c r="G39" s="21" t="str">
        <f>IFERROR(__xludf.DUMMYFUNCTION("REGEXREPLACE(substitute(substitute(B39,"" "",""""),""..."",""""),""\(.*\)"","""")"),"1.112650056e-10")</f>
        <v>1.112650056e-10</v>
      </c>
      <c r="H39" s="43">
        <f t="shared" si="2"/>
        <v>0.0000000001112650056</v>
      </c>
      <c r="I39" s="21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43" t="str">
        <f t="shared" si="3"/>
        <v/>
      </c>
      <c r="K39" s="43" t="b">
        <f t="shared" si="4"/>
        <v>1</v>
      </c>
      <c r="L39" s="21" t="str">
        <f>IFERROR(__xludf.DUMMYFUNCTION("if(regexmatch(B39,""e(.*)$""),regexextract(B39,""e(.*)$""),"""")"),"-10")</f>
        <v>-10</v>
      </c>
    </row>
    <row r="40">
      <c r="A40" s="34" t="s">
        <v>748</v>
      </c>
      <c r="B40" s="34" t="s">
        <v>4207</v>
      </c>
      <c r="C40" s="34" t="s">
        <v>749</v>
      </c>
      <c r="D40" s="13" t="str">
        <f t="shared" si="1"/>
        <v>s</v>
      </c>
      <c r="E40" s="42">
        <f>countif(Constants!F:F,F40)</f>
        <v>1</v>
      </c>
      <c r="F40" s="21" t="str">
        <f>ifna(VLOOKUP($A40,'v2006'!$A:$F,6,false),"")</f>
        <v>AtomicUnitOfTime</v>
      </c>
      <c r="G40" s="21" t="str">
        <f>IFERROR(__xludf.DUMMYFUNCTION("REGEXREPLACE(substitute(substitute(B40,"" "",""""),""..."",""""),""\(.*\)"","""")"),"2.418884326505e-17")</f>
        <v>2.418884326505e-17</v>
      </c>
      <c r="H40" s="43">
        <f t="shared" si="2"/>
        <v>0</v>
      </c>
      <c r="I40" s="21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43">
        <f t="shared" si="3"/>
        <v>0</v>
      </c>
      <c r="K40" s="43" t="b">
        <f t="shared" si="4"/>
        <v>0</v>
      </c>
      <c r="L40" s="21" t="str">
        <f>IFERROR(__xludf.DUMMYFUNCTION("if(regexmatch(B40,""e(.*)$""),regexextract(B40,""e(.*)$""),"""")"),"-17")</f>
        <v>-17</v>
      </c>
    </row>
    <row r="41">
      <c r="A41" s="34" t="s">
        <v>753</v>
      </c>
      <c r="B41" s="34" t="s">
        <v>4542</v>
      </c>
      <c r="C41" s="34" t="s">
        <v>4209</v>
      </c>
      <c r="D41" s="13" t="str">
        <f t="shared" si="1"/>
        <v>m s^-1</v>
      </c>
      <c r="E41" s="42">
        <f>countif(Constants!F:F,F41)</f>
        <v>1</v>
      </c>
      <c r="F41" s="21" t="str">
        <f>ifna(VLOOKUP($A41,'v2006'!$A:$F,6,false),"")</f>
        <v>AtomicUnitOfVelocity</v>
      </c>
      <c r="G41" s="21" t="str">
        <f>IFERROR(__xludf.DUMMYFUNCTION("REGEXREPLACE(substitute(substitute(B41,"" "",""""),""..."",""""),""\(.*\)"","""")"),"2.1876912633e6")</f>
        <v>2.1876912633e6</v>
      </c>
      <c r="H41" s="43">
        <f t="shared" si="2"/>
        <v>2187691.263</v>
      </c>
      <c r="I41" s="21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43">
        <f t="shared" si="3"/>
        <v>0.000073</v>
      </c>
      <c r="K41" s="43" t="b">
        <f t="shared" si="4"/>
        <v>0</v>
      </c>
      <c r="L41" s="21" t="str">
        <f>IFERROR(__xludf.DUMMYFUNCTION("if(regexmatch(B41,""e(.*)$""),regexextract(B41,""e(.*)$""),"""")"),"6")</f>
        <v>6</v>
      </c>
    </row>
    <row r="42">
      <c r="A42" s="34" t="s">
        <v>145</v>
      </c>
      <c r="B42" s="34" t="s">
        <v>4543</v>
      </c>
      <c r="C42" s="34" t="s">
        <v>4211</v>
      </c>
      <c r="D42" s="13" t="str">
        <f t="shared" si="1"/>
        <v>mol^-1</v>
      </c>
      <c r="E42" s="42">
        <f>countif(Constants!F:F,F42)</f>
        <v>1</v>
      </c>
      <c r="F42" s="21" t="str">
        <f>ifna(VLOOKUP($A42,'v2006'!$A:$F,6,false),"")</f>
        <v>AvogadroConstant</v>
      </c>
      <c r="G42" s="21" t="str">
        <f>IFERROR(__xludf.DUMMYFUNCTION("REGEXREPLACE(substitute(substitute(B42,"" "",""""),""..."",""""),""\(.*\)"","""")"),"6.0221415e23")</f>
        <v>6.0221415e23</v>
      </c>
      <c r="H42" s="43">
        <f t="shared" si="2"/>
        <v>6.02214E+23</v>
      </c>
      <c r="I42" s="21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43">
        <f t="shared" si="3"/>
        <v>1E+15</v>
      </c>
      <c r="K42" s="43" t="b">
        <f t="shared" si="4"/>
        <v>0</v>
      </c>
      <c r="L42" s="21" t="str">
        <f>IFERROR(__xludf.DUMMYFUNCTION("if(regexmatch(B42,""e(.*)$""),regexextract(B42,""e(.*)$""),"""")"),"23")</f>
        <v>23</v>
      </c>
    </row>
    <row r="43">
      <c r="A43" s="34" t="s">
        <v>764</v>
      </c>
      <c r="B43" s="34" t="s">
        <v>4544</v>
      </c>
      <c r="C43" s="34" t="s">
        <v>4197</v>
      </c>
      <c r="D43" s="13" t="str">
        <f t="shared" si="1"/>
        <v>J T^-1</v>
      </c>
      <c r="E43" s="42">
        <f>countif(Constants!F:F,F43)</f>
        <v>1</v>
      </c>
      <c r="F43" s="21" t="str">
        <f>ifna(VLOOKUP($A43,'v2006'!$A:$F,6,false),"")</f>
        <v>BohrMagneton</v>
      </c>
      <c r="G43" s="21" t="str">
        <f>IFERROR(__xludf.DUMMYFUNCTION("REGEXREPLACE(substitute(substitute(B43,"" "",""""),""..."",""""),""\(.*\)"","""")"),"927.400949e-26")</f>
        <v>927.400949e-26</v>
      </c>
      <c r="H43" s="43">
        <f t="shared" si="2"/>
        <v>0</v>
      </c>
      <c r="I43" s="21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43">
        <f t="shared" si="3"/>
        <v>0</v>
      </c>
      <c r="K43" s="43" t="b">
        <f t="shared" si="4"/>
        <v>0</v>
      </c>
      <c r="L43" s="21" t="str">
        <f>IFERROR(__xludf.DUMMYFUNCTION("if(regexmatch(B43,""e(.*)$""),regexextract(B43,""e(.*)$""),"""")"),"-26")</f>
        <v>-26</v>
      </c>
    </row>
    <row r="44">
      <c r="A44" s="34" t="s">
        <v>773</v>
      </c>
      <c r="B44" s="34" t="s">
        <v>4545</v>
      </c>
      <c r="C44" s="34" t="s">
        <v>4214</v>
      </c>
      <c r="D44" s="13" t="str">
        <f t="shared" si="1"/>
        <v>Hz T^-1</v>
      </c>
      <c r="E44" s="42">
        <f>countif(Constants!F:F,F44)</f>
        <v>1</v>
      </c>
      <c r="F44" s="21" t="str">
        <f>ifna(VLOOKUP($A44,'v2006'!$A:$F,6,false),"")</f>
        <v>BohrMagnetonInHzPerT</v>
      </c>
      <c r="G44" s="21" t="str">
        <f>IFERROR(__xludf.DUMMYFUNCTION("REGEXREPLACE(substitute(substitute(B44,"" "",""""),""..."",""""),""\(.*\)"","""")"),"13.9962458e9")</f>
        <v>13.9962458e9</v>
      </c>
      <c r="H44" s="43">
        <f t="shared" si="2"/>
        <v>13996245800</v>
      </c>
      <c r="I44" s="21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43">
        <f t="shared" si="3"/>
        <v>12</v>
      </c>
      <c r="K44" s="43" t="b">
        <f t="shared" si="4"/>
        <v>0</v>
      </c>
      <c r="L44" s="21" t="str">
        <f>IFERROR(__xludf.DUMMYFUNCTION("if(regexmatch(B44,""e(.*)$""),regexextract(B44,""e(.*)$""),"""")"),"9")</f>
        <v>9</v>
      </c>
    </row>
    <row r="45">
      <c r="A45" s="34" t="s">
        <v>783</v>
      </c>
      <c r="B45" s="34" t="s">
        <v>4215</v>
      </c>
      <c r="C45" s="34" t="s">
        <v>4216</v>
      </c>
      <c r="D45" s="13" t="str">
        <f t="shared" si="1"/>
        <v>K T^-1</v>
      </c>
      <c r="E45" s="42">
        <f>countif(Constants!F:F,F45)</f>
        <v>1</v>
      </c>
      <c r="F45" s="21" t="str">
        <f>ifna(VLOOKUP($A45,'v2006'!$A:$F,6,false),"")</f>
        <v>BohrMagnetonInKPerT</v>
      </c>
      <c r="G45" s="21" t="str">
        <f>IFERROR(__xludf.DUMMYFUNCTION("REGEXREPLACE(substitute(substitute(B45,"" "",""""),""..."",""""),""\(.*\)"","""")"),"0.6717131")</f>
        <v>0.6717131</v>
      </c>
      <c r="H45" s="43">
        <f t="shared" si="2"/>
        <v>0.6717131</v>
      </c>
      <c r="I45" s="21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43">
        <f t="shared" si="3"/>
        <v>0.000000012</v>
      </c>
      <c r="K45" s="43" t="b">
        <f t="shared" si="4"/>
        <v>0</v>
      </c>
      <c r="L45" s="21" t="str">
        <f>IFERROR(__xludf.DUMMYFUNCTION("if(regexmatch(B45,""e(.*)$""),regexextract(B45,""e(.*)$""),"""")"),"")</f>
        <v/>
      </c>
    </row>
    <row r="46">
      <c r="A46" s="34" t="s">
        <v>768</v>
      </c>
      <c r="B46" s="34" t="s">
        <v>4546</v>
      </c>
      <c r="C46" s="34" t="s">
        <v>4218</v>
      </c>
      <c r="D46" s="13" t="str">
        <f t="shared" si="1"/>
        <v>eV T^-1</v>
      </c>
      <c r="E46" s="42">
        <f>countif(Constants!F:F,F46)</f>
        <v>1</v>
      </c>
      <c r="F46" s="21" t="str">
        <f>ifna(VLOOKUP($A46,'v2006'!$A:$F,6,false),"")</f>
        <v>BohrMagnetonInEVPerT</v>
      </c>
      <c r="G46" s="21" t="str">
        <f>IFERROR(__xludf.DUMMYFUNCTION("REGEXREPLACE(substitute(substitute(B46,"" "",""""),""..."",""""),""\(.*\)"","""")"),"5.788381804e-5")</f>
        <v>5.788381804e-5</v>
      </c>
      <c r="H46" s="43">
        <f t="shared" si="2"/>
        <v>0.00005788381804</v>
      </c>
      <c r="I46" s="21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43">
        <f t="shared" si="3"/>
        <v>0</v>
      </c>
      <c r="K46" s="43" t="b">
        <f t="shared" si="4"/>
        <v>0</v>
      </c>
      <c r="L46" s="21" t="str">
        <f>IFERROR(__xludf.DUMMYFUNCTION("if(regexmatch(B46,""e(.*)$""),regexextract(B46,""e(.*)$""),"""")"),"-5")</f>
        <v>-5</v>
      </c>
    </row>
    <row r="47">
      <c r="A47" s="34" t="s">
        <v>3288</v>
      </c>
      <c r="B47" s="34" t="s">
        <v>4547</v>
      </c>
      <c r="C47" s="34" t="s">
        <v>4220</v>
      </c>
      <c r="D47" s="13" t="str">
        <f t="shared" si="1"/>
        <v>m^-1 T^-1</v>
      </c>
      <c r="E47" s="42">
        <f>countif(Constants!F:F,F47)</f>
        <v>1</v>
      </c>
      <c r="F47" s="21" t="str">
        <f>ifna(VLOOKUP($A47,'v2006'!$A:$F,6,false),"")</f>
        <v>BohrMagnetonInInverseMetersPerTesla</v>
      </c>
      <c r="G47" s="21" t="str">
        <f>IFERROR(__xludf.DUMMYFUNCTION("REGEXREPLACE(substitute(substitute(B47,"" "",""""),""..."",""""),""\(.*\)"","""")"),"46.6864507")</f>
        <v>46.6864507</v>
      </c>
      <c r="H47" s="43">
        <f t="shared" si="2"/>
        <v>46.6864507</v>
      </c>
      <c r="I47" s="21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43">
        <f t="shared" si="3"/>
        <v>0.00000004</v>
      </c>
      <c r="K47" s="43" t="b">
        <f t="shared" si="4"/>
        <v>0</v>
      </c>
      <c r="L47" s="21" t="str">
        <f>IFERROR(__xludf.DUMMYFUNCTION("if(regexmatch(B47,""e(.*)$""),regexextract(B47,""e(.*)$""),"""")"),"")</f>
        <v/>
      </c>
    </row>
    <row r="48">
      <c r="A48" s="34" t="s">
        <v>788</v>
      </c>
      <c r="B48" s="34" t="s">
        <v>4536</v>
      </c>
      <c r="C48" s="34" t="s">
        <v>571</v>
      </c>
      <c r="D48" s="13" t="str">
        <f t="shared" si="1"/>
        <v>m</v>
      </c>
      <c r="E48" s="42">
        <f>countif(Constants!F:F,F48)</f>
        <v>1</v>
      </c>
      <c r="F48" s="21" t="str">
        <f>ifna(VLOOKUP($A48,'v2006'!$A:$F,6,false),"")</f>
        <v>BohrRadius</v>
      </c>
      <c r="G48" s="21" t="str">
        <f>IFERROR(__xludf.DUMMYFUNCTION("REGEXREPLACE(substitute(substitute(B48,"" "",""""),""..."",""""),""\(.*\)"","""")"),"0.5291772108e-10")</f>
        <v>0.5291772108e-10</v>
      </c>
      <c r="H48" s="43">
        <f t="shared" si="2"/>
        <v>0</v>
      </c>
      <c r="I48" s="21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43">
        <f t="shared" si="3"/>
        <v>0</v>
      </c>
      <c r="K48" s="43" t="b">
        <f t="shared" si="4"/>
        <v>0</v>
      </c>
      <c r="L48" s="21" t="str">
        <f>IFERROR(__xludf.DUMMYFUNCTION("if(regexmatch(B48,""e(.*)$""),regexextract(B48,""e(.*)$""),"""")"),"-10")</f>
        <v>-10</v>
      </c>
    </row>
    <row r="49">
      <c r="A49" s="34" t="s">
        <v>791</v>
      </c>
      <c r="B49" s="34" t="s">
        <v>4221</v>
      </c>
      <c r="C49" s="34" t="s">
        <v>4222</v>
      </c>
      <c r="D49" s="13" t="str">
        <f t="shared" si="1"/>
        <v>J K^-1</v>
      </c>
      <c r="E49" s="42">
        <f>countif(Constants!F:F,F49)</f>
        <v>1</v>
      </c>
      <c r="F49" s="21" t="str">
        <f>ifna(VLOOKUP($A49,'v2006'!$A:$F,6,false),"")</f>
        <v>BoltzmannConstant</v>
      </c>
      <c r="G49" s="21" t="str">
        <f>IFERROR(__xludf.DUMMYFUNCTION("REGEXREPLACE(substitute(substitute(B49,"" "",""""),""..."",""""),""\(.*\)"","""")"),"1.3806504e-23")</f>
        <v>1.3806504e-23</v>
      </c>
      <c r="H49" s="43">
        <f t="shared" si="2"/>
        <v>0</v>
      </c>
      <c r="I49" s="21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43">
        <f t="shared" si="3"/>
        <v>0</v>
      </c>
      <c r="K49" s="43" t="b">
        <f t="shared" si="4"/>
        <v>0</v>
      </c>
      <c r="L49" s="21" t="str">
        <f>IFERROR(__xludf.DUMMYFUNCTION("if(regexmatch(B49,""e(.*)$""),regexextract(B49,""e(.*)$""),"""")"),"-23")</f>
        <v>-23</v>
      </c>
    </row>
    <row r="50">
      <c r="A50" s="34" t="s">
        <v>803</v>
      </c>
      <c r="B50" s="34" t="s">
        <v>4223</v>
      </c>
      <c r="C50" s="34" t="s">
        <v>4224</v>
      </c>
      <c r="D50" s="13" t="str">
        <f t="shared" si="1"/>
        <v>Hz K^-1</v>
      </c>
      <c r="E50" s="42">
        <f>countif(Constants!F:F,F50)</f>
        <v>1</v>
      </c>
      <c r="F50" s="21" t="str">
        <f>ifna(VLOOKUP($A50,'v2006'!$A:$F,6,false),"")</f>
        <v>BoltzmannConstantInHzPerK</v>
      </c>
      <c r="G50" s="21" t="str">
        <f>IFERROR(__xludf.DUMMYFUNCTION("REGEXREPLACE(substitute(substitute(B50,"" "",""""),""..."",""""),""\(.*\)"","""")"),"2.0836644e10")</f>
        <v>2.0836644e10</v>
      </c>
      <c r="H50" s="43">
        <f t="shared" si="2"/>
        <v>20836644000</v>
      </c>
      <c r="I50" s="21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43">
        <f t="shared" si="3"/>
        <v>360</v>
      </c>
      <c r="K50" s="43" t="b">
        <f t="shared" si="4"/>
        <v>0</v>
      </c>
      <c r="L50" s="21" t="str">
        <f>IFERROR(__xludf.DUMMYFUNCTION("if(regexmatch(B50,""e(.*)$""),regexextract(B50,""e(.*)$""),"""")"),"10")</f>
        <v>10</v>
      </c>
    </row>
    <row r="51">
      <c r="A51" s="34" t="s">
        <v>798</v>
      </c>
      <c r="B51" s="34" t="s">
        <v>4225</v>
      </c>
      <c r="C51" s="34" t="s">
        <v>4226</v>
      </c>
      <c r="D51" s="13" t="str">
        <f t="shared" si="1"/>
        <v>eV K^-1</v>
      </c>
      <c r="E51" s="42">
        <f>countif(Constants!F:F,F51)</f>
        <v>1</v>
      </c>
      <c r="F51" s="21" t="str">
        <f>ifna(VLOOKUP($A51,'v2006'!$A:$F,6,false),"")</f>
        <v>BoltzmannConstantInEVPerK</v>
      </c>
      <c r="G51" s="21" t="str">
        <f>IFERROR(__xludf.DUMMYFUNCTION("REGEXREPLACE(substitute(substitute(B51,"" "",""""),""..."",""""),""\(.*\)"","""")"),"8.617343e-5")</f>
        <v>8.617343e-5</v>
      </c>
      <c r="H51" s="43">
        <f t="shared" si="2"/>
        <v>0.00008617343</v>
      </c>
      <c r="I51" s="21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43">
        <f t="shared" si="3"/>
        <v>0</v>
      </c>
      <c r="K51" s="43" t="b">
        <f t="shared" si="4"/>
        <v>0</v>
      </c>
      <c r="L51" s="21" t="str">
        <f>IFERROR(__xludf.DUMMYFUNCTION("if(regexmatch(B51,""e(.*)$""),regexextract(B51,""e(.*)$""),"""")"),"-5")</f>
        <v>-5</v>
      </c>
    </row>
    <row r="52">
      <c r="A52" s="34" t="s">
        <v>3299</v>
      </c>
      <c r="B52" s="34" t="s">
        <v>4227</v>
      </c>
      <c r="C52" s="34" t="s">
        <v>4228</v>
      </c>
      <c r="D52" s="13" t="str">
        <f t="shared" si="1"/>
        <v>m^-1 K^-1</v>
      </c>
      <c r="E52" s="42">
        <f>countif(Constants!F:F,F52)</f>
        <v>1</v>
      </c>
      <c r="F52" s="21" t="str">
        <f>ifna(VLOOKUP($A52,'v2006'!$A:$F,6,false),"")</f>
        <v>BoltzmannConstantInInverseMetersPerKelvin</v>
      </c>
      <c r="G52" s="21" t="str">
        <f>IFERROR(__xludf.DUMMYFUNCTION("REGEXREPLACE(substitute(substitute(B52,"" "",""""),""..."",""""),""\(.*\)"","""")"),"69.50356")</f>
        <v>69.50356</v>
      </c>
      <c r="H52" s="43">
        <f t="shared" si="2"/>
        <v>69.50356</v>
      </c>
      <c r="I52" s="21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43">
        <f t="shared" si="3"/>
        <v>0.0000012</v>
      </c>
      <c r="K52" s="43" t="b">
        <f t="shared" si="4"/>
        <v>0</v>
      </c>
      <c r="L52" s="21" t="str">
        <f>IFERROR(__xludf.DUMMYFUNCTION("if(regexmatch(B52,""e(.*)$""),regexextract(B52,""e(.*)$""),"""")"),"")</f>
        <v/>
      </c>
    </row>
    <row r="53">
      <c r="A53" s="34" t="s">
        <v>813</v>
      </c>
      <c r="B53" s="34" t="s">
        <v>4229</v>
      </c>
      <c r="C53" s="34" t="s">
        <v>816</v>
      </c>
      <c r="D53" s="13" t="str">
        <f t="shared" si="1"/>
        <v>Ohm</v>
      </c>
      <c r="E53" s="42">
        <f>countif(Constants!F:F,F53)</f>
        <v>1</v>
      </c>
      <c r="F53" s="21" t="str">
        <f>ifna(VLOOKUP($A53,'v2006'!$A:$F,6,false),"")</f>
        <v>CharacteristicImpedanceOfVacuum</v>
      </c>
      <c r="G53" s="21" t="str">
        <f>IFERROR(__xludf.DUMMYFUNCTION("REGEXREPLACE(substitute(substitute(B53,"" "",""""),""..."",""""),""\(.*\)"","""")"),"376.730313461")</f>
        <v>376.730313461</v>
      </c>
      <c r="H53" s="43">
        <f t="shared" si="2"/>
        <v>376.7303135</v>
      </c>
      <c r="I53" s="21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43" t="str">
        <f t="shared" si="3"/>
        <v/>
      </c>
      <c r="K53" s="43" t="b">
        <f t="shared" si="4"/>
        <v>1</v>
      </c>
      <c r="L53" s="21" t="str">
        <f>IFERROR(__xludf.DUMMYFUNCTION("if(regexmatch(B53,""e(.*)$""),regexextract(B53,""e(.*)$""),"""")"),"")</f>
        <v/>
      </c>
    </row>
    <row r="54">
      <c r="A54" s="34" t="s">
        <v>819</v>
      </c>
      <c r="B54" s="34" t="s">
        <v>4548</v>
      </c>
      <c r="C54" s="34" t="s">
        <v>571</v>
      </c>
      <c r="D54" s="13" t="str">
        <f t="shared" si="1"/>
        <v>m</v>
      </c>
      <c r="E54" s="42">
        <f>countif(Constants!F:F,F54)</f>
        <v>1</v>
      </c>
      <c r="F54" s="21" t="str">
        <f>ifna(VLOOKUP($A54,'v2006'!$A:$F,6,false),"")</f>
        <v>ClassicalElectronRadius</v>
      </c>
      <c r="G54" s="21" t="str">
        <f>IFERROR(__xludf.DUMMYFUNCTION("REGEXREPLACE(substitute(substitute(B54,"" "",""""),""..."",""""),""\(.*\)"","""")"),"2.817940325e-15")</f>
        <v>2.817940325e-15</v>
      </c>
      <c r="H54" s="43">
        <f t="shared" si="2"/>
        <v>0</v>
      </c>
      <c r="I54" s="21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43">
        <f t="shared" si="3"/>
        <v>0</v>
      </c>
      <c r="K54" s="43" t="b">
        <f t="shared" si="4"/>
        <v>0</v>
      </c>
      <c r="L54" s="21" t="str">
        <f>IFERROR(__xludf.DUMMYFUNCTION("if(regexmatch(B54,""e(.*)$""),regexextract(B54,""e(.*)$""),"""")"),"-15")</f>
        <v>-15</v>
      </c>
    </row>
    <row r="55">
      <c r="A55" s="34" t="s">
        <v>823</v>
      </c>
      <c r="B55" s="34" t="s">
        <v>4549</v>
      </c>
      <c r="C55" s="34" t="s">
        <v>571</v>
      </c>
      <c r="D55" s="13" t="str">
        <f t="shared" si="1"/>
        <v>m</v>
      </c>
      <c r="E55" s="42">
        <f>countif(Constants!F:F,F55)</f>
        <v>1</v>
      </c>
      <c r="F55" s="21" t="str">
        <f>ifna(VLOOKUP($A55,'v2006'!$A:$F,6,false),"")</f>
        <v>ComptonWavelength</v>
      </c>
      <c r="G55" s="21" t="str">
        <f>IFERROR(__xludf.DUMMYFUNCTION("REGEXREPLACE(substitute(substitute(B55,"" "",""""),""..."",""""),""\(.*\)"","""")"),"2.426310238e-12")</f>
        <v>2.426310238e-12</v>
      </c>
      <c r="H55" s="43">
        <f t="shared" si="2"/>
        <v>0</v>
      </c>
      <c r="I55" s="21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43">
        <f t="shared" si="3"/>
        <v>0</v>
      </c>
      <c r="K55" s="43" t="b">
        <f t="shared" si="4"/>
        <v>0</v>
      </c>
      <c r="L55" s="21" t="str">
        <f>IFERROR(__xludf.DUMMYFUNCTION("if(regexmatch(B55,""e(.*)$""),regexextract(B55,""e(.*)$""),"""")"),"-12")</f>
        <v>-12</v>
      </c>
    </row>
    <row r="56">
      <c r="A56" s="34" t="s">
        <v>1901</v>
      </c>
      <c r="B56" s="34" t="s">
        <v>4550</v>
      </c>
      <c r="C56" s="34" t="s">
        <v>571</v>
      </c>
      <c r="D56" s="13" t="str">
        <f t="shared" si="1"/>
        <v>m</v>
      </c>
      <c r="E56" s="42">
        <f>countif(Constants!F:F,F56)</f>
        <v>2</v>
      </c>
      <c r="F56" s="21" t="str">
        <f>ifna(VLOOKUP($A56,'v2006'!$A:$F,6,false),"")</f>
        <v>ComptonWavelengthOver2Pi</v>
      </c>
      <c r="G56" s="21" t="str">
        <f>IFERROR(__xludf.DUMMYFUNCTION("REGEXREPLACE(substitute(substitute(B56,"" "",""""),""..."",""""),""\(.*\)"","""")"),"386.1592678e-15")</f>
        <v>386.1592678e-15</v>
      </c>
      <c r="H56" s="43">
        <f t="shared" si="2"/>
        <v>0</v>
      </c>
      <c r="I56" s="21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43">
        <f t="shared" si="3"/>
        <v>0</v>
      </c>
      <c r="K56" s="43" t="b">
        <f t="shared" si="4"/>
        <v>0</v>
      </c>
      <c r="L56" s="21" t="str">
        <f>IFERROR(__xludf.DUMMYFUNCTION("if(regexmatch(B56,""e(.*)$""),regexextract(B56,""e(.*)$""),"""")"),"-15")</f>
        <v>-15</v>
      </c>
    </row>
    <row r="57">
      <c r="A57" s="34" t="s">
        <v>827</v>
      </c>
      <c r="B57" s="34" t="s">
        <v>4551</v>
      </c>
      <c r="C57" s="34" t="s">
        <v>828</v>
      </c>
      <c r="D57" s="13" t="str">
        <f t="shared" si="1"/>
        <v>S</v>
      </c>
      <c r="E57" s="42">
        <f>countif(Constants!F:F,F57)</f>
        <v>1</v>
      </c>
      <c r="F57" s="21" t="str">
        <f>ifna(VLOOKUP($A57,'v2006'!$A:$F,6,false),"")</f>
        <v>ConductanceQuantum</v>
      </c>
      <c r="G57" s="21" t="str">
        <f>IFERROR(__xludf.DUMMYFUNCTION("REGEXREPLACE(substitute(substitute(B57,"" "",""""),""..."",""""),""\(.*\)"","""")"),"7.748091733e-5")</f>
        <v>7.748091733e-5</v>
      </c>
      <c r="H57" s="43">
        <f t="shared" si="2"/>
        <v>0.00007748091733</v>
      </c>
      <c r="I57" s="21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43">
        <f t="shared" si="3"/>
        <v>0</v>
      </c>
      <c r="K57" s="43" t="b">
        <f t="shared" si="4"/>
        <v>0</v>
      </c>
      <c r="L57" s="21" t="str">
        <f>IFERROR(__xludf.DUMMYFUNCTION("if(regexmatch(B57,""e(.*)$""),regexextract(B57,""e(.*)$""),"""")"),"-5")</f>
        <v>-5</v>
      </c>
    </row>
    <row r="58">
      <c r="A58" s="34" t="s">
        <v>846</v>
      </c>
      <c r="B58" s="34" t="s">
        <v>2326</v>
      </c>
      <c r="C58" s="34" t="s">
        <v>4234</v>
      </c>
      <c r="D58" s="13" t="str">
        <f t="shared" si="1"/>
        <v>Hz V^-1</v>
      </c>
      <c r="E58" s="42">
        <f>countif(Constants!F:F,F58)</f>
        <v>1</v>
      </c>
      <c r="F58" s="21" t="str">
        <f>ifna(VLOOKUP($A58,'v2006'!$A:$F,6,false),"")</f>
        <v>ConventionalValueOfJosephsonConstant</v>
      </c>
      <c r="G58" s="21" t="str">
        <f>IFERROR(__xludf.DUMMYFUNCTION("REGEXREPLACE(substitute(substitute(B58,"" "",""""),""..."",""""),""\(.*\)"","""")"),"483597.9e9")</f>
        <v>483597.9e9</v>
      </c>
      <c r="H58" s="43">
        <f t="shared" si="2"/>
        <v>483597900000000</v>
      </c>
      <c r="I58" s="21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43" t="str">
        <f t="shared" si="3"/>
        <v/>
      </c>
      <c r="K58" s="43" t="b">
        <f t="shared" si="4"/>
        <v>0</v>
      </c>
      <c r="L58" s="21" t="str">
        <f>IFERROR(__xludf.DUMMYFUNCTION("if(regexmatch(B58,""e(.*)$""),regexextract(B58,""e(.*)$""),"""")"),"9")</f>
        <v>9</v>
      </c>
    </row>
    <row r="59">
      <c r="A59" s="34" t="s">
        <v>858</v>
      </c>
      <c r="B59" s="34" t="s">
        <v>2328</v>
      </c>
      <c r="C59" s="34" t="s">
        <v>816</v>
      </c>
      <c r="D59" s="13" t="str">
        <f t="shared" si="1"/>
        <v>Ohm</v>
      </c>
      <c r="E59" s="42">
        <f>countif(Constants!F:F,F59)</f>
        <v>1</v>
      </c>
      <c r="F59" s="21" t="str">
        <f>ifna(VLOOKUP($A59,'v2006'!$A:$F,6,false),"")</f>
        <v>ConventionalValueOfVonKlitzingConstant</v>
      </c>
      <c r="G59" s="21" t="str">
        <f>IFERROR(__xludf.DUMMYFUNCTION("REGEXREPLACE(substitute(substitute(B59,"" "",""""),""..."",""""),""\(.*\)"","""")"),"25812.807")</f>
        <v>25812.807</v>
      </c>
      <c r="H59" s="43">
        <f t="shared" si="2"/>
        <v>25812.807</v>
      </c>
      <c r="I59" s="21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43" t="str">
        <f t="shared" si="3"/>
        <v/>
      </c>
      <c r="K59" s="43" t="b">
        <f t="shared" si="4"/>
        <v>0</v>
      </c>
      <c r="L59" s="21" t="str">
        <f>IFERROR(__xludf.DUMMYFUNCTION("if(regexmatch(B59,""e(.*)$""),regexextract(B59,""e(.*)$""),"""")"),"")</f>
        <v/>
      </c>
    </row>
    <row r="60">
      <c r="A60" s="34" t="s">
        <v>3311</v>
      </c>
      <c r="B60" s="34" t="s">
        <v>4552</v>
      </c>
      <c r="C60" s="34" t="s">
        <v>571</v>
      </c>
      <c r="D60" s="13" t="str">
        <f t="shared" si="1"/>
        <v>m</v>
      </c>
      <c r="E60" s="42">
        <f>countif(Constants!F:F,F60)</f>
        <v>1</v>
      </c>
      <c r="F60" s="21" t="str">
        <f>ifna(VLOOKUP($A60,'v2006'!$A:$F,6,false),"")</f>
        <v>CuXUnit</v>
      </c>
      <c r="G60" s="21" t="str">
        <f>IFERROR(__xludf.DUMMYFUNCTION("REGEXREPLACE(substitute(substitute(B60,"" "",""""),""..."",""""),""\(.*\)"","""")"),"1.00207710e-13")</f>
        <v>1.00207710e-13</v>
      </c>
      <c r="H60" s="43">
        <f t="shared" si="2"/>
        <v>0</v>
      </c>
      <c r="I60" s="21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43">
        <f t="shared" si="3"/>
        <v>0</v>
      </c>
      <c r="K60" s="43" t="b">
        <f t="shared" si="4"/>
        <v>0</v>
      </c>
      <c r="L60" s="21" t="str">
        <f>IFERROR(__xludf.DUMMYFUNCTION("if(regexmatch(B60,""e(.*)$""),regexextract(B60,""e(.*)$""),"""")"),"-13")</f>
        <v>-13</v>
      </c>
    </row>
    <row r="61">
      <c r="A61" s="34" t="s">
        <v>886</v>
      </c>
      <c r="B61" s="34" t="s">
        <v>4553</v>
      </c>
      <c r="C61" s="34" t="s">
        <v>4197</v>
      </c>
      <c r="D61" s="13" t="str">
        <f t="shared" si="1"/>
        <v>J T^-1</v>
      </c>
      <c r="E61" s="42">
        <f>countif(Constants!F:F,F61)</f>
        <v>1</v>
      </c>
      <c r="F61" s="21" t="str">
        <f>ifna(VLOOKUP($A61,'v2006'!$A:$F,6,false),"")</f>
        <v>DeuteronMagneticMoment</v>
      </c>
      <c r="G61" s="21" t="str">
        <f>IFERROR(__xludf.DUMMYFUNCTION("REGEXREPLACE(substitute(substitute(B61,"" "",""""),""..."",""""),""\(.*\)"","""")"),"0.433073482e-26")</f>
        <v>0.433073482e-26</v>
      </c>
      <c r="H61" s="43">
        <f t="shared" si="2"/>
        <v>0</v>
      </c>
      <c r="I61" s="21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43">
        <f t="shared" si="3"/>
        <v>0</v>
      </c>
      <c r="K61" s="43" t="b">
        <f t="shared" si="4"/>
        <v>0</v>
      </c>
      <c r="L61" s="21" t="str">
        <f>IFERROR(__xludf.DUMMYFUNCTION("if(regexmatch(B61,""e(.*)$""),regexextract(B61,""e(.*)$""),"""")"),"-26")</f>
        <v>-26</v>
      </c>
    </row>
    <row r="62">
      <c r="A62" s="34" t="s">
        <v>891</v>
      </c>
      <c r="B62" s="34" t="s">
        <v>4554</v>
      </c>
      <c r="C62" s="34"/>
      <c r="D62" s="13" t="str">
        <f t="shared" si="1"/>
        <v/>
      </c>
      <c r="E62" s="42">
        <f>countif(Constants!F:F,F62)</f>
        <v>1</v>
      </c>
      <c r="F62" s="21" t="str">
        <f>ifna(VLOOKUP($A62,'v2006'!$A:$F,6,false),"")</f>
        <v>DeuteronMagneticMomentToBohrMagnetonRatio</v>
      </c>
      <c r="G62" s="21" t="str">
        <f>IFERROR(__xludf.DUMMYFUNCTION("REGEXREPLACE(substitute(substitute(B62,"" "",""""),""..."",""""),""\(.*\)"","""")"),"0.4669754567e-3")</f>
        <v>0.4669754567e-3</v>
      </c>
      <c r="H62" s="43">
        <f t="shared" si="2"/>
        <v>0.0004669754567</v>
      </c>
      <c r="I62" s="21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43">
        <f t="shared" si="3"/>
        <v>0</v>
      </c>
      <c r="K62" s="43" t="b">
        <f t="shared" si="4"/>
        <v>0</v>
      </c>
      <c r="L62" s="21" t="str">
        <f>IFERROR(__xludf.DUMMYFUNCTION("if(regexmatch(B62,""e(.*)$""),regexextract(B62,""e(.*)$""),"""")"),"-3")</f>
        <v>-3</v>
      </c>
    </row>
    <row r="63">
      <c r="A63" s="34" t="s">
        <v>896</v>
      </c>
      <c r="B63" s="34" t="s">
        <v>4555</v>
      </c>
      <c r="C63" s="34"/>
      <c r="D63" s="13" t="str">
        <f t="shared" si="1"/>
        <v/>
      </c>
      <c r="E63" s="42">
        <f>countif(Constants!F:F,F63)</f>
        <v>1</v>
      </c>
      <c r="F63" s="21" t="str">
        <f>ifna(VLOOKUP($A63,'v2006'!$A:$F,6,false),"")</f>
        <v>DeuteronMagneticMomentToNuclearMagnetonRatio</v>
      </c>
      <c r="G63" s="21" t="str">
        <f>IFERROR(__xludf.DUMMYFUNCTION("REGEXREPLACE(substitute(substitute(B63,"" "",""""),""..."",""""),""\(.*\)"","""")"),"0.8574382329")</f>
        <v>0.8574382329</v>
      </c>
      <c r="H63" s="43">
        <f t="shared" si="2"/>
        <v>0.8574382329</v>
      </c>
      <c r="I63" s="21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43">
        <f t="shared" si="3"/>
        <v>0</v>
      </c>
      <c r="K63" s="43" t="b">
        <f t="shared" si="4"/>
        <v>0</v>
      </c>
      <c r="L63" s="21" t="str">
        <f>IFERROR(__xludf.DUMMYFUNCTION("if(regexmatch(B63,""e(.*)$""),regexextract(B63,""e(.*)$""),"""")"),"")</f>
        <v/>
      </c>
    </row>
    <row r="64">
      <c r="A64" s="34" t="s">
        <v>900</v>
      </c>
      <c r="B64" s="34" t="s">
        <v>4556</v>
      </c>
      <c r="C64" s="34" t="s">
        <v>538</v>
      </c>
      <c r="D64" s="13" t="str">
        <f t="shared" si="1"/>
        <v>kg</v>
      </c>
      <c r="E64" s="42">
        <f>countif(Constants!F:F,F64)</f>
        <v>1</v>
      </c>
      <c r="F64" s="21" t="str">
        <f>ifna(VLOOKUP($A64,'v2006'!$A:$F,6,false),"")</f>
        <v>DeuteronMass</v>
      </c>
      <c r="G64" s="21" t="str">
        <f>IFERROR(__xludf.DUMMYFUNCTION("REGEXREPLACE(substitute(substitute(B64,"" "",""""),""..."",""""),""\(.*\)"","""")"),"3.34358335e-27")</f>
        <v>3.34358335e-27</v>
      </c>
      <c r="H64" s="43">
        <f t="shared" si="2"/>
        <v>0</v>
      </c>
      <c r="I64" s="21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43">
        <f t="shared" si="3"/>
        <v>0</v>
      </c>
      <c r="K64" s="43" t="b">
        <f t="shared" si="4"/>
        <v>0</v>
      </c>
      <c r="L64" s="21" t="str">
        <f>IFERROR(__xludf.DUMMYFUNCTION("if(regexmatch(B64,""e(.*)$""),regexextract(B64,""e(.*)$""),"""")"),"-27")</f>
        <v>-27</v>
      </c>
    </row>
    <row r="65">
      <c r="A65" s="34" t="s">
        <v>904</v>
      </c>
      <c r="B65" s="34" t="s">
        <v>4557</v>
      </c>
      <c r="C65" s="34" t="s">
        <v>543</v>
      </c>
      <c r="D65" s="13" t="str">
        <f t="shared" si="1"/>
        <v>J</v>
      </c>
      <c r="E65" s="42">
        <f>countif(Constants!F:F,F65)</f>
        <v>1</v>
      </c>
      <c r="F65" s="21" t="str">
        <f>ifna(VLOOKUP($A65,'v2006'!$A:$F,6,false),"")</f>
        <v>DeuteronMassEnergyEquivalent</v>
      </c>
      <c r="G65" s="21" t="str">
        <f>IFERROR(__xludf.DUMMYFUNCTION("REGEXREPLACE(substitute(substitute(B65,"" "",""""),""..."",""""),""\(.*\)"","""")"),"3.00506285e-10")</f>
        <v>3.00506285e-10</v>
      </c>
      <c r="H65" s="43">
        <f t="shared" si="2"/>
        <v>0.000000000300506285</v>
      </c>
      <c r="I65" s="21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43">
        <f t="shared" si="3"/>
        <v>0</v>
      </c>
      <c r="K65" s="43" t="b">
        <f t="shared" si="4"/>
        <v>0</v>
      </c>
      <c r="L65" s="21" t="str">
        <f>IFERROR(__xludf.DUMMYFUNCTION("if(regexmatch(B65,""e(.*)$""),regexextract(B65,""e(.*)$""),"""")"),"-10")</f>
        <v>-10</v>
      </c>
    </row>
    <row r="66">
      <c r="A66" s="34" t="s">
        <v>908</v>
      </c>
      <c r="B66" s="34" t="s">
        <v>4558</v>
      </c>
      <c r="C66" s="34" t="s">
        <v>548</v>
      </c>
      <c r="D66" s="13" t="str">
        <f t="shared" si="1"/>
        <v>MeV</v>
      </c>
      <c r="E66" s="42">
        <f>countif(Constants!F:F,F66)</f>
        <v>1</v>
      </c>
      <c r="F66" s="21" t="str">
        <f>ifna(VLOOKUP($A66,'v2006'!$A:$F,6,false),"")</f>
        <v>DeuteronMassEnergyEquivalentInMeV</v>
      </c>
      <c r="G66" s="21" t="str">
        <f>IFERROR(__xludf.DUMMYFUNCTION("REGEXREPLACE(substitute(substitute(B66,"" "",""""),""..."",""""),""\(.*\)"","""")"),"1875.61282")</f>
        <v>1875.61282</v>
      </c>
      <c r="H66" s="43">
        <f t="shared" si="2"/>
        <v>1875.61282</v>
      </c>
      <c r="I66" s="21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43">
        <f t="shared" si="3"/>
        <v>0.0000016</v>
      </c>
      <c r="K66" s="43" t="b">
        <f t="shared" si="4"/>
        <v>0</v>
      </c>
      <c r="L66" s="21" t="str">
        <f>IFERROR(__xludf.DUMMYFUNCTION("if(regexmatch(B66,""e(.*)$""),regexextract(B66,""e(.*)$""),"""")"),"")</f>
        <v/>
      </c>
    </row>
    <row r="67">
      <c r="A67" s="34" t="s">
        <v>911</v>
      </c>
      <c r="B67" s="34" t="s">
        <v>4559</v>
      </c>
      <c r="C67" s="34" t="s">
        <v>553</v>
      </c>
      <c r="D67" s="13" t="str">
        <f t="shared" si="1"/>
        <v>u</v>
      </c>
      <c r="E67" s="42">
        <f>countif(Constants!F:F,F67)</f>
        <v>1</v>
      </c>
      <c r="F67" s="21" t="str">
        <f>ifna(VLOOKUP($A67,'v2006'!$A:$F,6,false),"")</f>
        <v>DeuteronMassInAtomicMassUnit</v>
      </c>
      <c r="G67" s="21" t="str">
        <f>IFERROR(__xludf.DUMMYFUNCTION("REGEXREPLACE(substitute(substitute(B67,"" "",""""),""..."",""""),""\(.*\)"","""")"),"2.01355321270")</f>
        <v>2.01355321270</v>
      </c>
      <c r="H67" s="43">
        <f t="shared" si="2"/>
        <v>2.013553213</v>
      </c>
      <c r="I67" s="21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43">
        <f t="shared" si="3"/>
        <v>0</v>
      </c>
      <c r="K67" s="43" t="b">
        <f t="shared" si="4"/>
        <v>0</v>
      </c>
      <c r="L67" s="21" t="str">
        <f>IFERROR(__xludf.DUMMYFUNCTION("if(regexmatch(B67,""e(.*)$""),regexextract(B67,""e(.*)$""),"""")"),"")</f>
        <v/>
      </c>
    </row>
    <row r="68">
      <c r="A68" s="34" t="s">
        <v>914</v>
      </c>
      <c r="B68" s="34" t="s">
        <v>4560</v>
      </c>
      <c r="C68" s="34" t="s">
        <v>4163</v>
      </c>
      <c r="D68" s="13" t="str">
        <f t="shared" si="1"/>
        <v>kg mol^-1</v>
      </c>
      <c r="E68" s="42">
        <f>countif(Constants!F:F,F68)</f>
        <v>1</v>
      </c>
      <c r="F68" s="21" t="str">
        <f>ifna(VLOOKUP($A68,'v2006'!$A:$F,6,false),"")</f>
        <v>DeuteronMolarMass</v>
      </c>
      <c r="G68" s="21" t="str">
        <f>IFERROR(__xludf.DUMMYFUNCTION("REGEXREPLACE(substitute(substitute(B68,"" "",""""),""..."",""""),""\(.*\)"","""")"),"2.01355321270e-3")</f>
        <v>2.01355321270e-3</v>
      </c>
      <c r="H68" s="43">
        <f t="shared" si="2"/>
        <v>0.002013553213</v>
      </c>
      <c r="I68" s="21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43">
        <f t="shared" si="3"/>
        <v>0</v>
      </c>
      <c r="K68" s="43" t="b">
        <f t="shared" si="4"/>
        <v>0</v>
      </c>
      <c r="L68" s="21" t="str">
        <f>IFERROR(__xludf.DUMMYFUNCTION("if(regexmatch(B68,""e(.*)$""),regexextract(B68,""e(.*)$""),"""")"),"-3")</f>
        <v>-3</v>
      </c>
    </row>
    <row r="69">
      <c r="A69" s="34" t="s">
        <v>936</v>
      </c>
      <c r="B69" s="34" t="s">
        <v>4561</v>
      </c>
      <c r="C69" s="34" t="s">
        <v>571</v>
      </c>
      <c r="D69" s="13" t="str">
        <f t="shared" si="1"/>
        <v>m</v>
      </c>
      <c r="E69" s="42">
        <f>countif(Constants!F:F,F69)</f>
        <v>1</v>
      </c>
      <c r="F69" s="21" t="str">
        <f>ifna(VLOOKUP($A69,'v2006'!$A:$F,6,false),"")</f>
        <v>DeuteronRmsChargeRadius</v>
      </c>
      <c r="G69" s="21" t="str">
        <f>IFERROR(__xludf.DUMMYFUNCTION("REGEXREPLACE(substitute(substitute(B69,"" "",""""),""..."",""""),""\(.*\)"","""")"),"2.1394e-15")</f>
        <v>2.1394e-15</v>
      </c>
      <c r="H69" s="43">
        <f t="shared" si="2"/>
        <v>0</v>
      </c>
      <c r="I69" s="21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43">
        <f t="shared" si="3"/>
        <v>0</v>
      </c>
      <c r="K69" s="43" t="b">
        <f t="shared" si="4"/>
        <v>0</v>
      </c>
      <c r="L69" s="21" t="str">
        <f>IFERROR(__xludf.DUMMYFUNCTION("if(regexmatch(B69,""e(.*)$""),regexextract(B69,""e(.*)$""),"""")"),"-15")</f>
        <v>-15</v>
      </c>
    </row>
    <row r="70">
      <c r="A70" s="34" t="s">
        <v>4245</v>
      </c>
      <c r="B70" s="34" t="s">
        <v>4562</v>
      </c>
      <c r="C70" s="34"/>
      <c r="D70" s="13" t="str">
        <f t="shared" si="1"/>
        <v/>
      </c>
      <c r="E70" s="42">
        <f>countif(Constants!F:F,F70)</f>
        <v>1</v>
      </c>
      <c r="F70" s="21" t="str">
        <f>ifna(VLOOKUP($A70,'v2006'!$A:$F,6,false),"")</f>
        <v>DeuteronElectronMagneticMomentRatio</v>
      </c>
      <c r="G70" s="21" t="str">
        <f>IFERROR(__xludf.DUMMYFUNCTION("REGEXREPLACE(substitute(substitute(B70,"" "",""""),""..."",""""),""\(.*\)"","""")"),"-4.664345548e-4")</f>
        <v>-4.664345548e-4</v>
      </c>
      <c r="H70" s="43">
        <f t="shared" si="2"/>
        <v>-0.0004664345548</v>
      </c>
      <c r="I70" s="21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43">
        <f t="shared" si="3"/>
        <v>0</v>
      </c>
      <c r="K70" s="43" t="b">
        <f t="shared" si="4"/>
        <v>0</v>
      </c>
      <c r="L70" s="21" t="str">
        <f>IFERROR(__xludf.DUMMYFUNCTION("if(regexmatch(B70,""e(.*)$""),regexextract(B70,""e(.*)$""),"""")"),"-4")</f>
        <v>-4</v>
      </c>
    </row>
    <row r="71">
      <c r="A71" s="34" t="s">
        <v>876</v>
      </c>
      <c r="B71" s="34" t="s">
        <v>4563</v>
      </c>
      <c r="C71" s="34"/>
      <c r="D71" s="13" t="str">
        <f t="shared" si="1"/>
        <v/>
      </c>
      <c r="E71" s="42">
        <f>countif(Constants!F:F,F71)</f>
        <v>1</v>
      </c>
      <c r="F71" s="21" t="str">
        <f>ifna(VLOOKUP($A71,'v2006'!$A:$F,6,false),"")</f>
        <v>DeuteronElectronMassRatio</v>
      </c>
      <c r="G71" s="21" t="str">
        <f>IFERROR(__xludf.DUMMYFUNCTION("REGEXREPLACE(substitute(substitute(B71,"" "",""""),""..."",""""),""\(.*\)"","""")"),"3670.4829652")</f>
        <v>3670.4829652</v>
      </c>
      <c r="H71" s="43">
        <f t="shared" si="2"/>
        <v>3670.482965</v>
      </c>
      <c r="I71" s="21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43">
        <f t="shared" si="3"/>
        <v>0.000000018</v>
      </c>
      <c r="K71" s="43" t="b">
        <f t="shared" si="4"/>
        <v>0</v>
      </c>
      <c r="L71" s="21" t="str">
        <f>IFERROR(__xludf.DUMMYFUNCTION("if(regexmatch(B71,""e(.*)$""),regexextract(B71,""e(.*)$""),"""")"),"")</f>
        <v/>
      </c>
    </row>
    <row r="72">
      <c r="A72" s="34" t="s">
        <v>4248</v>
      </c>
      <c r="B72" s="34" t="s">
        <v>4249</v>
      </c>
      <c r="C72" s="34"/>
      <c r="D72" s="13" t="str">
        <f t="shared" si="1"/>
        <v/>
      </c>
      <c r="E72" s="42">
        <f>countif(Constants!F:F,F72)</f>
        <v>1</v>
      </c>
      <c r="F72" s="21" t="str">
        <f>ifna(VLOOKUP($A72,'v2006'!$A:$F,6,false),"")</f>
        <v>DeuteronNeutronMagneticMomentRatio</v>
      </c>
      <c r="G72" s="21" t="str">
        <f>IFERROR(__xludf.DUMMYFUNCTION("REGEXREPLACE(substitute(substitute(B72,"" "",""""),""..."",""""),""\(.*\)"","""")"),"-0.44820652")</f>
        <v>-0.44820652</v>
      </c>
      <c r="H72" s="43">
        <f t="shared" si="2"/>
        <v>-0.44820652</v>
      </c>
      <c r="I72" s="21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43">
        <f t="shared" si="3"/>
        <v>0.0000000011</v>
      </c>
      <c r="K72" s="43" t="b">
        <f t="shared" si="4"/>
        <v>0</v>
      </c>
      <c r="L72" s="21" t="str">
        <f>IFERROR(__xludf.DUMMYFUNCTION("if(regexmatch(B72,""e(.*)$""),regexextract(B72,""e(.*)$""),"""")"),"")</f>
        <v/>
      </c>
    </row>
    <row r="73">
      <c r="A73" s="34" t="s">
        <v>4250</v>
      </c>
      <c r="B73" s="34" t="s">
        <v>4564</v>
      </c>
      <c r="C73" s="34"/>
      <c r="D73" s="13" t="str">
        <f t="shared" si="1"/>
        <v/>
      </c>
      <c r="E73" s="42">
        <f>countif(Constants!F:F,F73)</f>
        <v>1</v>
      </c>
      <c r="F73" s="21" t="str">
        <f>ifna(VLOOKUP($A73,'v2006'!$A:$F,6,false),"")</f>
        <v>DeuteronProtonMagneticMomentRatio</v>
      </c>
      <c r="G73" s="21" t="str">
        <f>IFERROR(__xludf.DUMMYFUNCTION("REGEXREPLACE(substitute(substitute(B73,"" "",""""),""..."",""""),""\(.*\)"","""")"),"0.3070122084")</f>
        <v>0.3070122084</v>
      </c>
      <c r="H73" s="43">
        <f t="shared" si="2"/>
        <v>0.3070122084</v>
      </c>
      <c r="I73" s="21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43">
        <f t="shared" si="3"/>
        <v>0</v>
      </c>
      <c r="K73" s="43" t="b">
        <f t="shared" si="4"/>
        <v>0</v>
      </c>
      <c r="L73" s="21" t="str">
        <f>IFERROR(__xludf.DUMMYFUNCTION("if(regexmatch(B73,""e(.*)$""),regexextract(B73,""e(.*)$""),"""")"),"")</f>
        <v/>
      </c>
    </row>
    <row r="74">
      <c r="A74" s="34" t="s">
        <v>928</v>
      </c>
      <c r="B74" s="34" t="s">
        <v>4565</v>
      </c>
      <c r="C74" s="34"/>
      <c r="D74" s="13" t="str">
        <f t="shared" si="1"/>
        <v/>
      </c>
      <c r="E74" s="42">
        <f>countif(Constants!F:F,F74)</f>
        <v>1</v>
      </c>
      <c r="F74" s="21" t="str">
        <f>ifna(VLOOKUP($A74,'v2006'!$A:$F,6,false),"")</f>
        <v>DeuteronProtonMassRatio</v>
      </c>
      <c r="G74" s="21" t="str">
        <f>IFERROR(__xludf.DUMMYFUNCTION("REGEXREPLACE(substitute(substitute(B74,"" "",""""),""..."",""""),""\(.*\)"","""")"),"1.99900750082")</f>
        <v>1.99900750082</v>
      </c>
      <c r="H74" s="43">
        <f t="shared" si="2"/>
        <v>1.999007501</v>
      </c>
      <c r="I74" s="21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43">
        <f t="shared" si="3"/>
        <v>0</v>
      </c>
      <c r="K74" s="43" t="b">
        <f t="shared" si="4"/>
        <v>0</v>
      </c>
      <c r="L74" s="21" t="str">
        <f>IFERROR(__xludf.DUMMYFUNCTION("if(regexmatch(B74,""e(.*)$""),regexextract(B74,""e(.*)$""),"""")"),"")</f>
        <v/>
      </c>
    </row>
    <row r="75">
      <c r="A75" s="34" t="s">
        <v>2177</v>
      </c>
      <c r="B75" s="34" t="s">
        <v>4253</v>
      </c>
      <c r="C75" s="34" t="s">
        <v>4206</v>
      </c>
      <c r="D75" s="13" t="str">
        <f t="shared" si="1"/>
        <v>F m^-1</v>
      </c>
      <c r="E75" s="42">
        <f>countif(Constants!F:F,F75)</f>
        <v>1</v>
      </c>
      <c r="F75" s="21" t="str">
        <f>ifna(VLOOKUP($A75,'v2006'!$A:$F,6,false),"")</f>
        <v>ElectricConstant</v>
      </c>
      <c r="G75" s="21" t="str">
        <f>IFERROR(__xludf.DUMMYFUNCTION("REGEXREPLACE(substitute(substitute(B75,"" "",""""),""..."",""""),""\(.*\)"","""")"),"8.854187817e-12")</f>
        <v>8.854187817e-12</v>
      </c>
      <c r="H75" s="43">
        <f t="shared" si="2"/>
        <v>0</v>
      </c>
      <c r="I75" s="21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43" t="str">
        <f t="shared" si="3"/>
        <v/>
      </c>
      <c r="K75" s="43" t="b">
        <f t="shared" si="4"/>
        <v>1</v>
      </c>
      <c r="L75" s="21" t="str">
        <f>IFERROR(__xludf.DUMMYFUNCTION("if(regexmatch(B75,""e(.*)$""),regexextract(B75,""e(.*)$""),"""")"),"-12")</f>
        <v>-12</v>
      </c>
    </row>
    <row r="76">
      <c r="A76" s="34" t="s">
        <v>940</v>
      </c>
      <c r="B76" s="34" t="s">
        <v>4566</v>
      </c>
      <c r="C76" s="34" t="s">
        <v>4255</v>
      </c>
      <c r="D76" s="13" t="str">
        <f t="shared" si="1"/>
        <v>C kg^-1</v>
      </c>
      <c r="E76" s="42">
        <f>countif(Constants!F:F,F76)</f>
        <v>1</v>
      </c>
      <c r="F76" s="21" t="str">
        <f>ifna(VLOOKUP($A76,'v2006'!$A:$F,6,false),"")</f>
        <v>ElectronChargeToMassQuotient</v>
      </c>
      <c r="G76" s="21" t="str">
        <f>IFERROR(__xludf.DUMMYFUNCTION("REGEXREPLACE(substitute(substitute(B76,"" "",""""),""..."",""""),""\(.*\)"","""")"),"-1.75882012e11")</f>
        <v>-1.75882012e11</v>
      </c>
      <c r="H76" s="43">
        <f t="shared" si="2"/>
        <v>-175882012000</v>
      </c>
      <c r="I76" s="21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43">
        <f t="shared" si="3"/>
        <v>150</v>
      </c>
      <c r="K76" s="43" t="b">
        <f t="shared" si="4"/>
        <v>0</v>
      </c>
      <c r="L76" s="21" t="str">
        <f>IFERROR(__xludf.DUMMYFUNCTION("if(regexmatch(B76,""e(.*)$""),regexextract(B76,""e(.*)$""),"""")"),"11")</f>
        <v>11</v>
      </c>
    </row>
    <row r="77">
      <c r="A77" s="34" t="s">
        <v>956</v>
      </c>
      <c r="B77" s="34" t="s">
        <v>4567</v>
      </c>
      <c r="C77" s="34"/>
      <c r="D77" s="13" t="str">
        <f t="shared" si="1"/>
        <v/>
      </c>
      <c r="E77" s="42">
        <f>countif(Constants!F:F,F77)</f>
        <v>1</v>
      </c>
      <c r="F77" s="21" t="str">
        <f>ifna(VLOOKUP($A77,'v2006'!$A:$F,6,false),"")</f>
        <v>ElectronGFactor</v>
      </c>
      <c r="G77" s="21" t="str">
        <f>IFERROR(__xludf.DUMMYFUNCTION("REGEXREPLACE(substitute(substitute(B77,"" "",""""),""..."",""""),""\(.*\)"","""")"),"-2.0023193043718")</f>
        <v>-2.0023193043718</v>
      </c>
      <c r="H77" s="43">
        <f t="shared" si="2"/>
        <v>-2.002319304</v>
      </c>
      <c r="I77" s="21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43">
        <f t="shared" si="3"/>
        <v>0</v>
      </c>
      <c r="K77" s="43" t="b">
        <f t="shared" si="4"/>
        <v>0</v>
      </c>
      <c r="L77" s="21" t="str">
        <f>IFERROR(__xludf.DUMMYFUNCTION("if(regexmatch(B77,""e(.*)$""),regexextract(B77,""e(.*)$""),"""")"),"")</f>
        <v/>
      </c>
    </row>
    <row r="78">
      <c r="A78" s="34" t="s">
        <v>962</v>
      </c>
      <c r="B78" s="34" t="s">
        <v>4568</v>
      </c>
      <c r="C78" s="34" t="s">
        <v>4258</v>
      </c>
      <c r="D78" s="13" t="str">
        <f t="shared" si="1"/>
        <v>s^-1 T^-1</v>
      </c>
      <c r="E78" s="42">
        <f>countif(Constants!F:F,F78)</f>
        <v>1</v>
      </c>
      <c r="F78" s="21" t="str">
        <f>ifna(VLOOKUP($A78,'v2006'!$A:$F,6,false),"")</f>
        <v>ElectronGyromagneticRatio</v>
      </c>
      <c r="G78" s="21" t="str">
        <f>IFERROR(__xludf.DUMMYFUNCTION("REGEXREPLACE(substitute(substitute(B78,"" "",""""),""..."",""""),""\(.*\)"","""")"),"1.76085974e11")</f>
        <v>1.76085974e11</v>
      </c>
      <c r="H78" s="43">
        <f t="shared" si="2"/>
        <v>176085974000</v>
      </c>
      <c r="I78" s="21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43">
        <f t="shared" si="3"/>
        <v>150</v>
      </c>
      <c r="K78" s="43" t="b">
        <f t="shared" si="4"/>
        <v>0</v>
      </c>
      <c r="L78" s="21" t="str">
        <f>IFERROR(__xludf.DUMMYFUNCTION("if(regexmatch(B78,""e(.*)$""),regexextract(B78,""e(.*)$""),"""")"),"11")</f>
        <v>11</v>
      </c>
    </row>
    <row r="79">
      <c r="A79" s="34" t="s">
        <v>970</v>
      </c>
      <c r="B79" s="34" t="s">
        <v>4569</v>
      </c>
      <c r="C79" s="34" t="s">
        <v>4260</v>
      </c>
      <c r="D79" s="13" t="str">
        <f t="shared" si="1"/>
        <v>MHz T^-1</v>
      </c>
      <c r="E79" s="42">
        <f>countif(Constants!F:F,F79)</f>
        <v>1</v>
      </c>
      <c r="F79" s="21" t="str">
        <f>ifna(VLOOKUP($A79,'v2006'!$A:$F,6,false),"")</f>
        <v>ElectronGyromagneticRatioOver2Pi</v>
      </c>
      <c r="G79" s="21" t="str">
        <f>IFERROR(__xludf.DUMMYFUNCTION("REGEXREPLACE(substitute(substitute(B79,"" "",""""),""..."",""""),""\(.*\)"","""")"),"28024.9532")</f>
        <v>28024.9532</v>
      </c>
      <c r="H79" s="43">
        <f t="shared" si="2"/>
        <v>28024.9532</v>
      </c>
      <c r="I79" s="21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43">
        <f t="shared" si="3"/>
        <v>0.000024</v>
      </c>
      <c r="K79" s="43" t="b">
        <f t="shared" si="4"/>
        <v>0</v>
      </c>
      <c r="L79" s="21" t="str">
        <f>IFERROR(__xludf.DUMMYFUNCTION("if(regexmatch(B79,""e(.*)$""),regexextract(B79,""e(.*)$""),"""")"),"")</f>
        <v/>
      </c>
    </row>
    <row r="80">
      <c r="A80" s="34" t="s">
        <v>980</v>
      </c>
      <c r="B80" s="34" t="s">
        <v>4570</v>
      </c>
      <c r="C80" s="34" t="s">
        <v>4197</v>
      </c>
      <c r="D80" s="13" t="str">
        <f t="shared" si="1"/>
        <v>J T^-1</v>
      </c>
      <c r="E80" s="42">
        <f>countif(Constants!F:F,F80)</f>
        <v>1</v>
      </c>
      <c r="F80" s="21" t="str">
        <f>ifna(VLOOKUP($A80,'v2006'!$A:$F,6,false),"")</f>
        <v>ElectronMagneticMoment</v>
      </c>
      <c r="G80" s="21" t="str">
        <f>IFERROR(__xludf.DUMMYFUNCTION("REGEXREPLACE(substitute(substitute(B80,"" "",""""),""..."",""""),""\(.*\)"","""")"),"-928.476411e-26")</f>
        <v>-928.476411e-26</v>
      </c>
      <c r="H80" s="43">
        <f t="shared" si="2"/>
        <v>0</v>
      </c>
      <c r="I80" s="21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43">
        <f t="shared" si="3"/>
        <v>0</v>
      </c>
      <c r="K80" s="43" t="b">
        <f t="shared" si="4"/>
        <v>0</v>
      </c>
      <c r="L80" s="21" t="str">
        <f>IFERROR(__xludf.DUMMYFUNCTION("if(regexmatch(B80,""e(.*)$""),regexextract(B80,""e(.*)$""),"""")"),"-26")</f>
        <v>-26</v>
      </c>
    </row>
    <row r="81">
      <c r="A81" s="34" t="s">
        <v>985</v>
      </c>
      <c r="B81" s="34" t="s">
        <v>4571</v>
      </c>
      <c r="C81" s="34"/>
      <c r="D81" s="13" t="str">
        <f t="shared" si="1"/>
        <v/>
      </c>
      <c r="E81" s="42">
        <f>countif(Constants!F:F,F81)</f>
        <v>1</v>
      </c>
      <c r="F81" s="21" t="str">
        <f>ifna(VLOOKUP($A81,'v2006'!$A:$F,6,false),"")</f>
        <v>ElectronMagneticMomentAnomaly</v>
      </c>
      <c r="G81" s="21" t="str">
        <f>IFERROR(__xludf.DUMMYFUNCTION("REGEXREPLACE(substitute(substitute(B81,"" "",""""),""..."",""""),""\(.*\)"","""")"),"1.1596521859e-3")</f>
        <v>1.1596521859e-3</v>
      </c>
      <c r="H81" s="43">
        <f t="shared" si="2"/>
        <v>0.001159652186</v>
      </c>
      <c r="I81" s="21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43">
        <f t="shared" si="3"/>
        <v>0</v>
      </c>
      <c r="K81" s="43" t="b">
        <f t="shared" si="4"/>
        <v>0</v>
      </c>
      <c r="L81" s="21" t="str">
        <f>IFERROR(__xludf.DUMMYFUNCTION("if(regexmatch(B81,""e(.*)$""),regexextract(B81,""e(.*)$""),"""")"),"-3")</f>
        <v>-3</v>
      </c>
    </row>
    <row r="82">
      <c r="A82" s="34" t="s">
        <v>990</v>
      </c>
      <c r="B82" s="34" t="s">
        <v>4572</v>
      </c>
      <c r="C82" s="34"/>
      <c r="D82" s="13" t="str">
        <f t="shared" si="1"/>
        <v/>
      </c>
      <c r="E82" s="42">
        <f>countif(Constants!F:F,F82)</f>
        <v>1</v>
      </c>
      <c r="F82" s="21" t="str">
        <f>ifna(VLOOKUP($A82,'v2006'!$A:$F,6,false),"")</f>
        <v>ElectronMagneticMomentToBohrMagnetonRatio</v>
      </c>
      <c r="G82" s="21" t="str">
        <f>IFERROR(__xludf.DUMMYFUNCTION("REGEXREPLACE(substitute(substitute(B82,"" "",""""),""..."",""""),""\(.*\)"","""")"),"-1.0011596521859")</f>
        <v>-1.0011596521859</v>
      </c>
      <c r="H82" s="43">
        <f t="shared" si="2"/>
        <v>-1.001159652</v>
      </c>
      <c r="I82" s="21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43">
        <f t="shared" si="3"/>
        <v>0</v>
      </c>
      <c r="K82" s="43" t="b">
        <f t="shared" si="4"/>
        <v>0</v>
      </c>
      <c r="L82" s="21" t="str">
        <f>IFERROR(__xludf.DUMMYFUNCTION("if(regexmatch(B82,""e(.*)$""),regexextract(B82,""e(.*)$""),"""")"),"")</f>
        <v/>
      </c>
    </row>
    <row r="83">
      <c r="A83" s="34" t="s">
        <v>995</v>
      </c>
      <c r="B83" s="34" t="s">
        <v>4573</v>
      </c>
      <c r="C83" s="34"/>
      <c r="D83" s="13" t="str">
        <f t="shared" si="1"/>
        <v/>
      </c>
      <c r="E83" s="42">
        <f>countif(Constants!F:F,F83)</f>
        <v>1</v>
      </c>
      <c r="F83" s="21" t="str">
        <f>ifna(VLOOKUP($A83,'v2006'!$A:$F,6,false),"")</f>
        <v>ElectronMagneticMomentToNuclearMagnetonRatio</v>
      </c>
      <c r="G83" s="21" t="str">
        <f>IFERROR(__xludf.DUMMYFUNCTION("REGEXREPLACE(substitute(substitute(B83,"" "",""""),""..."",""""),""\(.*\)"","""")"),"-1838.28197107")</f>
        <v>-1838.28197107</v>
      </c>
      <c r="H83" s="43">
        <f t="shared" si="2"/>
        <v>-1838.281971</v>
      </c>
      <c r="I83" s="21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43">
        <f t="shared" si="3"/>
        <v>0.0000000085</v>
      </c>
      <c r="K83" s="43" t="b">
        <f t="shared" si="4"/>
        <v>0</v>
      </c>
      <c r="L83" s="21" t="str">
        <f>IFERROR(__xludf.DUMMYFUNCTION("if(regexmatch(B83,""e(.*)$""),regexextract(B83,""e(.*)$""),"""")"),"")</f>
        <v/>
      </c>
    </row>
    <row r="84">
      <c r="A84" s="34" t="s">
        <v>999</v>
      </c>
      <c r="B84" s="34" t="s">
        <v>4540</v>
      </c>
      <c r="C84" s="34" t="s">
        <v>538</v>
      </c>
      <c r="D84" s="13" t="str">
        <f t="shared" si="1"/>
        <v>kg</v>
      </c>
      <c r="E84" s="42">
        <f>countif(Constants!F:F,F84)</f>
        <v>1</v>
      </c>
      <c r="F84" s="21" t="str">
        <f>ifna(VLOOKUP($A84,'v2006'!$A:$F,6,false),"")</f>
        <v>ElectronMass</v>
      </c>
      <c r="G84" s="21" t="str">
        <f>IFERROR(__xludf.DUMMYFUNCTION("REGEXREPLACE(substitute(substitute(B84,"" "",""""),""..."",""""),""\(.*\)"","""")"),"9.1093826e-31")</f>
        <v>9.1093826e-31</v>
      </c>
      <c r="H84" s="43">
        <f t="shared" si="2"/>
        <v>0</v>
      </c>
      <c r="I84" s="21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43">
        <f t="shared" si="3"/>
        <v>0</v>
      </c>
      <c r="K84" s="43" t="b">
        <f t="shared" si="4"/>
        <v>0</v>
      </c>
      <c r="L84" s="21" t="str">
        <f>IFERROR(__xludf.DUMMYFUNCTION("if(regexmatch(B84,""e(.*)$""),regexextract(B84,""e(.*)$""),"""")"),"-31")</f>
        <v>-31</v>
      </c>
    </row>
    <row r="85">
      <c r="A85" s="34" t="s">
        <v>1004</v>
      </c>
      <c r="B85" s="34" t="s">
        <v>4574</v>
      </c>
      <c r="C85" s="34" t="s">
        <v>543</v>
      </c>
      <c r="D85" s="13" t="str">
        <f t="shared" si="1"/>
        <v>J</v>
      </c>
      <c r="E85" s="42">
        <f>countif(Constants!F:F,F85)</f>
        <v>1</v>
      </c>
      <c r="F85" s="21" t="str">
        <f>ifna(VLOOKUP($A85,'v2006'!$A:$F,6,false),"")</f>
        <v>ElectronMassEnergyEquivalent</v>
      </c>
      <c r="G85" s="21" t="str">
        <f>IFERROR(__xludf.DUMMYFUNCTION("REGEXREPLACE(substitute(substitute(B85,"" "",""""),""..."",""""),""\(.*\)"","""")"),"8.1871047e-14")</f>
        <v>8.1871047e-14</v>
      </c>
      <c r="H85" s="43">
        <f t="shared" si="2"/>
        <v>0</v>
      </c>
      <c r="I85" s="21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43">
        <f t="shared" si="3"/>
        <v>0</v>
      </c>
      <c r="K85" s="43" t="b">
        <f t="shared" si="4"/>
        <v>0</v>
      </c>
      <c r="L85" s="21" t="str">
        <f>IFERROR(__xludf.DUMMYFUNCTION("if(regexmatch(B85,""e(.*)$""),regexextract(B85,""e(.*)$""),"""")"),"-14")</f>
        <v>-14</v>
      </c>
    </row>
    <row r="86">
      <c r="A86" s="34" t="s">
        <v>1008</v>
      </c>
      <c r="B86" s="34" t="s">
        <v>4575</v>
      </c>
      <c r="C86" s="34" t="s">
        <v>548</v>
      </c>
      <c r="D86" s="13" t="str">
        <f t="shared" si="1"/>
        <v>MeV</v>
      </c>
      <c r="E86" s="42">
        <f>countif(Constants!F:F,F86)</f>
        <v>1</v>
      </c>
      <c r="F86" s="21" t="str">
        <f>ifna(VLOOKUP($A86,'v2006'!$A:$F,6,false),"")</f>
        <v>ElectronMassEnergyEquivalentInMeV</v>
      </c>
      <c r="G86" s="21" t="str">
        <f>IFERROR(__xludf.DUMMYFUNCTION("REGEXREPLACE(substitute(substitute(B86,"" "",""""),""..."",""""),""\(.*\)"","""")"),"0.510998918")</f>
        <v>0.510998918</v>
      </c>
      <c r="H86" s="43">
        <f t="shared" si="2"/>
        <v>0.510998918</v>
      </c>
      <c r="I86" s="21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43">
        <f t="shared" si="3"/>
        <v>0.00000000044</v>
      </c>
      <c r="K86" s="43" t="b">
        <f t="shared" si="4"/>
        <v>0</v>
      </c>
      <c r="L86" s="21" t="str">
        <f>IFERROR(__xludf.DUMMYFUNCTION("if(regexmatch(B86,""e(.*)$""),regexextract(B86,""e(.*)$""),"""")"),"")</f>
        <v/>
      </c>
    </row>
    <row r="87">
      <c r="A87" s="34" t="s">
        <v>1011</v>
      </c>
      <c r="B87" s="34" t="s">
        <v>4576</v>
      </c>
      <c r="C87" s="34" t="s">
        <v>553</v>
      </c>
      <c r="D87" s="13" t="str">
        <f t="shared" si="1"/>
        <v>u</v>
      </c>
      <c r="E87" s="42">
        <f>countif(Constants!F:F,F87)</f>
        <v>1</v>
      </c>
      <c r="F87" s="21" t="str">
        <f>ifna(VLOOKUP($A87,'v2006'!$A:$F,6,false),"")</f>
        <v>ElectronMassInAtomicMassUnit</v>
      </c>
      <c r="G87" s="21" t="str">
        <f>IFERROR(__xludf.DUMMYFUNCTION("REGEXREPLACE(substitute(substitute(B87,"" "",""""),""..."",""""),""\(.*\)"","""")"),"5.4857990945e-4")</f>
        <v>5.4857990945e-4</v>
      </c>
      <c r="H87" s="43">
        <f t="shared" si="2"/>
        <v>0.0005485799095</v>
      </c>
      <c r="I87" s="21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43">
        <f t="shared" si="3"/>
        <v>0</v>
      </c>
      <c r="K87" s="43" t="b">
        <f t="shared" si="4"/>
        <v>0</v>
      </c>
      <c r="L87" s="21" t="str">
        <f>IFERROR(__xludf.DUMMYFUNCTION("if(regexmatch(B87,""e(.*)$""),regexextract(B87,""e(.*)$""),"""")"),"-4")</f>
        <v>-4</v>
      </c>
    </row>
    <row r="88">
      <c r="A88" s="34" t="s">
        <v>1014</v>
      </c>
      <c r="B88" s="34" t="s">
        <v>4577</v>
      </c>
      <c r="C88" s="34" t="s">
        <v>4163</v>
      </c>
      <c r="D88" s="13" t="str">
        <f t="shared" si="1"/>
        <v>kg mol^-1</v>
      </c>
      <c r="E88" s="42">
        <f>countif(Constants!F:F,F88)</f>
        <v>1</v>
      </c>
      <c r="F88" s="21" t="str">
        <f>ifna(VLOOKUP($A88,'v2006'!$A:$F,6,false),"")</f>
        <v>ElectronMolarMass</v>
      </c>
      <c r="G88" s="21" t="str">
        <f>IFERROR(__xludf.DUMMYFUNCTION("REGEXREPLACE(substitute(substitute(B88,"" "",""""),""..."",""""),""\(.*\)"","""")"),"5.4857990945e-7")</f>
        <v>5.4857990945e-7</v>
      </c>
      <c r="H88" s="43">
        <f t="shared" si="2"/>
        <v>0.0000005485799095</v>
      </c>
      <c r="I88" s="21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43">
        <f t="shared" si="3"/>
        <v>0</v>
      </c>
      <c r="K88" s="43" t="b">
        <f t="shared" si="4"/>
        <v>0</v>
      </c>
      <c r="L88" s="21" t="str">
        <f>IFERROR(__xludf.DUMMYFUNCTION("if(regexmatch(B88,""e(.*)$""),regexextract(B88,""e(.*)$""),"""")"),"-7")</f>
        <v>-7</v>
      </c>
    </row>
    <row r="89">
      <c r="A89" s="34" t="s">
        <v>1055</v>
      </c>
      <c r="B89" s="34" t="s">
        <v>4578</v>
      </c>
      <c r="C89" s="34"/>
      <c r="D89" s="13" t="str">
        <f t="shared" si="1"/>
        <v/>
      </c>
      <c r="E89" s="42">
        <f>countif(Constants!F:F,F89)</f>
        <v>1</v>
      </c>
      <c r="F89" s="21" t="str">
        <f>ifna(VLOOKUP($A89,'v2006'!$A:$F,6,false),"")</f>
        <v>ElectronToAlphaParticleMassRatio</v>
      </c>
      <c r="G89" s="21" t="str">
        <f>IFERROR(__xludf.DUMMYFUNCTION("REGEXREPLACE(substitute(substitute(B89,"" "",""""),""..."",""""),""\(.*\)"","""")"),"1.37093355575e-4")</f>
        <v>1.37093355575e-4</v>
      </c>
      <c r="H89" s="43">
        <f t="shared" si="2"/>
        <v>0.0001370933556</v>
      </c>
      <c r="I89" s="21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43">
        <f t="shared" si="3"/>
        <v>0</v>
      </c>
      <c r="K89" s="43" t="b">
        <f t="shared" si="4"/>
        <v>0</v>
      </c>
      <c r="L89" s="21" t="str">
        <f>IFERROR(__xludf.DUMMYFUNCTION("if(regexmatch(B89,""e(.*)$""),regexextract(B89,""e(.*)$""),"""")"),"-4")</f>
        <v>-4</v>
      </c>
    </row>
    <row r="90">
      <c r="A90" s="34" t="s">
        <v>1060</v>
      </c>
      <c r="B90" s="34" t="s">
        <v>4579</v>
      </c>
      <c r="C90" s="34"/>
      <c r="D90" s="13" t="str">
        <f t="shared" si="1"/>
        <v/>
      </c>
      <c r="E90" s="42">
        <f>countif(Constants!F:F,F90)</f>
        <v>1</v>
      </c>
      <c r="F90" s="21" t="str">
        <f>ifna(VLOOKUP($A90,'v2006'!$A:$F,6,false),"")</f>
        <v>ElectronToShieldedHelionMagneticMomentRatio</v>
      </c>
      <c r="G90" s="21" t="str">
        <f>IFERROR(__xludf.DUMMYFUNCTION("REGEXREPLACE(substitute(substitute(B90,"" "",""""),""..."",""""),""\(.*\)"","""")"),"864.058255")</f>
        <v>864.058255</v>
      </c>
      <c r="H90" s="43">
        <f t="shared" si="2"/>
        <v>864.058255</v>
      </c>
      <c r="I90" s="21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43">
        <f t="shared" si="3"/>
        <v>0.0000001</v>
      </c>
      <c r="K90" s="43" t="b">
        <f t="shared" si="4"/>
        <v>0</v>
      </c>
      <c r="L90" s="21" t="str">
        <f>IFERROR(__xludf.DUMMYFUNCTION("if(regexmatch(B90,""e(.*)$""),regexextract(B90,""e(.*)$""),"""")"),"")</f>
        <v/>
      </c>
    </row>
    <row r="91">
      <c r="A91" s="34" t="s">
        <v>1065</v>
      </c>
      <c r="B91" s="34" t="s">
        <v>4580</v>
      </c>
      <c r="C91" s="34"/>
      <c r="D91" s="13" t="str">
        <f t="shared" si="1"/>
        <v/>
      </c>
      <c r="E91" s="42">
        <f>countif(Constants!F:F,F91)</f>
        <v>1</v>
      </c>
      <c r="F91" s="21" t="str">
        <f>ifna(VLOOKUP($A91,'v2006'!$A:$F,6,false),"")</f>
        <v>ElectronToShieldedProtonMagneticMomentRatio</v>
      </c>
      <c r="G91" s="21" t="str">
        <f>IFERROR(__xludf.DUMMYFUNCTION("REGEXREPLACE(substitute(substitute(B91,"" "",""""),""..."",""""),""\(.*\)"","""")"),"-658.2275956")</f>
        <v>-658.2275956</v>
      </c>
      <c r="H91" s="43">
        <f t="shared" si="2"/>
        <v>-658.2275956</v>
      </c>
      <c r="I91" s="21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43">
        <f t="shared" si="3"/>
        <v>0.000000071</v>
      </c>
      <c r="K91" s="43" t="b">
        <f t="shared" si="4"/>
        <v>0</v>
      </c>
      <c r="L91" s="21" t="str">
        <f>IFERROR(__xludf.DUMMYFUNCTION("if(regexmatch(B91,""e(.*)$""),regexextract(B91,""e(.*)$""),"""")"),"")</f>
        <v/>
      </c>
    </row>
    <row r="92">
      <c r="A92" s="34" t="s">
        <v>1073</v>
      </c>
      <c r="B92" s="34" t="s">
        <v>4581</v>
      </c>
      <c r="C92" s="34" t="s">
        <v>543</v>
      </c>
      <c r="D92" s="13" t="str">
        <f t="shared" si="1"/>
        <v>J</v>
      </c>
      <c r="E92" s="42">
        <f>countif(Constants!F:F,F92)</f>
        <v>1</v>
      </c>
      <c r="F92" s="21" t="str">
        <f>ifna(VLOOKUP($A92,'v2006'!$A:$F,6,false),"")</f>
        <v>ElectronVolt</v>
      </c>
      <c r="G92" s="21" t="str">
        <f>IFERROR(__xludf.DUMMYFUNCTION("REGEXREPLACE(substitute(substitute(B92,"" "",""""),""..."",""""),""\(.*\)"","""")"),"1.60217653e-19")</f>
        <v>1.60217653e-19</v>
      </c>
      <c r="H92" s="43">
        <f t="shared" si="2"/>
        <v>0</v>
      </c>
      <c r="I92" s="21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43">
        <f t="shared" si="3"/>
        <v>0</v>
      </c>
      <c r="K92" s="43" t="b">
        <f t="shared" si="4"/>
        <v>0</v>
      </c>
      <c r="L92" s="21" t="str">
        <f>IFERROR(__xludf.DUMMYFUNCTION("if(regexmatch(B92,""e(.*)$""),regexextract(B92,""e(.*)$""),"""")"),"-19")</f>
        <v>-19</v>
      </c>
    </row>
    <row r="93">
      <c r="A93" s="34" t="s">
        <v>1078</v>
      </c>
      <c r="B93" s="34" t="s">
        <v>4582</v>
      </c>
      <c r="C93" s="34" t="s">
        <v>553</v>
      </c>
      <c r="D93" s="13" t="str">
        <f t="shared" si="1"/>
        <v>u</v>
      </c>
      <c r="E93" s="42">
        <f>countif(Constants!F:F,F93)</f>
        <v>1</v>
      </c>
      <c r="F93" s="21" t="str">
        <f>ifna(VLOOKUP($A93,'v2006'!$A:$F,6,false),"")</f>
        <v>ElectronVoltAtomicMassUnitRelationship</v>
      </c>
      <c r="G93" s="21" t="str">
        <f>IFERROR(__xludf.DUMMYFUNCTION("REGEXREPLACE(substitute(substitute(B93,"" "",""""),""..."",""""),""\(.*\)"","""")"),"1.073544171e-9")</f>
        <v>1.073544171e-9</v>
      </c>
      <c r="H93" s="43">
        <f t="shared" si="2"/>
        <v>0.000000001073544171</v>
      </c>
      <c r="I93" s="21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43">
        <f t="shared" si="3"/>
        <v>0</v>
      </c>
      <c r="K93" s="43" t="b">
        <f t="shared" si="4"/>
        <v>0</v>
      </c>
      <c r="L93" s="21" t="str">
        <f>IFERROR(__xludf.DUMMYFUNCTION("if(regexmatch(B93,""e(.*)$""),regexextract(B93,""e(.*)$""),"""")"),"-9")</f>
        <v>-9</v>
      </c>
    </row>
    <row r="94">
      <c r="A94" s="34" t="s">
        <v>1084</v>
      </c>
      <c r="B94" s="34" t="s">
        <v>4583</v>
      </c>
      <c r="C94" s="34" t="s">
        <v>593</v>
      </c>
      <c r="D94" s="13" t="str">
        <f t="shared" si="1"/>
        <v>E_h</v>
      </c>
      <c r="E94" s="42">
        <f>countif(Constants!F:F,F94)</f>
        <v>1</v>
      </c>
      <c r="F94" s="21" t="str">
        <f>ifna(VLOOKUP($A94,'v2006'!$A:$F,6,false),"")</f>
        <v>ElectronVoltHartreeRelationship</v>
      </c>
      <c r="G94" s="21" t="str">
        <f>IFERROR(__xludf.DUMMYFUNCTION("REGEXREPLACE(substitute(substitute(B94,"" "",""""),""..."",""""),""\(.*\)"","""")"),"3.67493245e-2")</f>
        <v>3.67493245e-2</v>
      </c>
      <c r="H94" s="43">
        <f t="shared" si="2"/>
        <v>0.0367493245</v>
      </c>
      <c r="I94" s="21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43">
        <f t="shared" si="3"/>
        <v>0</v>
      </c>
      <c r="K94" s="43" t="b">
        <f t="shared" si="4"/>
        <v>0</v>
      </c>
      <c r="L94" s="21" t="str">
        <f>IFERROR(__xludf.DUMMYFUNCTION("if(regexmatch(B94,""e(.*)$""),regexextract(B94,""e(.*)$""),"""")"),"-2")</f>
        <v>-2</v>
      </c>
    </row>
    <row r="95">
      <c r="A95" s="34" t="s">
        <v>1090</v>
      </c>
      <c r="B95" s="34" t="s">
        <v>4584</v>
      </c>
      <c r="C95" s="34" t="s">
        <v>600</v>
      </c>
      <c r="D95" s="13" t="str">
        <f t="shared" si="1"/>
        <v>Hz</v>
      </c>
      <c r="E95" s="42">
        <f>countif(Constants!F:F,F95)</f>
        <v>1</v>
      </c>
      <c r="F95" s="21" t="str">
        <f>ifna(VLOOKUP($A95,'v2006'!$A:$F,6,false),"")</f>
        <v>ElectronVoltHertzRelationship</v>
      </c>
      <c r="G95" s="21" t="str">
        <f>IFERROR(__xludf.DUMMYFUNCTION("REGEXREPLACE(substitute(substitute(B95,"" "",""""),""..."",""""),""\(.*\)"","""")"),"2.41798940e14")</f>
        <v>2.41798940e14</v>
      </c>
      <c r="H95" s="43">
        <f t="shared" si="2"/>
        <v>241798940000000</v>
      </c>
      <c r="I95" s="21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43">
        <f t="shared" si="3"/>
        <v>210000</v>
      </c>
      <c r="K95" s="43" t="b">
        <f t="shared" si="4"/>
        <v>0</v>
      </c>
      <c r="L95" s="21" t="str">
        <f>IFERROR(__xludf.DUMMYFUNCTION("if(regexmatch(B95,""e(.*)$""),regexextract(B95,""e(.*)$""),"""")"),"14")</f>
        <v>14</v>
      </c>
    </row>
    <row r="96">
      <c r="A96" s="34" t="s">
        <v>1096</v>
      </c>
      <c r="B96" s="34" t="s">
        <v>4585</v>
      </c>
      <c r="C96" s="34" t="s">
        <v>4174</v>
      </c>
      <c r="D96" s="13" t="str">
        <f t="shared" si="1"/>
        <v>m^-1</v>
      </c>
      <c r="E96" s="42">
        <f>countif(Constants!F:F,F96)</f>
        <v>1</v>
      </c>
      <c r="F96" s="21" t="str">
        <f>ifna(VLOOKUP($A96,'v2006'!$A:$F,6,false),"")</f>
        <v>ElectronVoltInverseMeterRelationship</v>
      </c>
      <c r="G96" s="21" t="str">
        <f>IFERROR(__xludf.DUMMYFUNCTION("REGEXREPLACE(substitute(substitute(B96,"" "",""""),""..."",""""),""\(.*\)"","""")"),"8.06554445e5")</f>
        <v>8.06554445e5</v>
      </c>
      <c r="H96" s="43">
        <f t="shared" si="2"/>
        <v>806554.445</v>
      </c>
      <c r="I96" s="21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43">
        <f t="shared" si="3"/>
        <v>0.00069</v>
      </c>
      <c r="K96" s="43" t="b">
        <f t="shared" si="4"/>
        <v>0</v>
      </c>
      <c r="L96" s="21" t="str">
        <f>IFERROR(__xludf.DUMMYFUNCTION("if(regexmatch(B96,""e(.*)$""),regexextract(B96,""e(.*)$""),"""")"),"5")</f>
        <v>5</v>
      </c>
    </row>
    <row r="97">
      <c r="A97" s="34" t="s">
        <v>1102</v>
      </c>
      <c r="B97" s="34" t="s">
        <v>4581</v>
      </c>
      <c r="C97" s="34" t="s">
        <v>543</v>
      </c>
      <c r="D97" s="13" t="str">
        <f t="shared" si="1"/>
        <v>J</v>
      </c>
      <c r="E97" s="42">
        <f>countif(Constants!F:F,F97)</f>
        <v>1</v>
      </c>
      <c r="F97" s="21" t="str">
        <f>ifna(VLOOKUP($A97,'v2006'!$A:$F,6,false),"")</f>
        <v>ElectronVoltJouleRelationship</v>
      </c>
      <c r="G97" s="21" t="str">
        <f>IFERROR(__xludf.DUMMYFUNCTION("REGEXREPLACE(substitute(substitute(B97,"" "",""""),""..."",""""),""\(.*\)"","""")"),"1.60217653e-19")</f>
        <v>1.60217653e-19</v>
      </c>
      <c r="H97" s="43">
        <f t="shared" si="2"/>
        <v>0</v>
      </c>
      <c r="I97" s="21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43">
        <f t="shared" si="3"/>
        <v>0</v>
      </c>
      <c r="K97" s="43" t="b">
        <f t="shared" si="4"/>
        <v>0</v>
      </c>
      <c r="L97" s="21" t="str">
        <f>IFERROR(__xludf.DUMMYFUNCTION("if(regexmatch(B97,""e(.*)$""),regexextract(B97,""e(.*)$""),"""")"),"-19")</f>
        <v>-19</v>
      </c>
    </row>
    <row r="98">
      <c r="A98" s="34" t="s">
        <v>1108</v>
      </c>
      <c r="B98" s="34" t="s">
        <v>4277</v>
      </c>
      <c r="C98" s="34" t="s">
        <v>618</v>
      </c>
      <c r="D98" s="13" t="str">
        <f t="shared" si="1"/>
        <v>K</v>
      </c>
      <c r="E98" s="42">
        <f>countif(Constants!F:F,F98)</f>
        <v>1</v>
      </c>
      <c r="F98" s="21" t="str">
        <f>ifna(VLOOKUP($A98,'v2006'!$A:$F,6,false),"")</f>
        <v>ElectronVoltKelvinRelationship</v>
      </c>
      <c r="G98" s="21" t="str">
        <f>IFERROR(__xludf.DUMMYFUNCTION("REGEXREPLACE(substitute(substitute(B98,"" "",""""),""..."",""""),""\(.*\)"","""")"),"1.1604505e4")</f>
        <v>1.1604505e4</v>
      </c>
      <c r="H98" s="43">
        <f t="shared" si="2"/>
        <v>11604.505</v>
      </c>
      <c r="I98" s="21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43">
        <f t="shared" si="3"/>
        <v>0.0002</v>
      </c>
      <c r="K98" s="43" t="b">
        <f t="shared" si="4"/>
        <v>0</v>
      </c>
      <c r="L98" s="21" t="str">
        <f>IFERROR(__xludf.DUMMYFUNCTION("if(regexmatch(B98,""e(.*)$""),regexextract(B98,""e(.*)$""),"""")"),"4")</f>
        <v>4</v>
      </c>
    </row>
    <row r="99">
      <c r="A99" s="34" t="s">
        <v>1114</v>
      </c>
      <c r="B99" s="34" t="s">
        <v>4586</v>
      </c>
      <c r="C99" s="34" t="s">
        <v>538</v>
      </c>
      <c r="D99" s="13" t="str">
        <f t="shared" si="1"/>
        <v>kg</v>
      </c>
      <c r="E99" s="42">
        <f>countif(Constants!F:F,F99)</f>
        <v>1</v>
      </c>
      <c r="F99" s="21" t="str">
        <f>ifna(VLOOKUP($A99,'v2006'!$A:$F,6,false),"")</f>
        <v>ElectronVoltKilogramRelationship</v>
      </c>
      <c r="G99" s="21" t="str">
        <f>IFERROR(__xludf.DUMMYFUNCTION("REGEXREPLACE(substitute(substitute(B99,"" "",""""),""..."",""""),""\(.*\)"","""")"),"1.78266181e-36")</f>
        <v>1.78266181e-36</v>
      </c>
      <c r="H99" s="43">
        <f t="shared" si="2"/>
        <v>0</v>
      </c>
      <c r="I99" s="21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43">
        <f t="shared" si="3"/>
        <v>0</v>
      </c>
      <c r="K99" s="43" t="b">
        <f t="shared" si="4"/>
        <v>0</v>
      </c>
      <c r="L99" s="21" t="str">
        <f>IFERROR(__xludf.DUMMYFUNCTION("if(regexmatch(B99,""e(.*)$""),regexextract(B99,""e(.*)$""),"""")"),"-36")</f>
        <v>-36</v>
      </c>
    </row>
    <row r="100">
      <c r="A100" s="34" t="s">
        <v>4279</v>
      </c>
      <c r="B100" s="34" t="s">
        <v>4587</v>
      </c>
      <c r="C100" s="34"/>
      <c r="D100" s="13" t="str">
        <f t="shared" si="1"/>
        <v/>
      </c>
      <c r="E100" s="42">
        <f>countif(Constants!F:F,F100)</f>
        <v>1</v>
      </c>
      <c r="F100" s="21" t="str">
        <f>ifna(VLOOKUP($A100,'v2006'!$A:$F,6,false),"")</f>
        <v>ElectronDeuteronMagneticMomentRatio</v>
      </c>
      <c r="G100" s="21" t="str">
        <f>IFERROR(__xludf.DUMMYFUNCTION("REGEXREPLACE(substitute(substitute(B100,"" "",""""),""..."",""""),""\(.*\)"","""")"),"-2143.923493")</f>
        <v>-2143.923493</v>
      </c>
      <c r="H100" s="43">
        <f t="shared" si="2"/>
        <v>-2143.923493</v>
      </c>
      <c r="I100" s="21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43">
        <f t="shared" si="3"/>
        <v>0.00000023</v>
      </c>
      <c r="K100" s="43" t="b">
        <f t="shared" si="4"/>
        <v>0</v>
      </c>
      <c r="L100" s="21" t="str">
        <f>IFERROR(__xludf.DUMMYFUNCTION("if(regexmatch(B100,""e(.*)$""),regexextract(B100,""e(.*)$""),"""")"),"")</f>
        <v/>
      </c>
    </row>
    <row r="101">
      <c r="A101" s="34" t="s">
        <v>951</v>
      </c>
      <c r="B101" s="34" t="s">
        <v>4588</v>
      </c>
      <c r="C101" s="34"/>
      <c r="D101" s="13" t="str">
        <f t="shared" si="1"/>
        <v/>
      </c>
      <c r="E101" s="42">
        <f>countif(Constants!F:F,F101)</f>
        <v>1</v>
      </c>
      <c r="F101" s="21" t="str">
        <f>ifna(VLOOKUP($A101,'v2006'!$A:$F,6,false),"")</f>
        <v>ElectronDeuteronMassRatio</v>
      </c>
      <c r="G101" s="21" t="str">
        <f>IFERROR(__xludf.DUMMYFUNCTION("REGEXREPLACE(substitute(substitute(B101,"" "",""""),""..."",""""),""\(.*\)"","""")"),"2.7244371095e-4")</f>
        <v>2.7244371095e-4</v>
      </c>
      <c r="H101" s="43">
        <f t="shared" si="2"/>
        <v>0.000272443711</v>
      </c>
      <c r="I101" s="21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43">
        <f t="shared" si="3"/>
        <v>0</v>
      </c>
      <c r="K101" s="43" t="b">
        <f t="shared" si="4"/>
        <v>0</v>
      </c>
      <c r="L101" s="21" t="str">
        <f>IFERROR(__xludf.DUMMYFUNCTION("if(regexmatch(B101,""e(.*)$""),regexextract(B101,""e(.*)$""),"""")"),"-4")</f>
        <v>-4</v>
      </c>
    </row>
    <row r="102">
      <c r="A102" s="34" t="s">
        <v>4282</v>
      </c>
      <c r="B102" s="34" t="s">
        <v>4589</v>
      </c>
      <c r="C102" s="34"/>
      <c r="D102" s="13" t="str">
        <f t="shared" si="1"/>
        <v/>
      </c>
      <c r="E102" s="42">
        <f>countif(Constants!F:F,F102)</f>
        <v>1</v>
      </c>
      <c r="F102" s="21" t="str">
        <f>ifna(VLOOKUP($A102,'v2006'!$A:$F,6,false),"")</f>
        <v>ElectronMuonMagneticMomentRatio</v>
      </c>
      <c r="G102" s="21" t="str">
        <f>IFERROR(__xludf.DUMMYFUNCTION("REGEXREPLACE(substitute(substitute(B102,"" "",""""),""..."",""""),""\(.*\)"","""")"),"206.7669894")</f>
        <v>206.7669894</v>
      </c>
      <c r="H102" s="43">
        <f t="shared" si="2"/>
        <v>206.7669894</v>
      </c>
      <c r="I102" s="21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43">
        <f t="shared" si="3"/>
        <v>0.000000054</v>
      </c>
      <c r="K102" s="43" t="b">
        <f t="shared" si="4"/>
        <v>0</v>
      </c>
      <c r="L102" s="21" t="str">
        <f>IFERROR(__xludf.DUMMYFUNCTION("if(regexmatch(B102,""e(.*)$""),regexextract(B102,""e(.*)$""),"""")"),"")</f>
        <v/>
      </c>
    </row>
    <row r="103">
      <c r="A103" s="34" t="s">
        <v>1023</v>
      </c>
      <c r="B103" s="34" t="s">
        <v>4590</v>
      </c>
      <c r="C103" s="34"/>
      <c r="D103" s="13" t="str">
        <f t="shared" si="1"/>
        <v/>
      </c>
      <c r="E103" s="42">
        <f>countif(Constants!F:F,F103)</f>
        <v>1</v>
      </c>
      <c r="F103" s="21" t="str">
        <f>ifna(VLOOKUP($A103,'v2006'!$A:$F,6,false),"")</f>
        <v>ElectronMuonMassRatio</v>
      </c>
      <c r="G103" s="21" t="str">
        <f>IFERROR(__xludf.DUMMYFUNCTION("REGEXREPLACE(substitute(substitute(B103,"" "",""""),""..."",""""),""\(.*\)"","""")"),"4.83633167e-3")</f>
        <v>4.83633167e-3</v>
      </c>
      <c r="H103" s="43">
        <f t="shared" si="2"/>
        <v>0.00483633167</v>
      </c>
      <c r="I103" s="21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43">
        <f t="shared" si="3"/>
        <v>0</v>
      </c>
      <c r="K103" s="43" t="b">
        <f t="shared" si="4"/>
        <v>0</v>
      </c>
      <c r="L103" s="21" t="str">
        <f>IFERROR(__xludf.DUMMYFUNCTION("if(regexmatch(B103,""e(.*)$""),regexextract(B103,""e(.*)$""),"""")"),"-3")</f>
        <v>-3</v>
      </c>
    </row>
    <row r="104">
      <c r="A104" s="34" t="s">
        <v>4285</v>
      </c>
      <c r="B104" s="34" t="s">
        <v>4286</v>
      </c>
      <c r="C104" s="34"/>
      <c r="D104" s="13" t="str">
        <f t="shared" si="1"/>
        <v/>
      </c>
      <c r="E104" s="42">
        <f>countif(Constants!F:F,F104)</f>
        <v>1</v>
      </c>
      <c r="F104" s="21" t="str">
        <f>ifna(VLOOKUP($A104,'v2006'!$A:$F,6,false),"")</f>
        <v>ElectronNeutronMagneticMomentRatio</v>
      </c>
      <c r="G104" s="21" t="str">
        <f>IFERROR(__xludf.DUMMYFUNCTION("REGEXREPLACE(substitute(substitute(B104,"" "",""""),""..."",""""),""\(.*\)"","""")"),"960.92050")</f>
        <v>960.92050</v>
      </c>
      <c r="H104" s="43">
        <f t="shared" si="2"/>
        <v>960.9205</v>
      </c>
      <c r="I104" s="21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43">
        <f t="shared" si="3"/>
        <v>0.0000023</v>
      </c>
      <c r="K104" s="43" t="b">
        <f t="shared" si="4"/>
        <v>0</v>
      </c>
      <c r="L104" s="21" t="str">
        <f>IFERROR(__xludf.DUMMYFUNCTION("if(regexmatch(B104,""e(.*)$""),regexextract(B104,""e(.*)$""),"""")"),"")</f>
        <v/>
      </c>
    </row>
    <row r="105">
      <c r="A105" s="34" t="s">
        <v>1033</v>
      </c>
      <c r="B105" s="34" t="s">
        <v>4591</v>
      </c>
      <c r="C105" s="34"/>
      <c r="D105" s="13" t="str">
        <f t="shared" si="1"/>
        <v/>
      </c>
      <c r="E105" s="42">
        <f>countif(Constants!F:F,F105)</f>
        <v>1</v>
      </c>
      <c r="F105" s="21" t="str">
        <f>ifna(VLOOKUP($A105,'v2006'!$A:$F,6,false),"")</f>
        <v>ElectronNeutronMassRatio</v>
      </c>
      <c r="G105" s="21" t="str">
        <f>IFERROR(__xludf.DUMMYFUNCTION("REGEXREPLACE(substitute(substitute(B105,"" "",""""),""..."",""""),""\(.*\)"","""")"),"5.4386734481e-4")</f>
        <v>5.4386734481e-4</v>
      </c>
      <c r="H105" s="43">
        <f t="shared" si="2"/>
        <v>0.0005438673448</v>
      </c>
      <c r="I105" s="21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43">
        <f t="shared" si="3"/>
        <v>0</v>
      </c>
      <c r="K105" s="43" t="b">
        <f t="shared" si="4"/>
        <v>0</v>
      </c>
      <c r="L105" s="21" t="str">
        <f>IFERROR(__xludf.DUMMYFUNCTION("if(regexmatch(B105,""e(.*)$""),regexextract(B105,""e(.*)$""),"""")"),"-4")</f>
        <v>-4</v>
      </c>
    </row>
    <row r="106">
      <c r="A106" s="34" t="s">
        <v>4288</v>
      </c>
      <c r="B106" s="34" t="s">
        <v>4592</v>
      </c>
      <c r="C106" s="34"/>
      <c r="D106" s="13" t="str">
        <f t="shared" si="1"/>
        <v/>
      </c>
      <c r="E106" s="42">
        <f>countif(Constants!F:F,F106)</f>
        <v>1</v>
      </c>
      <c r="F106" s="21" t="str">
        <f>ifna(VLOOKUP($A106,'v2006'!$A:$F,6,false),"")</f>
        <v>ElectronProtonMagneticMomentRatio</v>
      </c>
      <c r="G106" s="21" t="str">
        <f>IFERROR(__xludf.DUMMYFUNCTION("REGEXREPLACE(substitute(substitute(B106,"" "",""""),""..."",""""),""\(.*\)"","""")"),"-658.2106862")</f>
        <v>-658.2106862</v>
      </c>
      <c r="H106" s="43">
        <f t="shared" si="2"/>
        <v>-658.2106862</v>
      </c>
      <c r="I106" s="21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43">
        <f t="shared" si="3"/>
        <v>0.000000066</v>
      </c>
      <c r="K106" s="43" t="b">
        <f t="shared" si="4"/>
        <v>0</v>
      </c>
      <c r="L106" s="21" t="str">
        <f>IFERROR(__xludf.DUMMYFUNCTION("if(regexmatch(B106,""e(.*)$""),regexextract(B106,""e(.*)$""),"""")"),"")</f>
        <v/>
      </c>
    </row>
    <row r="107">
      <c r="A107" s="34" t="s">
        <v>1043</v>
      </c>
      <c r="B107" s="34" t="s">
        <v>4593</v>
      </c>
      <c r="C107" s="34"/>
      <c r="D107" s="13" t="str">
        <f t="shared" si="1"/>
        <v/>
      </c>
      <c r="E107" s="42">
        <f>countif(Constants!F:F,F107)</f>
        <v>1</v>
      </c>
      <c r="F107" s="21" t="str">
        <f>ifna(VLOOKUP($A107,'v2006'!$A:$F,6,false),"")</f>
        <v>ElectronProtonMassRatio</v>
      </c>
      <c r="G107" s="21" t="str">
        <f>IFERROR(__xludf.DUMMYFUNCTION("REGEXREPLACE(substitute(substitute(B107,"" "",""""),""..."",""""),""\(.*\)"","""")"),"5.4461702173e-4")</f>
        <v>5.4461702173e-4</v>
      </c>
      <c r="H107" s="43">
        <f t="shared" si="2"/>
        <v>0.0005446170217</v>
      </c>
      <c r="I107" s="21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43">
        <f t="shared" si="3"/>
        <v>0</v>
      </c>
      <c r="K107" s="43" t="b">
        <f t="shared" si="4"/>
        <v>0</v>
      </c>
      <c r="L107" s="21" t="str">
        <f>IFERROR(__xludf.DUMMYFUNCTION("if(regexmatch(B107,""e(.*)$""),regexextract(B107,""e(.*)$""),"""")"),"-4")</f>
        <v>-4</v>
      </c>
    </row>
    <row r="108">
      <c r="A108" s="34" t="s">
        <v>1051</v>
      </c>
      <c r="B108" s="34" t="s">
        <v>4291</v>
      </c>
      <c r="C108" s="34"/>
      <c r="D108" s="13" t="str">
        <f t="shared" si="1"/>
        <v/>
      </c>
      <c r="E108" s="42">
        <f>countif(Constants!F:F,F108)</f>
        <v>1</v>
      </c>
      <c r="F108" s="21" t="str">
        <f>ifna(VLOOKUP($A108,'v2006'!$A:$F,6,false),"")</f>
        <v>ElectronTauMassRatio</v>
      </c>
      <c r="G108" s="21" t="str">
        <f>IFERROR(__xludf.DUMMYFUNCTION("REGEXREPLACE(substitute(substitute(B108,"" "",""""),""..."",""""),""\(.*\)"","""")"),"2.87564e-4")</f>
        <v>2.87564e-4</v>
      </c>
      <c r="H108" s="43">
        <f t="shared" si="2"/>
        <v>0.000287564</v>
      </c>
      <c r="I108" s="21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43">
        <f t="shared" si="3"/>
        <v>0.00000000047</v>
      </c>
      <c r="K108" s="43" t="b">
        <f t="shared" si="4"/>
        <v>0</v>
      </c>
      <c r="L108" s="21" t="str">
        <f>IFERROR(__xludf.DUMMYFUNCTION("if(regexmatch(B108,""e(.*)$""),regexextract(B108,""e(.*)$""),"""")"),"-4")</f>
        <v>-4</v>
      </c>
    </row>
    <row r="109">
      <c r="A109" s="34" t="s">
        <v>3384</v>
      </c>
      <c r="B109" s="34" t="s">
        <v>4584</v>
      </c>
      <c r="C109" s="34" t="s">
        <v>4292</v>
      </c>
      <c r="D109" s="13" t="str">
        <f t="shared" si="1"/>
        <v>A J^-1</v>
      </c>
      <c r="E109" s="42">
        <f>countif(Constants!F:F,F109)</f>
        <v>1</v>
      </c>
      <c r="F109" s="21" t="str">
        <f>ifna(VLOOKUP($A109,'v2006'!$A:$F,6,false),"")</f>
        <v>ElementaryChargeOverH</v>
      </c>
      <c r="G109" s="21" t="str">
        <f>IFERROR(__xludf.DUMMYFUNCTION("REGEXREPLACE(substitute(substitute(B109,"" "",""""),""..."",""""),""\(.*\)"","""")"),"2.41798940e14")</f>
        <v>2.41798940e14</v>
      </c>
      <c r="H109" s="43">
        <f t="shared" si="2"/>
        <v>241798940000000</v>
      </c>
      <c r="I109" s="21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43">
        <f t="shared" si="3"/>
        <v>210000</v>
      </c>
      <c r="K109" s="43" t="b">
        <f t="shared" si="4"/>
        <v>0</v>
      </c>
      <c r="L109" s="21" t="str">
        <f>IFERROR(__xludf.DUMMYFUNCTION("if(regexmatch(B109,""e(.*)$""),regexextract(B109,""e(.*)$""),"""")"),"14")</f>
        <v>14</v>
      </c>
    </row>
    <row r="110">
      <c r="A110" s="34" t="s">
        <v>1129</v>
      </c>
      <c r="B110" s="34" t="s">
        <v>4594</v>
      </c>
      <c r="C110" s="34" t="s">
        <v>4294</v>
      </c>
      <c r="D110" s="13" t="str">
        <f t="shared" si="1"/>
        <v>C mol^-1</v>
      </c>
      <c r="E110" s="42">
        <f>countif(Constants!F:F,F110)</f>
        <v>1</v>
      </c>
      <c r="F110" s="21" t="str">
        <f>ifna(VLOOKUP($A110,'v2006'!$A:$F,6,false),"")</f>
        <v>FaradayConstant</v>
      </c>
      <c r="G110" s="21" t="str">
        <f>IFERROR(__xludf.DUMMYFUNCTION("REGEXREPLACE(substitute(substitute(B110,"" "",""""),""..."",""""),""\(.*\)"","""")"),"96485.3383")</f>
        <v>96485.3383</v>
      </c>
      <c r="H110" s="43">
        <f t="shared" si="2"/>
        <v>96485.3383</v>
      </c>
      <c r="I110" s="21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43">
        <f t="shared" si="3"/>
        <v>0.000083</v>
      </c>
      <c r="K110" s="43" t="b">
        <f t="shared" si="4"/>
        <v>0</v>
      </c>
      <c r="L110" s="21" t="str">
        <f>IFERROR(__xludf.DUMMYFUNCTION("if(regexmatch(B110,""e(.*)$""),regexextract(B110,""e(.*)$""),"""")"),"")</f>
        <v/>
      </c>
    </row>
    <row r="111">
      <c r="A111" s="34" t="s">
        <v>1135</v>
      </c>
      <c r="B111" s="34" t="s">
        <v>4595</v>
      </c>
      <c r="C111" s="34" t="s">
        <v>4296</v>
      </c>
      <c r="D111" s="13" t="str">
        <f t="shared" si="1"/>
        <v>C_90 mol^-1</v>
      </c>
      <c r="E111" s="42">
        <f>countif(Constants!F:F,F111)</f>
        <v>1</v>
      </c>
      <c r="F111" s="21" t="str">
        <f>ifna(VLOOKUP($A111,'v2006'!$A:$F,6,false),"")</f>
        <v>FaradayConstantConventionalElectricCurrent</v>
      </c>
      <c r="G111" s="21" t="str">
        <f>IFERROR(__xludf.DUMMYFUNCTION("REGEXREPLACE(substitute(substitute(B111,"" "",""""),""..."",""""),""\(.*\)"","""")"),"96485.336")</f>
        <v>96485.336</v>
      </c>
      <c r="H111" s="43">
        <f t="shared" si="2"/>
        <v>96485.336</v>
      </c>
      <c r="I111" s="21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43">
        <f t="shared" si="3"/>
        <v>0.00016</v>
      </c>
      <c r="K111" s="43" t="b">
        <f t="shared" si="4"/>
        <v>0</v>
      </c>
      <c r="L111" s="21" t="str">
        <f>IFERROR(__xludf.DUMMYFUNCTION("if(regexmatch(B111,""e(.*)$""),regexextract(B111,""e(.*)$""),"""")"),"")</f>
        <v/>
      </c>
    </row>
    <row r="112">
      <c r="A112" s="34" t="s">
        <v>1140</v>
      </c>
      <c r="B112" s="34" t="s">
        <v>4596</v>
      </c>
      <c r="C112" s="34" t="s">
        <v>4298</v>
      </c>
      <c r="D112" s="13" t="str">
        <f t="shared" si="1"/>
        <v>GeV^-2</v>
      </c>
      <c r="E112" s="42">
        <f>countif(Constants!F:F,F112)</f>
        <v>1</v>
      </c>
      <c r="F112" s="21" t="str">
        <f>ifna(VLOOKUP($A112,'v2006'!$A:$F,6,false),"")</f>
        <v>FermiCouplingConstant</v>
      </c>
      <c r="G112" s="21" t="str">
        <f>IFERROR(__xludf.DUMMYFUNCTION("REGEXREPLACE(substitute(substitute(B112,"" "",""""),""..."",""""),""\(.*\)"","""")"),"1.16639e-5")</f>
        <v>1.16639e-5</v>
      </c>
      <c r="H112" s="43">
        <f t="shared" si="2"/>
        <v>0.0000116639</v>
      </c>
      <c r="I112" s="21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43">
        <f t="shared" si="3"/>
        <v>0</v>
      </c>
      <c r="K112" s="43" t="b">
        <f t="shared" si="4"/>
        <v>0</v>
      </c>
      <c r="L112" s="21" t="str">
        <f>IFERROR(__xludf.DUMMYFUNCTION("if(regexmatch(B112,""e(.*)$""),regexextract(B112,""e(.*)$""),"""")"),"-5")</f>
        <v>-5</v>
      </c>
    </row>
    <row r="113">
      <c r="A113" s="34" t="s">
        <v>1146</v>
      </c>
      <c r="B113" s="34" t="s">
        <v>4597</v>
      </c>
      <c r="C113" s="34"/>
      <c r="D113" s="13" t="str">
        <f t="shared" si="1"/>
        <v/>
      </c>
      <c r="E113" s="42">
        <f>countif(Constants!F:F,F113)</f>
        <v>1</v>
      </c>
      <c r="F113" s="21" t="str">
        <f>ifna(VLOOKUP($A113,'v2006'!$A:$F,6,false),"")</f>
        <v>FineStructureConstant</v>
      </c>
      <c r="G113" s="21" t="str">
        <f>IFERROR(__xludf.DUMMYFUNCTION("REGEXREPLACE(substitute(substitute(B113,"" "",""""),""..."",""""),""\(.*\)"","""")"),"7.297352568e-3")</f>
        <v>7.297352568e-3</v>
      </c>
      <c r="H113" s="43">
        <f t="shared" si="2"/>
        <v>0.007297352568</v>
      </c>
      <c r="I113" s="21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43">
        <f t="shared" si="3"/>
        <v>0</v>
      </c>
      <c r="K113" s="43" t="b">
        <f t="shared" si="4"/>
        <v>0</v>
      </c>
      <c r="L113" s="21" t="str">
        <f>IFERROR(__xludf.DUMMYFUNCTION("if(regexmatch(B113,""e(.*)$""),regexextract(B113,""e(.*)$""),"""")"),"-3")</f>
        <v>-3</v>
      </c>
    </row>
    <row r="114">
      <c r="A114" s="34" t="s">
        <v>1150</v>
      </c>
      <c r="B114" s="34" t="s">
        <v>4598</v>
      </c>
      <c r="C114" s="34" t="s">
        <v>4301</v>
      </c>
      <c r="D114" s="13" t="str">
        <f t="shared" si="1"/>
        <v>W m^2</v>
      </c>
      <c r="E114" s="42">
        <f>countif(Constants!F:F,F114)</f>
        <v>1</v>
      </c>
      <c r="F114" s="21" t="str">
        <f>ifna(VLOOKUP($A114,'v2006'!$A:$F,6,false),"")</f>
        <v>FirstRadiationConstant</v>
      </c>
      <c r="G114" s="21" t="str">
        <f>IFERROR(__xludf.DUMMYFUNCTION("REGEXREPLACE(substitute(substitute(B114,"" "",""""),""..."",""""),""\(.*\)"","""")"),"3.74177138e-16")</f>
        <v>3.74177138e-16</v>
      </c>
      <c r="H114" s="43">
        <f t="shared" si="2"/>
        <v>0</v>
      </c>
      <c r="I114" s="21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43">
        <f t="shared" si="3"/>
        <v>0</v>
      </c>
      <c r="K114" s="43" t="b">
        <f t="shared" si="4"/>
        <v>0</v>
      </c>
      <c r="L114" s="21" t="str">
        <f>IFERROR(__xludf.DUMMYFUNCTION("if(regexmatch(B114,""e(.*)$""),regexextract(B114,""e(.*)$""),"""")"),"-16")</f>
        <v>-16</v>
      </c>
    </row>
    <row r="115">
      <c r="A115" s="34" t="s">
        <v>1156</v>
      </c>
      <c r="B115" s="34" t="s">
        <v>4599</v>
      </c>
      <c r="C115" s="34" t="s">
        <v>4303</v>
      </c>
      <c r="D115" s="13" t="str">
        <f t="shared" si="1"/>
        <v>W m^2 sr^-1</v>
      </c>
      <c r="E115" s="42">
        <f>countif(Constants!F:F,F115)</f>
        <v>1</v>
      </c>
      <c r="F115" s="21" t="str">
        <f>ifna(VLOOKUP($A115,'v2006'!$A:$F,6,false),"")</f>
        <v>FirstRadiationConstantForSpectralRadiance</v>
      </c>
      <c r="G115" s="21" t="str">
        <f>IFERROR(__xludf.DUMMYFUNCTION("REGEXREPLACE(substitute(substitute(B115,"" "",""""),""..."",""""),""\(.*\)"","""")"),"1.19104282e-16")</f>
        <v>1.19104282e-16</v>
      </c>
      <c r="H115" s="43">
        <f t="shared" si="2"/>
        <v>0</v>
      </c>
      <c r="I115" s="21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43">
        <f t="shared" si="3"/>
        <v>0</v>
      </c>
      <c r="K115" s="43" t="b">
        <f t="shared" si="4"/>
        <v>0</v>
      </c>
      <c r="L115" s="21" t="str">
        <f>IFERROR(__xludf.DUMMYFUNCTION("if(regexmatch(B115,""e(.*)$""),regexextract(B115,""e(.*)$""),"""")"),"-16")</f>
        <v>-16</v>
      </c>
    </row>
    <row r="116">
      <c r="A116" s="34" t="s">
        <v>1177</v>
      </c>
      <c r="B116" s="34" t="s">
        <v>4532</v>
      </c>
      <c r="C116" s="34" t="s">
        <v>175</v>
      </c>
      <c r="D116" s="13" t="str">
        <f t="shared" si="1"/>
        <v>eV</v>
      </c>
      <c r="E116" s="42">
        <f>countif(Constants!F:F,F116)</f>
        <v>1</v>
      </c>
      <c r="F116" s="21" t="str">
        <f>ifna(VLOOKUP($A116,'v2006'!$A:$F,6,false),"")</f>
        <v>HartreeEnergyInEV</v>
      </c>
      <c r="G116" s="21" t="str">
        <f>IFERROR(__xludf.DUMMYFUNCTION("REGEXREPLACE(substitute(substitute(B116,"" "",""""),""..."",""""),""\(.*\)"","""")"),"27.2113845")</f>
        <v>27.2113845</v>
      </c>
      <c r="H116" s="43">
        <f t="shared" si="2"/>
        <v>27.2113845</v>
      </c>
      <c r="I116" s="21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43">
        <f t="shared" si="3"/>
        <v>0.000000023</v>
      </c>
      <c r="K116" s="43" t="b">
        <f t="shared" si="4"/>
        <v>0</v>
      </c>
      <c r="L116" s="21" t="str">
        <f>IFERROR(__xludf.DUMMYFUNCTION("if(regexmatch(B116,""e(.*)$""),regexextract(B116,""e(.*)$""),"""")"),"")</f>
        <v/>
      </c>
    </row>
    <row r="117">
      <c r="A117" s="34" t="s">
        <v>4304</v>
      </c>
      <c r="B117" s="34" t="s">
        <v>4534</v>
      </c>
      <c r="C117" s="34" t="s">
        <v>543</v>
      </c>
      <c r="D117" s="13" t="str">
        <f t="shared" si="1"/>
        <v>J</v>
      </c>
      <c r="E117" s="42">
        <f>countif(Constants!F:F,F117)</f>
        <v>1</v>
      </c>
      <c r="F117" s="21" t="str">
        <f>ifna(VLOOKUP($A117,'v2006'!$A:$F,6,false),"")</f>
        <v>HartreeEnergy</v>
      </c>
      <c r="G117" s="21" t="str">
        <f>IFERROR(__xludf.DUMMYFUNCTION("REGEXREPLACE(substitute(substitute(B117,"" "",""""),""..."",""""),""\(.*\)"","""")"),"4.35974417e-18")</f>
        <v>4.35974417e-18</v>
      </c>
      <c r="H117" s="43">
        <f t="shared" si="2"/>
        <v>0</v>
      </c>
      <c r="I117" s="21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43">
        <f t="shared" si="3"/>
        <v>0</v>
      </c>
      <c r="K117" s="43" t="b">
        <f t="shared" si="4"/>
        <v>0</v>
      </c>
      <c r="L117" s="21" t="str">
        <f>IFERROR(__xludf.DUMMYFUNCTION("if(regexmatch(B117,""e(.*)$""),regexextract(B117,""e(.*)$""),"""")"),"-18")</f>
        <v>-18</v>
      </c>
    </row>
    <row r="118">
      <c r="A118" s="34" t="s">
        <v>1162</v>
      </c>
      <c r="B118" s="34" t="s">
        <v>4600</v>
      </c>
      <c r="C118" s="34" t="s">
        <v>553</v>
      </c>
      <c r="D118" s="13" t="str">
        <f t="shared" si="1"/>
        <v>u</v>
      </c>
      <c r="E118" s="42">
        <f>countif(Constants!F:F,F118)</f>
        <v>1</v>
      </c>
      <c r="F118" s="21" t="str">
        <f>ifna(VLOOKUP($A118,'v2006'!$A:$F,6,false),"")</f>
        <v>HartreeAtomicMassUnitRelationship</v>
      </c>
      <c r="G118" s="21" t="str">
        <f>IFERROR(__xludf.DUMMYFUNCTION("REGEXREPLACE(substitute(substitute(B118,"" "",""""),""..."",""""),""\(.*\)"","""")"),"2.921262323e-8")</f>
        <v>2.921262323e-8</v>
      </c>
      <c r="H118" s="43">
        <f t="shared" si="2"/>
        <v>0.00000002921262323</v>
      </c>
      <c r="I118" s="21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43">
        <f t="shared" si="3"/>
        <v>0</v>
      </c>
      <c r="K118" s="43" t="b">
        <f t="shared" si="4"/>
        <v>0</v>
      </c>
      <c r="L118" s="21" t="str">
        <f>IFERROR(__xludf.DUMMYFUNCTION("if(regexmatch(B118,""e(.*)$""),regexextract(B118,""e(.*)$""),"""")"),"-8")</f>
        <v>-8</v>
      </c>
    </row>
    <row r="119">
      <c r="A119" s="34" t="s">
        <v>1168</v>
      </c>
      <c r="B119" s="34" t="s">
        <v>4532</v>
      </c>
      <c r="C119" s="34" t="s">
        <v>175</v>
      </c>
      <c r="D119" s="13" t="str">
        <f t="shared" si="1"/>
        <v>eV</v>
      </c>
      <c r="E119" s="42">
        <f>countif(Constants!F:F,F119)</f>
        <v>1</v>
      </c>
      <c r="F119" s="21" t="str">
        <f>ifna(VLOOKUP($A119,'v2006'!$A:$F,6,false),"")</f>
        <v>HartreeElectronVoltRelationship</v>
      </c>
      <c r="G119" s="21" t="str">
        <f>IFERROR(__xludf.DUMMYFUNCTION("REGEXREPLACE(substitute(substitute(B119,"" "",""""),""..."",""""),""\(.*\)"","""")"),"27.2113845")</f>
        <v>27.2113845</v>
      </c>
      <c r="H119" s="43">
        <f t="shared" si="2"/>
        <v>27.2113845</v>
      </c>
      <c r="I119" s="21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43">
        <f t="shared" si="3"/>
        <v>0.000000023</v>
      </c>
      <c r="K119" s="43" t="b">
        <f t="shared" si="4"/>
        <v>0</v>
      </c>
      <c r="L119" s="21" t="str">
        <f>IFERROR(__xludf.DUMMYFUNCTION("if(regexmatch(B119,""e(.*)$""),regexextract(B119,""e(.*)$""),"""")"),"")</f>
        <v/>
      </c>
    </row>
    <row r="120">
      <c r="A120" s="34" t="s">
        <v>1180</v>
      </c>
      <c r="B120" s="34" t="s">
        <v>4601</v>
      </c>
      <c r="C120" s="34" t="s">
        <v>600</v>
      </c>
      <c r="D120" s="13" t="str">
        <f t="shared" si="1"/>
        <v>Hz</v>
      </c>
      <c r="E120" s="42">
        <f>countif(Constants!F:F,F120)</f>
        <v>1</v>
      </c>
      <c r="F120" s="21" t="str">
        <f>ifna(VLOOKUP($A120,'v2006'!$A:$F,6,false),"")</f>
        <v>HartreeHertzRelationship</v>
      </c>
      <c r="G120" s="21" t="str">
        <f>IFERROR(__xludf.DUMMYFUNCTION("REGEXREPLACE(substitute(substitute(B120,"" "",""""),""..."",""""),""\(.*\)"","""")"),"6.579683920721e15")</f>
        <v>6.579683920721e15</v>
      </c>
      <c r="H120" s="43">
        <f t="shared" si="2"/>
        <v>6.57968E+15</v>
      </c>
      <c r="I120" s="21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43">
        <f t="shared" si="3"/>
        <v>440</v>
      </c>
      <c r="K120" s="43" t="b">
        <f t="shared" si="4"/>
        <v>0</v>
      </c>
      <c r="L120" s="21" t="str">
        <f>IFERROR(__xludf.DUMMYFUNCTION("if(regexmatch(B120,""e(.*)$""),regexextract(B120,""e(.*)$""),"""")"),"15")</f>
        <v>15</v>
      </c>
    </row>
    <row r="121">
      <c r="A121" s="34" t="s">
        <v>1185</v>
      </c>
      <c r="B121" s="34" t="s">
        <v>4307</v>
      </c>
      <c r="C121" s="34" t="s">
        <v>4174</v>
      </c>
      <c r="D121" s="13" t="str">
        <f t="shared" si="1"/>
        <v>m^-1</v>
      </c>
      <c r="E121" s="42">
        <f>countif(Constants!F:F,F121)</f>
        <v>1</v>
      </c>
      <c r="F121" s="21" t="str">
        <f>ifna(VLOOKUP($A121,'v2006'!$A:$F,6,false),"")</f>
        <v>HartreeInverseMeterRelationship</v>
      </c>
      <c r="G121" s="21" t="str">
        <f>IFERROR(__xludf.DUMMYFUNCTION("REGEXREPLACE(substitute(substitute(B121,"" "",""""),""..."",""""),""\(.*\)"","""")"),"2.194746313705e7")</f>
        <v>2.194746313705e7</v>
      </c>
      <c r="H121" s="43">
        <f t="shared" si="2"/>
        <v>21947463.14</v>
      </c>
      <c r="I121" s="21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43">
        <f t="shared" si="3"/>
        <v>0.0000015</v>
      </c>
      <c r="K121" s="43" t="b">
        <f t="shared" si="4"/>
        <v>0</v>
      </c>
      <c r="L121" s="21" t="str">
        <f>IFERROR(__xludf.DUMMYFUNCTION("if(regexmatch(B121,""e(.*)$""),regexextract(B121,""e(.*)$""),"""")"),"7")</f>
        <v>7</v>
      </c>
    </row>
    <row r="122">
      <c r="A122" s="34" t="s">
        <v>1190</v>
      </c>
      <c r="B122" s="34" t="s">
        <v>4534</v>
      </c>
      <c r="C122" s="34" t="s">
        <v>543</v>
      </c>
      <c r="D122" s="13" t="str">
        <f t="shared" si="1"/>
        <v>J</v>
      </c>
      <c r="E122" s="42">
        <f>countif(Constants!F:F,F122)</f>
        <v>1</v>
      </c>
      <c r="F122" s="21" t="str">
        <f>ifna(VLOOKUP($A122,'v2006'!$A:$F,6,false),"")</f>
        <v>HartreeJouleRelationship</v>
      </c>
      <c r="G122" s="21" t="str">
        <f>IFERROR(__xludf.DUMMYFUNCTION("REGEXREPLACE(substitute(substitute(B122,"" "",""""),""..."",""""),""\(.*\)"","""")"),"4.35974417e-18")</f>
        <v>4.35974417e-18</v>
      </c>
      <c r="H122" s="43">
        <f t="shared" si="2"/>
        <v>0</v>
      </c>
      <c r="I122" s="21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43">
        <f t="shared" si="3"/>
        <v>0</v>
      </c>
      <c r="K122" s="43" t="b">
        <f t="shared" si="4"/>
        <v>0</v>
      </c>
      <c r="L122" s="21" t="str">
        <f>IFERROR(__xludf.DUMMYFUNCTION("if(regexmatch(B122,""e(.*)$""),regexextract(B122,""e(.*)$""),"""")"),"-18")</f>
        <v>-18</v>
      </c>
    </row>
    <row r="123">
      <c r="A123" s="34" t="s">
        <v>1195</v>
      </c>
      <c r="B123" s="34" t="s">
        <v>4308</v>
      </c>
      <c r="C123" s="34" t="s">
        <v>618</v>
      </c>
      <c r="D123" s="13" t="str">
        <f t="shared" si="1"/>
        <v>K</v>
      </c>
      <c r="E123" s="42">
        <f>countif(Constants!F:F,F123)</f>
        <v>1</v>
      </c>
      <c r="F123" s="21" t="str">
        <f>ifna(VLOOKUP($A123,'v2006'!$A:$F,6,false),"")</f>
        <v>HartreeKelvinRelationship</v>
      </c>
      <c r="G123" s="21" t="str">
        <f>IFERROR(__xludf.DUMMYFUNCTION("REGEXREPLACE(substitute(substitute(B123,"" "",""""),""..."",""""),""\(.*\)"","""")"),"3.1577465e5")</f>
        <v>3.1577465e5</v>
      </c>
      <c r="H123" s="43">
        <f t="shared" si="2"/>
        <v>315774.65</v>
      </c>
      <c r="I123" s="21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43">
        <f t="shared" si="3"/>
        <v>0.0055</v>
      </c>
      <c r="K123" s="43" t="b">
        <f t="shared" si="4"/>
        <v>0</v>
      </c>
      <c r="L123" s="21" t="str">
        <f>IFERROR(__xludf.DUMMYFUNCTION("if(regexmatch(B123,""e(.*)$""),regexextract(B123,""e(.*)$""),"""")"),"5")</f>
        <v>5</v>
      </c>
    </row>
    <row r="124">
      <c r="A124" s="34" t="s">
        <v>1200</v>
      </c>
      <c r="B124" s="34" t="s">
        <v>4602</v>
      </c>
      <c r="C124" s="34" t="s">
        <v>538</v>
      </c>
      <c r="D124" s="13" t="str">
        <f t="shared" si="1"/>
        <v>kg</v>
      </c>
      <c r="E124" s="42">
        <f>countif(Constants!F:F,F124)</f>
        <v>1</v>
      </c>
      <c r="F124" s="21" t="str">
        <f>ifna(VLOOKUP($A124,'v2006'!$A:$F,6,false),"")</f>
        <v>HartreeKilogramRelationship</v>
      </c>
      <c r="G124" s="21" t="str">
        <f>IFERROR(__xludf.DUMMYFUNCTION("REGEXREPLACE(substitute(substitute(B124,"" "",""""),""..."",""""),""\(.*\)"","""")"),"4.85086960e-35")</f>
        <v>4.85086960e-35</v>
      </c>
      <c r="H124" s="43">
        <f t="shared" si="2"/>
        <v>0</v>
      </c>
      <c r="I124" s="21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43">
        <f t="shared" si="3"/>
        <v>0</v>
      </c>
      <c r="K124" s="43" t="b">
        <f t="shared" si="4"/>
        <v>0</v>
      </c>
      <c r="L124" s="21" t="str">
        <f>IFERROR(__xludf.DUMMYFUNCTION("if(regexmatch(B124,""e(.*)$""),regexextract(B124,""e(.*)$""),"""")"),"-35")</f>
        <v>-35</v>
      </c>
    </row>
    <row r="125">
      <c r="A125" s="34" t="s">
        <v>1223</v>
      </c>
      <c r="B125" s="34" t="s">
        <v>4603</v>
      </c>
      <c r="C125" s="34" t="s">
        <v>538</v>
      </c>
      <c r="D125" s="13" t="str">
        <f t="shared" si="1"/>
        <v>kg</v>
      </c>
      <c r="E125" s="42">
        <f>countif(Constants!F:F,F125)</f>
        <v>1</v>
      </c>
      <c r="F125" s="21" t="str">
        <f>ifna(VLOOKUP($A125,'v2006'!$A:$F,6,false),"")</f>
        <v>HelionMass</v>
      </c>
      <c r="G125" s="21" t="str">
        <f>IFERROR(__xludf.DUMMYFUNCTION("REGEXREPLACE(substitute(substitute(B125,"" "",""""),""..."",""""),""\(.*\)"","""")"),"5.00641214e-27")</f>
        <v>5.00641214e-27</v>
      </c>
      <c r="H125" s="43">
        <f t="shared" si="2"/>
        <v>0</v>
      </c>
      <c r="I125" s="21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43">
        <f t="shared" si="3"/>
        <v>0</v>
      </c>
      <c r="K125" s="43" t="b">
        <f t="shared" si="4"/>
        <v>0</v>
      </c>
      <c r="L125" s="21" t="str">
        <f>IFERROR(__xludf.DUMMYFUNCTION("if(regexmatch(B125,""e(.*)$""),regexextract(B125,""e(.*)$""),"""")"),"-27")</f>
        <v>-27</v>
      </c>
    </row>
    <row r="126">
      <c r="A126" s="34" t="s">
        <v>1227</v>
      </c>
      <c r="B126" s="34" t="s">
        <v>4604</v>
      </c>
      <c r="C126" s="34" t="s">
        <v>543</v>
      </c>
      <c r="D126" s="13" t="str">
        <f t="shared" si="1"/>
        <v>J</v>
      </c>
      <c r="E126" s="42">
        <f>countif(Constants!F:F,F126)</f>
        <v>1</v>
      </c>
      <c r="F126" s="21" t="str">
        <f>ifna(VLOOKUP($A126,'v2006'!$A:$F,6,false),"")</f>
        <v>HelionMassEnergyEquivalent</v>
      </c>
      <c r="G126" s="21" t="str">
        <f>IFERROR(__xludf.DUMMYFUNCTION("REGEXREPLACE(substitute(substitute(B126,"" "",""""),""..."",""""),""\(.*\)"","""")"),"4.49953884e-10")</f>
        <v>4.49953884e-10</v>
      </c>
      <c r="H126" s="43">
        <f t="shared" si="2"/>
        <v>0.000000000449953884</v>
      </c>
      <c r="I126" s="21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43">
        <f t="shared" si="3"/>
        <v>0</v>
      </c>
      <c r="K126" s="43" t="b">
        <f t="shared" si="4"/>
        <v>0</v>
      </c>
      <c r="L126" s="21" t="str">
        <f>IFERROR(__xludf.DUMMYFUNCTION("if(regexmatch(B126,""e(.*)$""),regexextract(B126,""e(.*)$""),"""")"),"-10")</f>
        <v>-10</v>
      </c>
    </row>
    <row r="127">
      <c r="A127" s="34" t="s">
        <v>1231</v>
      </c>
      <c r="B127" s="34" t="s">
        <v>4605</v>
      </c>
      <c r="C127" s="34" t="s">
        <v>548</v>
      </c>
      <c r="D127" s="13" t="str">
        <f t="shared" si="1"/>
        <v>MeV</v>
      </c>
      <c r="E127" s="42">
        <f>countif(Constants!F:F,F127)</f>
        <v>1</v>
      </c>
      <c r="F127" s="21" t="str">
        <f>ifna(VLOOKUP($A127,'v2006'!$A:$F,6,false),"")</f>
        <v>HelionMassEnergyEquivalentInMeV</v>
      </c>
      <c r="G127" s="21" t="str">
        <f>IFERROR(__xludf.DUMMYFUNCTION("REGEXREPLACE(substitute(substitute(B127,"" "",""""),""..."",""""),""\(.*\)"","""")"),"2808.39142")</f>
        <v>2808.39142</v>
      </c>
      <c r="H127" s="43">
        <f t="shared" si="2"/>
        <v>2808.39142</v>
      </c>
      <c r="I127" s="21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43">
        <f t="shared" si="3"/>
        <v>0.0000024</v>
      </c>
      <c r="K127" s="43" t="b">
        <f t="shared" si="4"/>
        <v>0</v>
      </c>
      <c r="L127" s="21" t="str">
        <f>IFERROR(__xludf.DUMMYFUNCTION("if(regexmatch(B127,""e(.*)$""),regexextract(B127,""e(.*)$""),"""")"),"")</f>
        <v/>
      </c>
    </row>
    <row r="128">
      <c r="A128" s="34" t="s">
        <v>1234</v>
      </c>
      <c r="B128" s="34" t="s">
        <v>4606</v>
      </c>
      <c r="C128" s="34" t="s">
        <v>553</v>
      </c>
      <c r="D128" s="13" t="str">
        <f t="shared" si="1"/>
        <v>u</v>
      </c>
      <c r="E128" s="42">
        <f>countif(Constants!F:F,F128)</f>
        <v>1</v>
      </c>
      <c r="F128" s="21" t="str">
        <f>ifna(VLOOKUP($A128,'v2006'!$A:$F,6,false),"")</f>
        <v>HelionMassInAtomicMassUnit</v>
      </c>
      <c r="G128" s="21" t="str">
        <f>IFERROR(__xludf.DUMMYFUNCTION("REGEXREPLACE(substitute(substitute(B128,"" "",""""),""..."",""""),""\(.*\)"","""")"),"3.0149322434")</f>
        <v>3.0149322434</v>
      </c>
      <c r="H128" s="43">
        <f t="shared" si="2"/>
        <v>3.014932243</v>
      </c>
      <c r="I128" s="21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43">
        <f t="shared" si="3"/>
        <v>0</v>
      </c>
      <c r="K128" s="43" t="b">
        <f t="shared" si="4"/>
        <v>0</v>
      </c>
      <c r="L128" s="21" t="str">
        <f>IFERROR(__xludf.DUMMYFUNCTION("if(regexmatch(B128,""e(.*)$""),regexextract(B128,""e(.*)$""),"""")"),"")</f>
        <v/>
      </c>
    </row>
    <row r="129">
      <c r="A129" s="34" t="s">
        <v>1237</v>
      </c>
      <c r="B129" s="34" t="s">
        <v>4607</v>
      </c>
      <c r="C129" s="34" t="s">
        <v>4163</v>
      </c>
      <c r="D129" s="13" t="str">
        <f t="shared" si="1"/>
        <v>kg mol^-1</v>
      </c>
      <c r="E129" s="42">
        <f>countif(Constants!F:F,F129)</f>
        <v>1</v>
      </c>
      <c r="F129" s="21" t="str">
        <f>ifna(VLOOKUP($A129,'v2006'!$A:$F,6,false),"")</f>
        <v>HelionMolarMass</v>
      </c>
      <c r="G129" s="21" t="str">
        <f>IFERROR(__xludf.DUMMYFUNCTION("REGEXREPLACE(substitute(substitute(B129,"" "",""""),""..."",""""),""\(.*\)"","""")"),"3.0149322434e-3")</f>
        <v>3.0149322434e-3</v>
      </c>
      <c r="H129" s="43">
        <f t="shared" si="2"/>
        <v>0.003014932243</v>
      </c>
      <c r="I129" s="21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43">
        <f t="shared" si="3"/>
        <v>0</v>
      </c>
      <c r="K129" s="43" t="b">
        <f t="shared" si="4"/>
        <v>0</v>
      </c>
      <c r="L129" s="21" t="str">
        <f>IFERROR(__xludf.DUMMYFUNCTION("if(regexmatch(B129,""e(.*)$""),regexextract(B129,""e(.*)$""),"""")"),"-3")</f>
        <v>-3</v>
      </c>
    </row>
    <row r="130">
      <c r="A130" s="34" t="s">
        <v>1205</v>
      </c>
      <c r="B130" s="34" t="s">
        <v>4608</v>
      </c>
      <c r="C130" s="34"/>
      <c r="D130" s="13" t="str">
        <f t="shared" si="1"/>
        <v/>
      </c>
      <c r="E130" s="42">
        <f>countif(Constants!F:F,F130)</f>
        <v>1</v>
      </c>
      <c r="F130" s="21" t="str">
        <f>ifna(VLOOKUP($A130,'v2006'!$A:$F,6,false),"")</f>
        <v>HelionElectronMassRatio</v>
      </c>
      <c r="G130" s="21" t="str">
        <f>IFERROR(__xludf.DUMMYFUNCTION("REGEXREPLACE(substitute(substitute(B130,"" "",""""),""..."",""""),""\(.*\)"","""")"),"5495.885269")</f>
        <v>5495.885269</v>
      </c>
      <c r="H130" s="43">
        <f t="shared" si="2"/>
        <v>5495.885269</v>
      </c>
      <c r="I130" s="21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43">
        <f t="shared" si="3"/>
        <v>0.00000011</v>
      </c>
      <c r="K130" s="43" t="b">
        <f t="shared" si="4"/>
        <v>0</v>
      </c>
      <c r="L130" s="21" t="str">
        <f>IFERROR(__xludf.DUMMYFUNCTION("if(regexmatch(B130,""e(.*)$""),regexextract(B130,""e(.*)$""),"""")"),"")</f>
        <v/>
      </c>
    </row>
    <row r="131">
      <c r="A131" s="34" t="s">
        <v>1241</v>
      </c>
      <c r="B131" s="34" t="s">
        <v>4609</v>
      </c>
      <c r="C131" s="34"/>
      <c r="D131" s="13" t="str">
        <f t="shared" si="1"/>
        <v/>
      </c>
      <c r="E131" s="42">
        <f>countif(Constants!F:F,F131)</f>
        <v>1</v>
      </c>
      <c r="F131" s="21" t="str">
        <f>ifna(VLOOKUP($A131,'v2006'!$A:$F,6,false),"")</f>
        <v>HelionProtonMassRatio</v>
      </c>
      <c r="G131" s="21" t="str">
        <f>IFERROR(__xludf.DUMMYFUNCTION("REGEXREPLACE(substitute(substitute(B131,"" "",""""),""..."",""""),""\(.*\)"","""")"),"2.9931526671")</f>
        <v>2.9931526671</v>
      </c>
      <c r="H131" s="43">
        <f t="shared" si="2"/>
        <v>2.993152667</v>
      </c>
      <c r="I131" s="21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43">
        <f t="shared" si="3"/>
        <v>0</v>
      </c>
      <c r="K131" s="43" t="b">
        <f t="shared" si="4"/>
        <v>0</v>
      </c>
      <c r="L131" s="21" t="str">
        <f>IFERROR(__xludf.DUMMYFUNCTION("if(regexmatch(B131,""e(.*)$""),regexextract(B131,""e(.*)$""),"""")"),"")</f>
        <v/>
      </c>
    </row>
    <row r="132">
      <c r="A132" s="34" t="s">
        <v>1251</v>
      </c>
      <c r="B132" s="34" t="s">
        <v>4610</v>
      </c>
      <c r="C132" s="34" t="s">
        <v>553</v>
      </c>
      <c r="D132" s="13" t="str">
        <f t="shared" si="1"/>
        <v>u</v>
      </c>
      <c r="E132" s="42">
        <f>countif(Constants!F:F,F132)</f>
        <v>1</v>
      </c>
      <c r="F132" s="21" t="str">
        <f>ifna(VLOOKUP($A132,'v2006'!$A:$F,6,false),"")</f>
        <v>HertzAtomicMassUnitRelationship</v>
      </c>
      <c r="G132" s="21" t="str">
        <f>IFERROR(__xludf.DUMMYFUNCTION("REGEXREPLACE(substitute(substitute(B132,"" "",""""),""..."",""""),""\(.*\)"","""")"),"4.439821667e-24")</f>
        <v>4.439821667e-24</v>
      </c>
      <c r="H132" s="43">
        <f t="shared" si="2"/>
        <v>0</v>
      </c>
      <c r="I132" s="21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43">
        <f t="shared" si="3"/>
        <v>0</v>
      </c>
      <c r="K132" s="43" t="b">
        <f t="shared" si="4"/>
        <v>0</v>
      </c>
      <c r="L132" s="21" t="str">
        <f>IFERROR(__xludf.DUMMYFUNCTION("if(regexmatch(B132,""e(.*)$""),regexextract(B132,""e(.*)$""),"""")"),"-24")</f>
        <v>-24</v>
      </c>
    </row>
    <row r="133">
      <c r="A133" s="34" t="s">
        <v>1257</v>
      </c>
      <c r="B133" s="34" t="s">
        <v>4611</v>
      </c>
      <c r="C133" s="34" t="s">
        <v>175</v>
      </c>
      <c r="D133" s="13" t="str">
        <f t="shared" si="1"/>
        <v>eV</v>
      </c>
      <c r="E133" s="42">
        <f>countif(Constants!F:F,F133)</f>
        <v>1</v>
      </c>
      <c r="F133" s="21" t="str">
        <f>ifna(VLOOKUP($A133,'v2006'!$A:$F,6,false),"")</f>
        <v>HertzElectronVoltRelationship</v>
      </c>
      <c r="G133" s="21" t="str">
        <f>IFERROR(__xludf.DUMMYFUNCTION("REGEXREPLACE(substitute(substitute(B133,"" "",""""),""..."",""""),""\(.*\)"","""")"),"4.13566743e-15")</f>
        <v>4.13566743e-15</v>
      </c>
      <c r="H133" s="43">
        <f t="shared" si="2"/>
        <v>0</v>
      </c>
      <c r="I133" s="21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43">
        <f t="shared" si="3"/>
        <v>0</v>
      </c>
      <c r="K133" s="43" t="b">
        <f t="shared" si="4"/>
        <v>0</v>
      </c>
      <c r="L133" s="21" t="str">
        <f>IFERROR(__xludf.DUMMYFUNCTION("if(regexmatch(B133,""e(.*)$""),regexextract(B133,""e(.*)$""),"""")"),"-15")</f>
        <v>-15</v>
      </c>
    </row>
    <row r="134">
      <c r="A134" s="34" t="s">
        <v>1262</v>
      </c>
      <c r="B134" s="34" t="s">
        <v>4319</v>
      </c>
      <c r="C134" s="34" t="s">
        <v>593</v>
      </c>
      <c r="D134" s="13" t="str">
        <f t="shared" si="1"/>
        <v>E_h</v>
      </c>
      <c r="E134" s="42">
        <f>countif(Constants!F:F,F134)</f>
        <v>1</v>
      </c>
      <c r="F134" s="21" t="str">
        <f>ifna(VLOOKUP($A134,'v2006'!$A:$F,6,false),"")</f>
        <v>HertzHartreeRelationship</v>
      </c>
      <c r="G134" s="21" t="str">
        <f>IFERROR(__xludf.DUMMYFUNCTION("REGEXREPLACE(substitute(substitute(B134,"" "",""""),""..."",""""),""\(.*\)"","""")"),"1.519829846006e-16")</f>
        <v>1.519829846006e-16</v>
      </c>
      <c r="H134" s="43">
        <f t="shared" si="2"/>
        <v>0</v>
      </c>
      <c r="I134" s="21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43">
        <f t="shared" si="3"/>
        <v>0</v>
      </c>
      <c r="K134" s="43" t="b">
        <f t="shared" si="4"/>
        <v>0</v>
      </c>
      <c r="L134" s="21" t="str">
        <f>IFERROR(__xludf.DUMMYFUNCTION("if(regexmatch(B134,""e(.*)$""),regexextract(B134,""e(.*)$""),"""")"),"-16")</f>
        <v>-16</v>
      </c>
    </row>
    <row r="135">
      <c r="A135" s="34" t="s">
        <v>1267</v>
      </c>
      <c r="B135" s="34" t="s">
        <v>4320</v>
      </c>
      <c r="C135" s="34" t="s">
        <v>4174</v>
      </c>
      <c r="D135" s="13" t="str">
        <f t="shared" si="1"/>
        <v>m^-1</v>
      </c>
      <c r="E135" s="42">
        <f>countif(Constants!F:F,F135)</f>
        <v>1</v>
      </c>
      <c r="F135" s="21" t="str">
        <f>ifna(VLOOKUP($A135,'v2006'!$A:$F,6,false),"")</f>
        <v>HertzInverseMeterRelationship</v>
      </c>
      <c r="G135" s="21" t="str">
        <f>IFERROR(__xludf.DUMMYFUNCTION("REGEXREPLACE(substitute(substitute(B135,"" "",""""),""..."",""""),""\(.*\)"","""")"),"3.335640951e-9")</f>
        <v>3.335640951e-9</v>
      </c>
      <c r="H135" s="43">
        <f t="shared" si="2"/>
        <v>0.000000003335640951</v>
      </c>
      <c r="I135" s="21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43" t="str">
        <f t="shared" si="3"/>
        <v/>
      </c>
      <c r="K135" s="43" t="b">
        <f t="shared" si="4"/>
        <v>1</v>
      </c>
      <c r="L135" s="21" t="str">
        <f>IFERROR(__xludf.DUMMYFUNCTION("if(regexmatch(B135,""e(.*)$""),regexextract(B135,""e(.*)$""),"""")"),"-9")</f>
        <v>-9</v>
      </c>
    </row>
    <row r="136">
      <c r="A136" s="34" t="s">
        <v>1272</v>
      </c>
      <c r="B136" s="34" t="s">
        <v>4612</v>
      </c>
      <c r="C136" s="34" t="s">
        <v>543</v>
      </c>
      <c r="D136" s="13" t="str">
        <f t="shared" si="1"/>
        <v>J</v>
      </c>
      <c r="E136" s="42">
        <f>countif(Constants!F:F,F136)</f>
        <v>1</v>
      </c>
      <c r="F136" s="21" t="str">
        <f>ifna(VLOOKUP($A136,'v2006'!$A:$F,6,false),"")</f>
        <v>HertzJouleRelationship</v>
      </c>
      <c r="G136" s="21" t="str">
        <f>IFERROR(__xludf.DUMMYFUNCTION("REGEXREPLACE(substitute(substitute(B136,"" "",""""),""..."",""""),""\(.*\)"","""")"),"6.6260693e-34")</f>
        <v>6.6260693e-34</v>
      </c>
      <c r="H136" s="43">
        <f t="shared" si="2"/>
        <v>0</v>
      </c>
      <c r="I136" s="21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43">
        <f t="shared" si="3"/>
        <v>0</v>
      </c>
      <c r="K136" s="43" t="b">
        <f t="shared" si="4"/>
        <v>0</v>
      </c>
      <c r="L136" s="21" t="str">
        <f>IFERROR(__xludf.DUMMYFUNCTION("if(regexmatch(B136,""e(.*)$""),regexextract(B136,""e(.*)$""),"""")"),"-34")</f>
        <v>-34</v>
      </c>
    </row>
    <row r="137">
      <c r="A137" s="34" t="s">
        <v>1277</v>
      </c>
      <c r="B137" s="34" t="s">
        <v>4322</v>
      </c>
      <c r="C137" s="34" t="s">
        <v>618</v>
      </c>
      <c r="D137" s="13" t="str">
        <f t="shared" si="1"/>
        <v>K</v>
      </c>
      <c r="E137" s="42">
        <f>countif(Constants!F:F,F137)</f>
        <v>1</v>
      </c>
      <c r="F137" s="21" t="str">
        <f>ifna(VLOOKUP($A137,'v2006'!$A:$F,6,false),"")</f>
        <v>HertzKelvinRelationship</v>
      </c>
      <c r="G137" s="21" t="str">
        <f>IFERROR(__xludf.DUMMYFUNCTION("REGEXREPLACE(substitute(substitute(B137,"" "",""""),""..."",""""),""\(.*\)"","""")"),"4.7992374e-11")</f>
        <v>4.7992374e-11</v>
      </c>
      <c r="H137" s="43">
        <f t="shared" si="2"/>
        <v>0</v>
      </c>
      <c r="I137" s="21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43">
        <f t="shared" si="3"/>
        <v>0</v>
      </c>
      <c r="K137" s="43" t="b">
        <f t="shared" si="4"/>
        <v>0</v>
      </c>
      <c r="L137" s="21" t="str">
        <f>IFERROR(__xludf.DUMMYFUNCTION("if(regexmatch(B137,""e(.*)$""),regexextract(B137,""e(.*)$""),"""")"),"-11")</f>
        <v>-11</v>
      </c>
    </row>
    <row r="138">
      <c r="A138" s="34" t="s">
        <v>1282</v>
      </c>
      <c r="B138" s="34" t="s">
        <v>4613</v>
      </c>
      <c r="C138" s="34" t="s">
        <v>538</v>
      </c>
      <c r="D138" s="13" t="str">
        <f t="shared" si="1"/>
        <v>kg</v>
      </c>
      <c r="E138" s="42">
        <f>countif(Constants!F:F,F138)</f>
        <v>1</v>
      </c>
      <c r="F138" s="21" t="str">
        <f>ifna(VLOOKUP($A138,'v2006'!$A:$F,6,false),"")</f>
        <v>HertzKilogramRelationship</v>
      </c>
      <c r="G138" s="21" t="str">
        <f>IFERROR(__xludf.DUMMYFUNCTION("REGEXREPLACE(substitute(substitute(B138,"" "",""""),""..."",""""),""\(.*\)"","""")"),"7.3724964e-51")</f>
        <v>7.3724964e-51</v>
      </c>
      <c r="H138" s="43">
        <f t="shared" si="2"/>
        <v>0</v>
      </c>
      <c r="I138" s="21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43">
        <f t="shared" si="3"/>
        <v>0</v>
      </c>
      <c r="K138" s="43" t="b">
        <f t="shared" si="4"/>
        <v>0</v>
      </c>
      <c r="L138" s="21" t="str">
        <f>IFERROR(__xludf.DUMMYFUNCTION("if(regexmatch(B138,""e(.*)$""),regexextract(B138,""e(.*)$""),"""")"),"-51")</f>
        <v>-51</v>
      </c>
    </row>
    <row r="139">
      <c r="A139" s="34" t="s">
        <v>1290</v>
      </c>
      <c r="B139" s="34" t="s">
        <v>4614</v>
      </c>
      <c r="C139" s="34"/>
      <c r="D139" s="13" t="str">
        <f t="shared" si="1"/>
        <v/>
      </c>
      <c r="E139" s="42">
        <f>countif(Constants!F:F,F139)</f>
        <v>1</v>
      </c>
      <c r="F139" s="21" t="str">
        <f>ifna(VLOOKUP($A139,'v2006'!$A:$F,6,false),"")</f>
        <v>InverseFineStructureConstant</v>
      </c>
      <c r="G139" s="21" t="str">
        <f>IFERROR(__xludf.DUMMYFUNCTION("REGEXREPLACE(substitute(substitute(B139,"" "",""""),""..."",""""),""\(.*\)"","""")"),"137.03599911")</f>
        <v>137.03599911</v>
      </c>
      <c r="H139" s="43">
        <f t="shared" si="2"/>
        <v>137.0359991</v>
      </c>
      <c r="I139" s="21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43">
        <f t="shared" si="3"/>
        <v>0.0000000046</v>
      </c>
      <c r="K139" s="43" t="b">
        <f t="shared" si="4"/>
        <v>0</v>
      </c>
      <c r="L139" s="21" t="str">
        <f>IFERROR(__xludf.DUMMYFUNCTION("if(regexmatch(B139,""e(.*)$""),regexextract(B139,""e(.*)$""),"""")"),"")</f>
        <v/>
      </c>
    </row>
    <row r="140">
      <c r="A140" s="34" t="s">
        <v>1294</v>
      </c>
      <c r="B140" s="34" t="s">
        <v>4615</v>
      </c>
      <c r="C140" s="34" t="s">
        <v>553</v>
      </c>
      <c r="D140" s="13" t="str">
        <f t="shared" si="1"/>
        <v>u</v>
      </c>
      <c r="E140" s="42">
        <f>countif(Constants!F:F,F140)</f>
        <v>1</v>
      </c>
      <c r="F140" s="21" t="str">
        <f>ifna(VLOOKUP($A140,'v2006'!$A:$F,6,false),"")</f>
        <v>InverseMeterAtomicMassUnitRelationship</v>
      </c>
      <c r="G140" s="21" t="str">
        <f>IFERROR(__xludf.DUMMYFUNCTION("REGEXREPLACE(substitute(substitute(B140,"" "",""""),""..."",""""),""\(.*\)"","""")"),"1.3310250506e-15")</f>
        <v>1.3310250506e-15</v>
      </c>
      <c r="H140" s="43">
        <f t="shared" si="2"/>
        <v>0</v>
      </c>
      <c r="I140" s="21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43">
        <f t="shared" si="3"/>
        <v>0</v>
      </c>
      <c r="K140" s="43" t="b">
        <f t="shared" si="4"/>
        <v>0</v>
      </c>
      <c r="L140" s="21" t="str">
        <f>IFERROR(__xludf.DUMMYFUNCTION("if(regexmatch(B140,""e(.*)$""),regexextract(B140,""e(.*)$""),"""")"),"-15")</f>
        <v>-15</v>
      </c>
    </row>
    <row r="141">
      <c r="A141" s="34" t="s">
        <v>1300</v>
      </c>
      <c r="B141" s="34" t="s">
        <v>4616</v>
      </c>
      <c r="C141" s="34" t="s">
        <v>175</v>
      </c>
      <c r="D141" s="13" t="str">
        <f t="shared" si="1"/>
        <v>eV</v>
      </c>
      <c r="E141" s="42">
        <f>countif(Constants!F:F,F141)</f>
        <v>1</v>
      </c>
      <c r="F141" s="21" t="str">
        <f>ifna(VLOOKUP($A141,'v2006'!$A:$F,6,false),"")</f>
        <v>InverseMeterElectronVoltRelationship</v>
      </c>
      <c r="G141" s="21" t="str">
        <f>IFERROR(__xludf.DUMMYFUNCTION("REGEXREPLACE(substitute(substitute(B141,"" "",""""),""..."",""""),""\(.*\)"","""")"),"1.23984191e-6")</f>
        <v>1.23984191e-6</v>
      </c>
      <c r="H141" s="43">
        <f t="shared" si="2"/>
        <v>0.00000123984191</v>
      </c>
      <c r="I141" s="21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43">
        <f t="shared" si="3"/>
        <v>0</v>
      </c>
      <c r="K141" s="43" t="b">
        <f t="shared" si="4"/>
        <v>0</v>
      </c>
      <c r="L141" s="21" t="str">
        <f>IFERROR(__xludf.DUMMYFUNCTION("if(regexmatch(B141,""e(.*)$""),regexextract(B141,""e(.*)$""),"""")"),"-6")</f>
        <v>-6</v>
      </c>
    </row>
    <row r="142">
      <c r="A142" s="34" t="s">
        <v>1305</v>
      </c>
      <c r="B142" s="34" t="s">
        <v>4327</v>
      </c>
      <c r="C142" s="34" t="s">
        <v>593</v>
      </c>
      <c r="D142" s="13" t="str">
        <f t="shared" si="1"/>
        <v>E_h</v>
      </c>
      <c r="E142" s="42">
        <f>countif(Constants!F:F,F142)</f>
        <v>1</v>
      </c>
      <c r="F142" s="21" t="str">
        <f>ifna(VLOOKUP($A142,'v2006'!$A:$F,6,false),"")</f>
        <v>InverseMeterHartreeRelationship</v>
      </c>
      <c r="G142" s="21" t="str">
        <f>IFERROR(__xludf.DUMMYFUNCTION("REGEXREPLACE(substitute(substitute(B142,"" "",""""),""..."",""""),""\(.*\)"","""")"),"4.556335252760e-8")</f>
        <v>4.556335252760e-8</v>
      </c>
      <c r="H142" s="43">
        <f t="shared" si="2"/>
        <v>0.00000004556335253</v>
      </c>
      <c r="I142" s="21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43">
        <f t="shared" si="3"/>
        <v>0</v>
      </c>
      <c r="K142" s="43" t="b">
        <f t="shared" si="4"/>
        <v>0</v>
      </c>
      <c r="L142" s="21" t="str">
        <f>IFERROR(__xludf.DUMMYFUNCTION("if(regexmatch(B142,""e(.*)$""),regexextract(B142,""e(.*)$""),"""")"),"-8")</f>
        <v>-8</v>
      </c>
    </row>
    <row r="143">
      <c r="A143" s="34" t="s">
        <v>1309</v>
      </c>
      <c r="B143" s="34" t="s">
        <v>2474</v>
      </c>
      <c r="C143" s="34" t="s">
        <v>600</v>
      </c>
      <c r="D143" s="13" t="str">
        <f t="shared" si="1"/>
        <v>Hz</v>
      </c>
      <c r="E143" s="42">
        <f>countif(Constants!F:F,F143)</f>
        <v>1</v>
      </c>
      <c r="F143" s="21" t="str">
        <f>ifna(VLOOKUP($A143,'v2006'!$A:$F,6,false),"")</f>
        <v>InverseMeterHertzRelationship</v>
      </c>
      <c r="G143" s="21" t="str">
        <f>IFERROR(__xludf.DUMMYFUNCTION("REGEXREPLACE(substitute(substitute(B143,"" "",""""),""..."",""""),""\(.*\)"","""")"),"299792458")</f>
        <v>299792458</v>
      </c>
      <c r="H143" s="43">
        <f t="shared" si="2"/>
        <v>299792458</v>
      </c>
      <c r="I143" s="21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43" t="str">
        <f t="shared" si="3"/>
        <v/>
      </c>
      <c r="K143" s="43" t="b">
        <f t="shared" si="4"/>
        <v>0</v>
      </c>
      <c r="L143" s="21" t="str">
        <f>IFERROR(__xludf.DUMMYFUNCTION("if(regexmatch(B143,""e(.*)$""),regexextract(B143,""e(.*)$""),"""")"),"")</f>
        <v/>
      </c>
    </row>
    <row r="144">
      <c r="A144" s="34" t="s">
        <v>1314</v>
      </c>
      <c r="B144" s="34" t="s">
        <v>4617</v>
      </c>
      <c r="C144" s="34" t="s">
        <v>543</v>
      </c>
      <c r="D144" s="13" t="str">
        <f t="shared" si="1"/>
        <v>J</v>
      </c>
      <c r="E144" s="42">
        <f>countif(Constants!F:F,F144)</f>
        <v>1</v>
      </c>
      <c r="F144" s="21" t="str">
        <f>ifna(VLOOKUP($A144,'v2006'!$A:$F,6,false),"")</f>
        <v>InverseMeterJouleRelationship</v>
      </c>
      <c r="G144" s="21" t="str">
        <f>IFERROR(__xludf.DUMMYFUNCTION("REGEXREPLACE(substitute(substitute(B144,"" "",""""),""..."",""""),""\(.*\)"","""")"),"1.98644561e-25")</f>
        <v>1.98644561e-25</v>
      </c>
      <c r="H144" s="43">
        <f t="shared" si="2"/>
        <v>0</v>
      </c>
      <c r="I144" s="21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43">
        <f t="shared" si="3"/>
        <v>0</v>
      </c>
      <c r="K144" s="43" t="b">
        <f t="shared" si="4"/>
        <v>0</v>
      </c>
      <c r="L144" s="21" t="str">
        <f>IFERROR(__xludf.DUMMYFUNCTION("if(regexmatch(B144,""e(.*)$""),regexextract(B144,""e(.*)$""),"""")"),"-25")</f>
        <v>-25</v>
      </c>
    </row>
    <row r="145">
      <c r="A145" s="34" t="s">
        <v>1319</v>
      </c>
      <c r="B145" s="34" t="s">
        <v>4329</v>
      </c>
      <c r="C145" s="34" t="s">
        <v>618</v>
      </c>
      <c r="D145" s="13" t="str">
        <f t="shared" si="1"/>
        <v>K</v>
      </c>
      <c r="E145" s="42">
        <f>countif(Constants!F:F,F145)</f>
        <v>1</v>
      </c>
      <c r="F145" s="21" t="str">
        <f>ifna(VLOOKUP($A145,'v2006'!$A:$F,6,false),"")</f>
        <v>InverseMeterKelvinRelationship</v>
      </c>
      <c r="G145" s="21" t="str">
        <f>IFERROR(__xludf.DUMMYFUNCTION("REGEXREPLACE(substitute(substitute(B145,"" "",""""),""..."",""""),""\(.*\)"","""")"),"1.4387752e-2")</f>
        <v>1.4387752e-2</v>
      </c>
      <c r="H145" s="43">
        <f t="shared" si="2"/>
        <v>0.014387752</v>
      </c>
      <c r="I145" s="21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43">
        <f t="shared" si="3"/>
        <v>0.00000000025</v>
      </c>
      <c r="K145" s="43" t="b">
        <f t="shared" si="4"/>
        <v>0</v>
      </c>
      <c r="L145" s="21" t="str">
        <f>IFERROR(__xludf.DUMMYFUNCTION("if(regexmatch(B145,""e(.*)$""),regexextract(B145,""e(.*)$""),"""")"),"-2")</f>
        <v>-2</v>
      </c>
    </row>
    <row r="146">
      <c r="A146" s="34" t="s">
        <v>1324</v>
      </c>
      <c r="B146" s="34" t="s">
        <v>4618</v>
      </c>
      <c r="C146" s="34" t="s">
        <v>538</v>
      </c>
      <c r="D146" s="13" t="str">
        <f t="shared" si="1"/>
        <v>kg</v>
      </c>
      <c r="E146" s="42">
        <f>countif(Constants!F:F,F146)</f>
        <v>1</v>
      </c>
      <c r="F146" s="21" t="str">
        <f>ifna(VLOOKUP($A146,'v2006'!$A:$F,6,false),"")</f>
        <v>InverseMeterKilogramRelationship</v>
      </c>
      <c r="G146" s="21" t="str">
        <f>IFERROR(__xludf.DUMMYFUNCTION("REGEXREPLACE(substitute(substitute(B146,"" "",""""),""..."",""""),""\(.*\)"","""")"),"2.21021881e-42")</f>
        <v>2.21021881e-42</v>
      </c>
      <c r="H146" s="43">
        <f t="shared" si="2"/>
        <v>0</v>
      </c>
      <c r="I146" s="21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43">
        <f t="shared" si="3"/>
        <v>0</v>
      </c>
      <c r="K146" s="43" t="b">
        <f t="shared" si="4"/>
        <v>0</v>
      </c>
      <c r="L146" s="21" t="str">
        <f>IFERROR(__xludf.DUMMYFUNCTION("if(regexmatch(B146,""e(.*)$""),regexextract(B146,""e(.*)$""),"""")"),"-42")</f>
        <v>-42</v>
      </c>
    </row>
    <row r="147">
      <c r="A147" s="34" t="s">
        <v>1329</v>
      </c>
      <c r="B147" s="34" t="s">
        <v>4619</v>
      </c>
      <c r="C147" s="34" t="s">
        <v>816</v>
      </c>
      <c r="D147" s="13" t="str">
        <f t="shared" si="1"/>
        <v>Ohm</v>
      </c>
      <c r="E147" s="42">
        <f>countif(Constants!F:F,F147)</f>
        <v>1</v>
      </c>
      <c r="F147" s="21" t="str">
        <f>ifna(VLOOKUP($A147,'v2006'!$A:$F,6,false),"")</f>
        <v>InverseOfConductanceQuantum</v>
      </c>
      <c r="G147" s="21" t="str">
        <f>IFERROR(__xludf.DUMMYFUNCTION("REGEXREPLACE(substitute(substitute(B147,"" "",""""),""..."",""""),""\(.*\)"","""")"),"12906.403725")</f>
        <v>12906.403725</v>
      </c>
      <c r="H147" s="43">
        <f t="shared" si="2"/>
        <v>12906.40373</v>
      </c>
      <c r="I147" s="21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43">
        <f t="shared" si="3"/>
        <v>0.00000043</v>
      </c>
      <c r="K147" s="43" t="b">
        <f t="shared" si="4"/>
        <v>0</v>
      </c>
      <c r="L147" s="21" t="str">
        <f>IFERROR(__xludf.DUMMYFUNCTION("if(regexmatch(B147,""e(.*)$""),regexextract(B147,""e(.*)$""),"""")"),"")</f>
        <v/>
      </c>
    </row>
    <row r="148">
      <c r="A148" s="34" t="s">
        <v>1333</v>
      </c>
      <c r="B148" s="34" t="s">
        <v>4620</v>
      </c>
      <c r="C148" s="34" t="s">
        <v>4234</v>
      </c>
      <c r="D148" s="13" t="str">
        <f t="shared" si="1"/>
        <v>Hz V^-1</v>
      </c>
      <c r="E148" s="42">
        <f>countif(Constants!F:F,F148)</f>
        <v>1</v>
      </c>
      <c r="F148" s="21" t="str">
        <f>ifna(VLOOKUP($A148,'v2006'!$A:$F,6,false),"")</f>
        <v>JosephsonConstant</v>
      </c>
      <c r="G148" s="21" t="str">
        <f>IFERROR(__xludf.DUMMYFUNCTION("REGEXREPLACE(substitute(substitute(B148,"" "",""""),""..."",""""),""\(.*\)"","""")"),"483597.879e9")</f>
        <v>483597.879e9</v>
      </c>
      <c r="H148" s="43">
        <f t="shared" si="2"/>
        <v>483597879000000</v>
      </c>
      <c r="I148" s="21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43">
        <f t="shared" si="3"/>
        <v>410000</v>
      </c>
      <c r="K148" s="43" t="b">
        <f t="shared" si="4"/>
        <v>0</v>
      </c>
      <c r="L148" s="21" t="str">
        <f>IFERROR(__xludf.DUMMYFUNCTION("if(regexmatch(B148,""e(.*)$""),regexextract(B148,""e(.*)$""),"""")"),"9")</f>
        <v>9</v>
      </c>
    </row>
    <row r="149">
      <c r="A149" s="34" t="s">
        <v>1337</v>
      </c>
      <c r="B149" s="34" t="s">
        <v>4621</v>
      </c>
      <c r="C149" s="34" t="s">
        <v>553</v>
      </c>
      <c r="D149" s="13" t="str">
        <f t="shared" si="1"/>
        <v>u</v>
      </c>
      <c r="E149" s="42">
        <f>countif(Constants!F:F,F149)</f>
        <v>1</v>
      </c>
      <c r="F149" s="21" t="str">
        <f>ifna(VLOOKUP($A149,'v2006'!$A:$F,6,false),"")</f>
        <v>JouleAtomicMassUnitRelationship</v>
      </c>
      <c r="G149" s="21" t="str">
        <f>IFERROR(__xludf.DUMMYFUNCTION("REGEXREPLACE(substitute(substitute(B149,"" "",""""),""..."",""""),""\(.*\)"","""")"),"6.7005361e9")</f>
        <v>6.7005361e9</v>
      </c>
      <c r="H149" s="43">
        <f t="shared" si="2"/>
        <v>6700536100</v>
      </c>
      <c r="I149" s="21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43">
        <f t="shared" si="3"/>
        <v>11</v>
      </c>
      <c r="K149" s="43" t="b">
        <f t="shared" si="4"/>
        <v>0</v>
      </c>
      <c r="L149" s="21" t="str">
        <f>IFERROR(__xludf.DUMMYFUNCTION("if(regexmatch(B149,""e(.*)$""),regexextract(B149,""e(.*)$""),"""")"),"9")</f>
        <v>9</v>
      </c>
    </row>
    <row r="150">
      <c r="A150" s="34" t="s">
        <v>1343</v>
      </c>
      <c r="B150" s="34" t="s">
        <v>4622</v>
      </c>
      <c r="C150" s="34" t="s">
        <v>175</v>
      </c>
      <c r="D150" s="13" t="str">
        <f t="shared" si="1"/>
        <v>eV</v>
      </c>
      <c r="E150" s="42">
        <f>countif(Constants!F:F,F150)</f>
        <v>1</v>
      </c>
      <c r="F150" s="21" t="str">
        <f>ifna(VLOOKUP($A150,'v2006'!$A:$F,6,false),"")</f>
        <v>JouleElectronVoltRelationship</v>
      </c>
      <c r="G150" s="21" t="str">
        <f>IFERROR(__xludf.DUMMYFUNCTION("REGEXREPLACE(substitute(substitute(B150,"" "",""""),""..."",""""),""\(.*\)"","""")"),"6.24150947e18")</f>
        <v>6.24150947e18</v>
      </c>
      <c r="H150" s="43">
        <f t="shared" si="2"/>
        <v>6.24151E+18</v>
      </c>
      <c r="I150" s="21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43">
        <f t="shared" si="3"/>
        <v>5300000000</v>
      </c>
      <c r="K150" s="43" t="b">
        <f t="shared" si="4"/>
        <v>0</v>
      </c>
      <c r="L150" s="21" t="str">
        <f>IFERROR(__xludf.DUMMYFUNCTION("if(regexmatch(B150,""e(.*)$""),regexextract(B150,""e(.*)$""),"""")"),"18")</f>
        <v>18</v>
      </c>
    </row>
    <row r="151">
      <c r="A151" s="34" t="s">
        <v>1348</v>
      </c>
      <c r="B151" s="34" t="s">
        <v>4623</v>
      </c>
      <c r="C151" s="34" t="s">
        <v>593</v>
      </c>
      <c r="D151" s="13" t="str">
        <f t="shared" si="1"/>
        <v>E_h</v>
      </c>
      <c r="E151" s="42">
        <f>countif(Constants!F:F,F151)</f>
        <v>1</v>
      </c>
      <c r="F151" s="21" t="str">
        <f>ifna(VLOOKUP($A151,'v2006'!$A:$F,6,false),"")</f>
        <v>JouleHartreeRelationship</v>
      </c>
      <c r="G151" s="21" t="str">
        <f>IFERROR(__xludf.DUMMYFUNCTION("REGEXREPLACE(substitute(substitute(B151,"" "",""""),""..."",""""),""\(.*\)"","""")"),"2.29371257e17")</f>
        <v>2.29371257e17</v>
      </c>
      <c r="H151" s="43">
        <f t="shared" si="2"/>
        <v>2.29371E+17</v>
      </c>
      <c r="I151" s="21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43">
        <f t="shared" si="3"/>
        <v>390000000</v>
      </c>
      <c r="K151" s="43" t="b">
        <f t="shared" si="4"/>
        <v>0</v>
      </c>
      <c r="L151" s="21" t="str">
        <f>IFERROR(__xludf.DUMMYFUNCTION("if(regexmatch(B151,""e(.*)$""),regexextract(B151,""e(.*)$""),"""")"),"17")</f>
        <v>17</v>
      </c>
    </row>
    <row r="152">
      <c r="A152" s="34" t="s">
        <v>1353</v>
      </c>
      <c r="B152" s="34" t="s">
        <v>4624</v>
      </c>
      <c r="C152" s="34" t="s">
        <v>600</v>
      </c>
      <c r="D152" s="13" t="str">
        <f t="shared" si="1"/>
        <v>Hz</v>
      </c>
      <c r="E152" s="42">
        <f>countif(Constants!F:F,F152)</f>
        <v>1</v>
      </c>
      <c r="F152" s="21" t="str">
        <f>ifna(VLOOKUP($A152,'v2006'!$A:$F,6,false),"")</f>
        <v>JouleHertzRelationship</v>
      </c>
      <c r="G152" s="21" t="str">
        <f>IFERROR(__xludf.DUMMYFUNCTION("REGEXREPLACE(substitute(substitute(B152,"" "",""""),""..."",""""),""\(.*\)"","""")"),"1.50919037e33")</f>
        <v>1.50919037e33</v>
      </c>
      <c r="H152" s="43">
        <f t="shared" si="2"/>
        <v>1.50919E+33</v>
      </c>
      <c r="I152" s="21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43">
        <f t="shared" si="3"/>
        <v>2.6E+24</v>
      </c>
      <c r="K152" s="43" t="b">
        <f t="shared" si="4"/>
        <v>0</v>
      </c>
      <c r="L152" s="21" t="str">
        <f>IFERROR(__xludf.DUMMYFUNCTION("if(regexmatch(B152,""e(.*)$""),regexextract(B152,""e(.*)$""),"""")"),"33")</f>
        <v>33</v>
      </c>
    </row>
    <row r="153">
      <c r="A153" s="34" t="s">
        <v>1358</v>
      </c>
      <c r="B153" s="34" t="s">
        <v>4625</v>
      </c>
      <c r="C153" s="34" t="s">
        <v>4174</v>
      </c>
      <c r="D153" s="13" t="str">
        <f t="shared" si="1"/>
        <v>m^-1</v>
      </c>
      <c r="E153" s="42">
        <f>countif(Constants!F:F,F153)</f>
        <v>1</v>
      </c>
      <c r="F153" s="21" t="str">
        <f>ifna(VLOOKUP($A153,'v2006'!$A:$F,6,false),"")</f>
        <v>JouleInverseMeterRelationship</v>
      </c>
      <c r="G153" s="21" t="str">
        <f>IFERROR(__xludf.DUMMYFUNCTION("REGEXREPLACE(substitute(substitute(B153,"" "",""""),""..."",""""),""\(.*\)"","""")"),"5.03411721e24")</f>
        <v>5.03411721e24</v>
      </c>
      <c r="H153" s="43">
        <f t="shared" si="2"/>
        <v>5.03412E+24</v>
      </c>
      <c r="I153" s="21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43">
        <f t="shared" si="3"/>
        <v>8.6E+15</v>
      </c>
      <c r="K153" s="43" t="b">
        <f t="shared" si="4"/>
        <v>0</v>
      </c>
      <c r="L153" s="21" t="str">
        <f>IFERROR(__xludf.DUMMYFUNCTION("if(regexmatch(B153,""e(.*)$""),regexextract(B153,""e(.*)$""),"""")"),"24")</f>
        <v>24</v>
      </c>
    </row>
    <row r="154">
      <c r="A154" s="34" t="s">
        <v>1363</v>
      </c>
      <c r="B154" s="34" t="s">
        <v>4338</v>
      </c>
      <c r="C154" s="34" t="s">
        <v>618</v>
      </c>
      <c r="D154" s="13" t="str">
        <f t="shared" si="1"/>
        <v>K</v>
      </c>
      <c r="E154" s="42">
        <f>countif(Constants!F:F,F154)</f>
        <v>1</v>
      </c>
      <c r="F154" s="21" t="str">
        <f>ifna(VLOOKUP($A154,'v2006'!$A:$F,6,false),"")</f>
        <v>JouleKelvinRelationship</v>
      </c>
      <c r="G154" s="21" t="str">
        <f>IFERROR(__xludf.DUMMYFUNCTION("REGEXREPLACE(substitute(substitute(B154,"" "",""""),""..."",""""),""\(.*\)"","""")"),"7.242963e22")</f>
        <v>7.242963e22</v>
      </c>
      <c r="H154" s="43">
        <f t="shared" si="2"/>
        <v>7.24296E+22</v>
      </c>
      <c r="I154" s="21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43">
        <f t="shared" si="3"/>
        <v>1.3E+15</v>
      </c>
      <c r="K154" s="43" t="b">
        <f t="shared" si="4"/>
        <v>0</v>
      </c>
      <c r="L154" s="21" t="str">
        <f>IFERROR(__xludf.DUMMYFUNCTION("if(regexmatch(B154,""e(.*)$""),regexextract(B154,""e(.*)$""),"""")"),"22")</f>
        <v>22</v>
      </c>
    </row>
    <row r="155">
      <c r="A155" s="34" t="s">
        <v>1368</v>
      </c>
      <c r="B155" s="34" t="s">
        <v>4339</v>
      </c>
      <c r="C155" s="34" t="s">
        <v>538</v>
      </c>
      <c r="D155" s="13" t="str">
        <f t="shared" si="1"/>
        <v>kg</v>
      </c>
      <c r="E155" s="42">
        <f>countif(Constants!F:F,F155)</f>
        <v>1</v>
      </c>
      <c r="F155" s="21" t="str">
        <f>ifna(VLOOKUP($A155,'v2006'!$A:$F,6,false),"")</f>
        <v>JouleKilogramRelationship</v>
      </c>
      <c r="G155" s="21" t="str">
        <f>IFERROR(__xludf.DUMMYFUNCTION("REGEXREPLACE(substitute(substitute(B155,"" "",""""),""..."",""""),""\(.*\)"","""")"),"1.112650056e-17")</f>
        <v>1.112650056e-17</v>
      </c>
      <c r="H155" s="43">
        <f t="shared" si="2"/>
        <v>0</v>
      </c>
      <c r="I155" s="21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43" t="str">
        <f t="shared" si="3"/>
        <v/>
      </c>
      <c r="K155" s="43" t="b">
        <f t="shared" si="4"/>
        <v>1</v>
      </c>
      <c r="L155" s="21" t="str">
        <f>IFERROR(__xludf.DUMMYFUNCTION("if(regexmatch(B155,""e(.*)$""),regexextract(B155,""e(.*)$""),"""")"),"-17")</f>
        <v>-17</v>
      </c>
    </row>
    <row r="156">
      <c r="A156" s="34" t="s">
        <v>1373</v>
      </c>
      <c r="B156" s="34" t="s">
        <v>4340</v>
      </c>
      <c r="C156" s="34" t="s">
        <v>553</v>
      </c>
      <c r="D156" s="13" t="str">
        <f t="shared" si="1"/>
        <v>u</v>
      </c>
      <c r="E156" s="42">
        <f>countif(Constants!F:F,F156)</f>
        <v>1</v>
      </c>
      <c r="F156" s="21" t="str">
        <f>ifna(VLOOKUP($A156,'v2006'!$A:$F,6,false),"")</f>
        <v>KelvinAtomicMassUnitRelationship</v>
      </c>
      <c r="G156" s="21" t="str">
        <f>IFERROR(__xludf.DUMMYFUNCTION("REGEXREPLACE(substitute(substitute(B156,"" "",""""),""..."",""""),""\(.*\)"","""")"),"9.251098e-14")</f>
        <v>9.251098e-14</v>
      </c>
      <c r="H156" s="43">
        <f t="shared" si="2"/>
        <v>0</v>
      </c>
      <c r="I156" s="21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43">
        <f t="shared" si="3"/>
        <v>0</v>
      </c>
      <c r="K156" s="43" t="b">
        <f t="shared" si="4"/>
        <v>0</v>
      </c>
      <c r="L156" s="21" t="str">
        <f>IFERROR(__xludf.DUMMYFUNCTION("if(regexmatch(B156,""e(.*)$""),regexextract(B156,""e(.*)$""),"""")"),"-14")</f>
        <v>-14</v>
      </c>
    </row>
    <row r="157">
      <c r="A157" s="34" t="s">
        <v>1379</v>
      </c>
      <c r="B157" s="34" t="s">
        <v>4225</v>
      </c>
      <c r="C157" s="34" t="s">
        <v>175</v>
      </c>
      <c r="D157" s="13" t="str">
        <f t="shared" si="1"/>
        <v>eV</v>
      </c>
      <c r="E157" s="42">
        <f>countif(Constants!F:F,F157)</f>
        <v>1</v>
      </c>
      <c r="F157" s="21" t="str">
        <f>ifna(VLOOKUP($A157,'v2006'!$A:$F,6,false),"")</f>
        <v>KelvinElectronVoltRelationship</v>
      </c>
      <c r="G157" s="21" t="str">
        <f>IFERROR(__xludf.DUMMYFUNCTION("REGEXREPLACE(substitute(substitute(B157,"" "",""""),""..."",""""),""\(.*\)"","""")"),"8.617343e-5")</f>
        <v>8.617343e-5</v>
      </c>
      <c r="H157" s="43">
        <f t="shared" si="2"/>
        <v>0.00008617343</v>
      </c>
      <c r="I157" s="21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43">
        <f t="shared" si="3"/>
        <v>0</v>
      </c>
      <c r="K157" s="43" t="b">
        <f t="shared" si="4"/>
        <v>0</v>
      </c>
      <c r="L157" s="21" t="str">
        <f>IFERROR(__xludf.DUMMYFUNCTION("if(regexmatch(B157,""e(.*)$""),regexextract(B157,""e(.*)$""),"""")"),"-5")</f>
        <v>-5</v>
      </c>
    </row>
    <row r="158">
      <c r="A158" s="34" t="s">
        <v>1384</v>
      </c>
      <c r="B158" s="34" t="s">
        <v>4341</v>
      </c>
      <c r="C158" s="34" t="s">
        <v>593</v>
      </c>
      <c r="D158" s="13" t="str">
        <f t="shared" si="1"/>
        <v>E_h</v>
      </c>
      <c r="E158" s="42">
        <f>countif(Constants!F:F,F158)</f>
        <v>1</v>
      </c>
      <c r="F158" s="21" t="str">
        <f>ifna(VLOOKUP($A158,'v2006'!$A:$F,6,false),"")</f>
        <v>KelvinHartreeRelationship</v>
      </c>
      <c r="G158" s="21" t="str">
        <f>IFERROR(__xludf.DUMMYFUNCTION("REGEXREPLACE(substitute(substitute(B158,"" "",""""),""..."",""""),""\(.*\)"","""")"),"3.1668153e-6")</f>
        <v>3.1668153e-6</v>
      </c>
      <c r="H158" s="43">
        <f t="shared" si="2"/>
        <v>0.0000031668153</v>
      </c>
      <c r="I158" s="21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43">
        <f t="shared" si="3"/>
        <v>0</v>
      </c>
      <c r="K158" s="43" t="b">
        <f t="shared" si="4"/>
        <v>0</v>
      </c>
      <c r="L158" s="21" t="str">
        <f>IFERROR(__xludf.DUMMYFUNCTION("if(regexmatch(B158,""e(.*)$""),regexextract(B158,""e(.*)$""),"""")"),"-6")</f>
        <v>-6</v>
      </c>
    </row>
    <row r="159">
      <c r="A159" s="34" t="s">
        <v>1389</v>
      </c>
      <c r="B159" s="34" t="s">
        <v>4223</v>
      </c>
      <c r="C159" s="34" t="s">
        <v>600</v>
      </c>
      <c r="D159" s="13" t="str">
        <f t="shared" si="1"/>
        <v>Hz</v>
      </c>
      <c r="E159" s="42">
        <f>countif(Constants!F:F,F159)</f>
        <v>1</v>
      </c>
      <c r="F159" s="21" t="str">
        <f>ifna(VLOOKUP($A159,'v2006'!$A:$F,6,false),"")</f>
        <v>KelvinHertzRelationship</v>
      </c>
      <c r="G159" s="21" t="str">
        <f>IFERROR(__xludf.DUMMYFUNCTION("REGEXREPLACE(substitute(substitute(B159,"" "",""""),""..."",""""),""\(.*\)"","""")"),"2.0836644e10")</f>
        <v>2.0836644e10</v>
      </c>
      <c r="H159" s="43">
        <f t="shared" si="2"/>
        <v>20836644000</v>
      </c>
      <c r="I159" s="21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43">
        <f t="shared" si="3"/>
        <v>360</v>
      </c>
      <c r="K159" s="43" t="b">
        <f t="shared" si="4"/>
        <v>0</v>
      </c>
      <c r="L159" s="21" t="str">
        <f>IFERROR(__xludf.DUMMYFUNCTION("if(regexmatch(B159,""e(.*)$""),regexextract(B159,""e(.*)$""),"""")"),"10")</f>
        <v>10</v>
      </c>
    </row>
    <row r="160">
      <c r="A160" s="34" t="s">
        <v>1394</v>
      </c>
      <c r="B160" s="34" t="s">
        <v>4227</v>
      </c>
      <c r="C160" s="34" t="s">
        <v>4174</v>
      </c>
      <c r="D160" s="13" t="str">
        <f t="shared" si="1"/>
        <v>m^-1</v>
      </c>
      <c r="E160" s="42">
        <f>countif(Constants!F:F,F160)</f>
        <v>1</v>
      </c>
      <c r="F160" s="21" t="str">
        <f>ifna(VLOOKUP($A160,'v2006'!$A:$F,6,false),"")</f>
        <v>KelvinInverseMeterRelationship</v>
      </c>
      <c r="G160" s="21" t="str">
        <f>IFERROR(__xludf.DUMMYFUNCTION("REGEXREPLACE(substitute(substitute(B160,"" "",""""),""..."",""""),""\(.*\)"","""")"),"69.50356")</f>
        <v>69.50356</v>
      </c>
      <c r="H160" s="43">
        <f t="shared" si="2"/>
        <v>69.50356</v>
      </c>
      <c r="I160" s="21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43">
        <f t="shared" si="3"/>
        <v>0.0000012</v>
      </c>
      <c r="K160" s="43" t="b">
        <f t="shared" si="4"/>
        <v>0</v>
      </c>
      <c r="L160" s="21" t="str">
        <f>IFERROR(__xludf.DUMMYFUNCTION("if(regexmatch(B160,""e(.*)$""),regexextract(B160,""e(.*)$""),"""")"),"")</f>
        <v/>
      </c>
    </row>
    <row r="161">
      <c r="A161" s="34" t="s">
        <v>1399</v>
      </c>
      <c r="B161" s="34" t="s">
        <v>4221</v>
      </c>
      <c r="C161" s="34" t="s">
        <v>543</v>
      </c>
      <c r="D161" s="13" t="str">
        <f t="shared" si="1"/>
        <v>J</v>
      </c>
      <c r="E161" s="42">
        <f>countif(Constants!F:F,F161)</f>
        <v>1</v>
      </c>
      <c r="F161" s="21" t="str">
        <f>ifna(VLOOKUP($A161,'v2006'!$A:$F,6,false),"")</f>
        <v>KelvinJouleRelationship</v>
      </c>
      <c r="G161" s="21" t="str">
        <f>IFERROR(__xludf.DUMMYFUNCTION("REGEXREPLACE(substitute(substitute(B161,"" "",""""),""..."",""""),""\(.*\)"","""")"),"1.3806504e-23")</f>
        <v>1.3806504e-23</v>
      </c>
      <c r="H161" s="43">
        <f t="shared" si="2"/>
        <v>0</v>
      </c>
      <c r="I161" s="21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43">
        <f t="shared" si="3"/>
        <v>0</v>
      </c>
      <c r="K161" s="43" t="b">
        <f t="shared" si="4"/>
        <v>0</v>
      </c>
      <c r="L161" s="21" t="str">
        <f>IFERROR(__xludf.DUMMYFUNCTION("if(regexmatch(B161,""e(.*)$""),regexextract(B161,""e(.*)$""),"""")"),"-23")</f>
        <v>-23</v>
      </c>
    </row>
    <row r="162">
      <c r="A162" s="34" t="s">
        <v>1404</v>
      </c>
      <c r="B162" s="34" t="s">
        <v>4626</v>
      </c>
      <c r="C162" s="34" t="s">
        <v>538</v>
      </c>
      <c r="D162" s="13" t="str">
        <f t="shared" si="1"/>
        <v>kg</v>
      </c>
      <c r="E162" s="42">
        <f>countif(Constants!F:F,F162)</f>
        <v>1</v>
      </c>
      <c r="F162" s="21" t="str">
        <f>ifna(VLOOKUP($A162,'v2006'!$A:$F,6,false),"")</f>
        <v>KelvinKilogramRelationship</v>
      </c>
      <c r="G162" s="21" t="str">
        <f>IFERROR(__xludf.DUMMYFUNCTION("REGEXREPLACE(substitute(substitute(B162,"" "",""""),""..."",""""),""\(.*\)"","""")"),"1.5361808e-40")</f>
        <v>1.5361808e-40</v>
      </c>
      <c r="H162" s="43">
        <f t="shared" si="2"/>
        <v>0</v>
      </c>
      <c r="I162" s="21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43">
        <f t="shared" si="3"/>
        <v>0</v>
      </c>
      <c r="K162" s="43" t="b">
        <f t="shared" si="4"/>
        <v>0</v>
      </c>
      <c r="L162" s="21" t="str">
        <f>IFERROR(__xludf.DUMMYFUNCTION("if(regexmatch(B162,""e(.*)$""),regexextract(B162,""e(.*)$""),"""")"),"-40")</f>
        <v>-40</v>
      </c>
    </row>
    <row r="163">
      <c r="A163" s="34" t="s">
        <v>1409</v>
      </c>
      <c r="B163" s="34" t="s">
        <v>4627</v>
      </c>
      <c r="C163" s="34" t="s">
        <v>553</v>
      </c>
      <c r="D163" s="13" t="str">
        <f t="shared" si="1"/>
        <v>u</v>
      </c>
      <c r="E163" s="42">
        <f>countif(Constants!F:F,F163)</f>
        <v>1</v>
      </c>
      <c r="F163" s="21" t="str">
        <f>ifna(VLOOKUP($A163,'v2006'!$A:$F,6,false),"")</f>
        <v>KilogramAtomicMassUnitRelationship</v>
      </c>
      <c r="G163" s="21" t="str">
        <f>IFERROR(__xludf.DUMMYFUNCTION("REGEXREPLACE(substitute(substitute(B163,"" "",""""),""..."",""""),""\(.*\)"","""")"),"6.0221415e26")</f>
        <v>6.0221415e26</v>
      </c>
      <c r="H163" s="43">
        <f t="shared" si="2"/>
        <v>6.02214E+26</v>
      </c>
      <c r="I163" s="21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43">
        <f t="shared" si="3"/>
        <v>1E+18</v>
      </c>
      <c r="K163" s="43" t="b">
        <f t="shared" si="4"/>
        <v>0</v>
      </c>
      <c r="L163" s="21" t="str">
        <f>IFERROR(__xludf.DUMMYFUNCTION("if(regexmatch(B163,""e(.*)$""),regexextract(B163,""e(.*)$""),"""")"),"26")</f>
        <v>26</v>
      </c>
    </row>
    <row r="164">
      <c r="A164" s="34" t="s">
        <v>1415</v>
      </c>
      <c r="B164" s="34" t="s">
        <v>4628</v>
      </c>
      <c r="C164" s="34" t="s">
        <v>175</v>
      </c>
      <c r="D164" s="13" t="str">
        <f t="shared" si="1"/>
        <v>eV</v>
      </c>
      <c r="E164" s="42">
        <f>countif(Constants!F:F,F164)</f>
        <v>1</v>
      </c>
      <c r="F164" s="21" t="str">
        <f>ifna(VLOOKUP($A164,'v2006'!$A:$F,6,false),"")</f>
        <v>KilogramElectronVoltRelationship</v>
      </c>
      <c r="G164" s="21" t="str">
        <f>IFERROR(__xludf.DUMMYFUNCTION("REGEXREPLACE(substitute(substitute(B164,"" "",""""),""..."",""""),""\(.*\)"","""")"),"5.60958896e35")</f>
        <v>5.60958896e35</v>
      </c>
      <c r="H164" s="43">
        <f t="shared" si="2"/>
        <v>5.60959E+35</v>
      </c>
      <c r="I164" s="21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43">
        <f t="shared" si="3"/>
        <v>4.8E+26</v>
      </c>
      <c r="K164" s="43" t="b">
        <f t="shared" si="4"/>
        <v>0</v>
      </c>
      <c r="L164" s="21" t="str">
        <f>IFERROR(__xludf.DUMMYFUNCTION("if(regexmatch(B164,""e(.*)$""),regexextract(B164,""e(.*)$""),"""")"),"35")</f>
        <v>35</v>
      </c>
    </row>
    <row r="165">
      <c r="A165" s="34" t="s">
        <v>1420</v>
      </c>
      <c r="B165" s="34" t="s">
        <v>4629</v>
      </c>
      <c r="C165" s="34" t="s">
        <v>593</v>
      </c>
      <c r="D165" s="13" t="str">
        <f t="shared" si="1"/>
        <v>E_h</v>
      </c>
      <c r="E165" s="42">
        <f>countif(Constants!F:F,F165)</f>
        <v>1</v>
      </c>
      <c r="F165" s="21" t="str">
        <f>ifna(VLOOKUP($A165,'v2006'!$A:$F,6,false),"")</f>
        <v>KilogramHartreeRelationship</v>
      </c>
      <c r="G165" s="21" t="str">
        <f>IFERROR(__xludf.DUMMYFUNCTION("REGEXREPLACE(substitute(substitute(B165,"" "",""""),""..."",""""),""\(.*\)"","""")"),"2.06148605e34")</f>
        <v>2.06148605e34</v>
      </c>
      <c r="H165" s="43">
        <f t="shared" si="2"/>
        <v>2.06149E+34</v>
      </c>
      <c r="I165" s="21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43">
        <f t="shared" si="3"/>
        <v>3.5E+25</v>
      </c>
      <c r="K165" s="43" t="b">
        <f t="shared" si="4"/>
        <v>0</v>
      </c>
      <c r="L165" s="21" t="str">
        <f>IFERROR(__xludf.DUMMYFUNCTION("if(regexmatch(B165,""e(.*)$""),regexextract(B165,""e(.*)$""),"""")"),"34")</f>
        <v>34</v>
      </c>
    </row>
    <row r="166">
      <c r="A166" s="34" t="s">
        <v>1425</v>
      </c>
      <c r="B166" s="34" t="s">
        <v>4630</v>
      </c>
      <c r="C166" s="34" t="s">
        <v>600</v>
      </c>
      <c r="D166" s="13" t="str">
        <f t="shared" si="1"/>
        <v>Hz</v>
      </c>
      <c r="E166" s="42">
        <f>countif(Constants!F:F,F166)</f>
        <v>1</v>
      </c>
      <c r="F166" s="21" t="str">
        <f>ifna(VLOOKUP($A166,'v2006'!$A:$F,6,false),"")</f>
        <v>KilogramHertzRelationship</v>
      </c>
      <c r="G166" s="21" t="str">
        <f>IFERROR(__xludf.DUMMYFUNCTION("REGEXREPLACE(substitute(substitute(B166,"" "",""""),""..."",""""),""\(.*\)"","""")"),"1.35639266e50")</f>
        <v>1.35639266e50</v>
      </c>
      <c r="H166" s="43">
        <f t="shared" si="2"/>
        <v>1.35639E+50</v>
      </c>
      <c r="I166" s="21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43">
        <f t="shared" si="3"/>
        <v>2.3E+41</v>
      </c>
      <c r="K166" s="43" t="b">
        <f t="shared" si="4"/>
        <v>0</v>
      </c>
      <c r="L166" s="21" t="str">
        <f>IFERROR(__xludf.DUMMYFUNCTION("if(regexmatch(B166,""e(.*)$""),regexextract(B166,""e(.*)$""),"""")"),"50")</f>
        <v>50</v>
      </c>
    </row>
    <row r="167">
      <c r="A167" s="34" t="s">
        <v>1430</v>
      </c>
      <c r="B167" s="34" t="s">
        <v>4631</v>
      </c>
      <c r="C167" s="34" t="s">
        <v>4174</v>
      </c>
      <c r="D167" s="13" t="str">
        <f t="shared" si="1"/>
        <v>m^-1</v>
      </c>
      <c r="E167" s="42">
        <f>countif(Constants!F:F,F167)</f>
        <v>1</v>
      </c>
      <c r="F167" s="21" t="str">
        <f>ifna(VLOOKUP($A167,'v2006'!$A:$F,6,false),"")</f>
        <v>KilogramInverseMeterRelationship</v>
      </c>
      <c r="G167" s="21" t="str">
        <f>IFERROR(__xludf.DUMMYFUNCTION("REGEXREPLACE(substitute(substitute(B167,"" "",""""),""..."",""""),""\(.*\)"","""")"),"4.52443891e41")</f>
        <v>4.52443891e41</v>
      </c>
      <c r="H167" s="43">
        <f t="shared" si="2"/>
        <v>4.52444E+41</v>
      </c>
      <c r="I167" s="21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43">
        <f t="shared" si="3"/>
        <v>7.7E+32</v>
      </c>
      <c r="K167" s="43" t="b">
        <f t="shared" si="4"/>
        <v>0</v>
      </c>
      <c r="L167" s="21" t="str">
        <f>IFERROR(__xludf.DUMMYFUNCTION("if(regexmatch(B167,""e(.*)$""),regexextract(B167,""e(.*)$""),"""")"),"41")</f>
        <v>41</v>
      </c>
    </row>
    <row r="168">
      <c r="A168" s="34" t="s">
        <v>1435</v>
      </c>
      <c r="B168" s="34" t="s">
        <v>4348</v>
      </c>
      <c r="C168" s="34" t="s">
        <v>543</v>
      </c>
      <c r="D168" s="13" t="str">
        <f t="shared" si="1"/>
        <v>J</v>
      </c>
      <c r="E168" s="42">
        <f>countif(Constants!F:F,F168)</f>
        <v>1</v>
      </c>
      <c r="F168" s="21" t="str">
        <f>ifna(VLOOKUP($A168,'v2006'!$A:$F,6,false),"")</f>
        <v>KilogramJouleRelationship</v>
      </c>
      <c r="G168" s="21" t="str">
        <f>IFERROR(__xludf.DUMMYFUNCTION("REGEXREPLACE(substitute(substitute(B168,"" "",""""),""..."",""""),""\(.*\)"","""")"),"8.987551787e16")</f>
        <v>8.987551787e16</v>
      </c>
      <c r="H168" s="43">
        <f t="shared" si="2"/>
        <v>8.98755E+16</v>
      </c>
      <c r="I168" s="21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43" t="str">
        <f t="shared" si="3"/>
        <v/>
      </c>
      <c r="K168" s="43" t="b">
        <f t="shared" si="4"/>
        <v>1</v>
      </c>
      <c r="L168" s="21" t="str">
        <f>IFERROR(__xludf.DUMMYFUNCTION("if(regexmatch(B168,""e(.*)$""),regexextract(B168,""e(.*)$""),"""")"),"16")</f>
        <v>16</v>
      </c>
    </row>
    <row r="169">
      <c r="A169" s="34" t="s">
        <v>1440</v>
      </c>
      <c r="B169" s="34" t="s">
        <v>4632</v>
      </c>
      <c r="C169" s="34" t="s">
        <v>618</v>
      </c>
      <c r="D169" s="13" t="str">
        <f t="shared" si="1"/>
        <v>K</v>
      </c>
      <c r="E169" s="42">
        <f>countif(Constants!F:F,F169)</f>
        <v>1</v>
      </c>
      <c r="F169" s="21" t="str">
        <f>ifna(VLOOKUP($A169,'v2006'!$A:$F,6,false),"")</f>
        <v>KilogramKelvinRelationship</v>
      </c>
      <c r="G169" s="21" t="str">
        <f>IFERROR(__xludf.DUMMYFUNCTION("REGEXREPLACE(substitute(substitute(B169,"" "",""""),""..."",""""),""\(.*\)"","""")"),"6.509650e39")</f>
        <v>6.509650e39</v>
      </c>
      <c r="H169" s="43">
        <f t="shared" si="2"/>
        <v>6.50965E+39</v>
      </c>
      <c r="I169" s="21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43">
        <f t="shared" si="3"/>
        <v>1.1E+32</v>
      </c>
      <c r="K169" s="43" t="b">
        <f t="shared" si="4"/>
        <v>0</v>
      </c>
      <c r="L169" s="21" t="str">
        <f>IFERROR(__xludf.DUMMYFUNCTION("if(regexmatch(B169,""e(.*)$""),regexextract(B169,""e(.*)$""),"""")"),"39")</f>
        <v>39</v>
      </c>
    </row>
    <row r="170">
      <c r="A170" s="34" t="s">
        <v>1445</v>
      </c>
      <c r="B170" s="34" t="s">
        <v>4633</v>
      </c>
      <c r="C170" s="34" t="s">
        <v>571</v>
      </c>
      <c r="D170" s="13" t="str">
        <f t="shared" si="1"/>
        <v>m</v>
      </c>
      <c r="E170" s="42">
        <f>countif(Constants!F:F,F170)</f>
        <v>1</v>
      </c>
      <c r="F170" s="21" t="str">
        <f>ifna(VLOOKUP($A170,'v2006'!$A:$F,6,false),"")</f>
        <v>LatticeParameterOfSilicon</v>
      </c>
      <c r="G170" s="21" t="str">
        <f>IFERROR(__xludf.DUMMYFUNCTION("REGEXREPLACE(substitute(substitute(B170,"" "",""""),""..."",""""),""\(.*\)"","""")"),"543.102122e-12")</f>
        <v>543.102122e-12</v>
      </c>
      <c r="H170" s="43">
        <f t="shared" si="2"/>
        <v>0.000000000543102122</v>
      </c>
      <c r="I170" s="21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43">
        <f t="shared" si="3"/>
        <v>0</v>
      </c>
      <c r="K170" s="43" t="b">
        <f t="shared" si="4"/>
        <v>0</v>
      </c>
      <c r="L170" s="21" t="str">
        <f>IFERROR(__xludf.DUMMYFUNCTION("if(regexmatch(B170,""e(.*)$""),regexextract(B170,""e(.*)$""),"""")"),"-12")</f>
        <v>-12</v>
      </c>
    </row>
    <row r="171">
      <c r="A171" s="34" t="s">
        <v>4351</v>
      </c>
      <c r="B171" s="34" t="s">
        <v>4634</v>
      </c>
      <c r="C171" s="34" t="s">
        <v>571</v>
      </c>
      <c r="D171" s="13" t="str">
        <f t="shared" si="1"/>
        <v>m</v>
      </c>
      <c r="E171" s="42">
        <f>countif(Constants!F:F,F171)</f>
        <v>1</v>
      </c>
      <c r="F171" s="21" t="str">
        <f>ifna(VLOOKUP($A171,'v2006'!$A:$F,6,false),"")</f>
        <v>LatticeSpacingOfSilicon</v>
      </c>
      <c r="G171" s="21" t="str">
        <f>IFERROR(__xludf.DUMMYFUNCTION("REGEXREPLACE(substitute(substitute(B171,"" "",""""),""..."",""""),""\(.*\)"","""")"),"192.0155965e-12")</f>
        <v>192.0155965e-12</v>
      </c>
      <c r="H171" s="43">
        <f t="shared" si="2"/>
        <v>0.0000000001920155965</v>
      </c>
      <c r="I171" s="21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43">
        <f t="shared" si="3"/>
        <v>0</v>
      </c>
      <c r="K171" s="43" t="b">
        <f t="shared" si="4"/>
        <v>0</v>
      </c>
      <c r="L171" s="21" t="str">
        <f>IFERROR(__xludf.DUMMYFUNCTION("if(regexmatch(B171,""e(.*)$""),regexextract(B171,""e(.*)$""),"""")"),"-12")</f>
        <v>-12</v>
      </c>
    </row>
    <row r="172">
      <c r="A172" s="34" t="s">
        <v>1458</v>
      </c>
      <c r="B172" s="34" t="s">
        <v>4635</v>
      </c>
      <c r="C172" s="34" t="s">
        <v>4354</v>
      </c>
      <c r="D172" s="13" t="str">
        <f t="shared" si="1"/>
        <v>m^-3</v>
      </c>
      <c r="E172" s="42">
        <f>countif(Constants!F:F,F172)</f>
        <v>1</v>
      </c>
      <c r="F172" s="21" t="str">
        <f>ifna(VLOOKUP($A172,'v2006'!$A:$F,6,false),"")</f>
        <v>LoschmidtConstant273K101Kpa</v>
      </c>
      <c r="G172" s="21" t="str">
        <f>IFERROR(__xludf.DUMMYFUNCTION("REGEXREPLACE(substitute(substitute(B172,"" "",""""),""..."",""""),""\(.*\)"","""")"),"2.6867773e25")</f>
        <v>2.6867773e25</v>
      </c>
      <c r="H172" s="43">
        <f t="shared" si="2"/>
        <v>2.68678E+25</v>
      </c>
      <c r="I172" s="21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43">
        <f t="shared" si="3"/>
        <v>4.7E+17</v>
      </c>
      <c r="K172" s="43" t="b">
        <f t="shared" si="4"/>
        <v>0</v>
      </c>
      <c r="L172" s="21" t="str">
        <f>IFERROR(__xludf.DUMMYFUNCTION("if(regexmatch(B172,""e(.*)$""),regexextract(B172,""e(.*)$""),"""")"),"25")</f>
        <v>25</v>
      </c>
    </row>
    <row r="173">
      <c r="A173" s="34" t="s">
        <v>2188</v>
      </c>
      <c r="B173" s="34" t="s">
        <v>4355</v>
      </c>
      <c r="C173" s="34" t="s">
        <v>4356</v>
      </c>
      <c r="D173" s="13" t="str">
        <f t="shared" si="1"/>
        <v>N A^-2</v>
      </c>
      <c r="E173" s="42">
        <f>countif(Constants!F:F,F173)</f>
        <v>1</v>
      </c>
      <c r="F173" s="21" t="str">
        <f>ifna(VLOOKUP($A173,'v2006'!$A:$F,6,false),"")</f>
        <v>MagneticConstant</v>
      </c>
      <c r="G173" s="21" t="str">
        <f>IFERROR(__xludf.DUMMYFUNCTION("REGEXREPLACE(substitute(substitute(B173,"" "",""""),""..."",""""),""\(.*\)"","""")"),"12.566370614e-7")</f>
        <v>12.566370614e-7</v>
      </c>
      <c r="H173" s="43">
        <f t="shared" si="2"/>
        <v>0.000001256637061</v>
      </c>
      <c r="I173" s="21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43" t="str">
        <f t="shared" si="3"/>
        <v/>
      </c>
      <c r="K173" s="43" t="b">
        <f t="shared" si="4"/>
        <v>1</v>
      </c>
      <c r="L173" s="21" t="str">
        <f>IFERROR(__xludf.DUMMYFUNCTION("if(regexmatch(B173,""e(.*)$""),regexextract(B173,""e(.*)$""),"""")"),"-7")</f>
        <v>-7</v>
      </c>
    </row>
    <row r="174">
      <c r="A174" s="34" t="s">
        <v>1469</v>
      </c>
      <c r="B174" s="34" t="s">
        <v>4636</v>
      </c>
      <c r="C174" s="34" t="s">
        <v>1468</v>
      </c>
      <c r="D174" s="13" t="str">
        <f t="shared" si="1"/>
        <v>Wb</v>
      </c>
      <c r="E174" s="42">
        <f>countif(Constants!F:F,F174)</f>
        <v>1</v>
      </c>
      <c r="F174" s="21" t="str">
        <f>ifna(VLOOKUP($A174,'v2006'!$A:$F,6,false),"")</f>
        <v>MagneticFluxQuantum</v>
      </c>
      <c r="G174" s="21" t="str">
        <f>IFERROR(__xludf.DUMMYFUNCTION("REGEXREPLACE(substitute(substitute(B174,"" "",""""),""..."",""""),""\(.*\)"","""")"),"2.06783372e-15")</f>
        <v>2.06783372e-15</v>
      </c>
      <c r="H174" s="43">
        <f t="shared" si="2"/>
        <v>0</v>
      </c>
      <c r="I174" s="21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43">
        <f t="shared" si="3"/>
        <v>0</v>
      </c>
      <c r="K174" s="43" t="b">
        <f t="shared" si="4"/>
        <v>0</v>
      </c>
      <c r="L174" s="21" t="str">
        <f>IFERROR(__xludf.DUMMYFUNCTION("if(regexmatch(B174,""e(.*)$""),regexextract(B174,""e(.*)$""),"""")"),"-15")</f>
        <v>-15</v>
      </c>
    </row>
    <row r="175">
      <c r="A175" s="34" t="s">
        <v>3502</v>
      </c>
      <c r="B175" s="34" t="s">
        <v>4637</v>
      </c>
      <c r="C175" s="34" t="s">
        <v>571</v>
      </c>
      <c r="D175" s="13" t="str">
        <f t="shared" si="1"/>
        <v>m</v>
      </c>
      <c r="E175" s="42">
        <f>countif(Constants!F:F,F175)</f>
        <v>1</v>
      </c>
      <c r="F175" s="21" t="str">
        <f>ifna(VLOOKUP($A175,'v2006'!$A:$F,6,false),"")</f>
        <v>MoXUnit</v>
      </c>
      <c r="G175" s="21" t="str">
        <f>IFERROR(__xludf.DUMMYFUNCTION("REGEXREPLACE(substitute(substitute(B175,"" "",""""),""..."",""""),""\(.*\)"","""")"),"1.00209966e-13")</f>
        <v>1.00209966e-13</v>
      </c>
      <c r="H175" s="43">
        <f t="shared" si="2"/>
        <v>0</v>
      </c>
      <c r="I175" s="21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43">
        <f t="shared" si="3"/>
        <v>0</v>
      </c>
      <c r="K175" s="43" t="b">
        <f t="shared" si="4"/>
        <v>0</v>
      </c>
      <c r="L175" s="21" t="str">
        <f>IFERROR(__xludf.DUMMYFUNCTION("if(regexmatch(B175,""e(.*)$""),regexextract(B175,""e(.*)$""),"""")"),"-13")</f>
        <v>-13</v>
      </c>
    </row>
    <row r="176">
      <c r="A176" s="34" t="s">
        <v>1486</v>
      </c>
      <c r="B176" s="34" t="s">
        <v>4638</v>
      </c>
      <c r="C176" s="34" t="s">
        <v>4360</v>
      </c>
      <c r="D176" s="13" t="str">
        <f t="shared" si="1"/>
        <v>J s mol^-1</v>
      </c>
      <c r="E176" s="42">
        <f>countif(Constants!F:F,F176)</f>
        <v>1</v>
      </c>
      <c r="F176" s="21" t="str">
        <f>ifna(VLOOKUP($A176,'v2006'!$A:$F,6,false),"")</f>
        <v>MolarPlanckConstant</v>
      </c>
      <c r="G176" s="21" t="str">
        <f>IFERROR(__xludf.DUMMYFUNCTION("REGEXREPLACE(substitute(substitute(B176,"" "",""""),""..."",""""),""\(.*\)"","""")"),"3.990312716e-10")</f>
        <v>3.990312716e-10</v>
      </c>
      <c r="H176" s="43">
        <f t="shared" si="2"/>
        <v>0.0000000003990312716</v>
      </c>
      <c r="I176" s="21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43">
        <f t="shared" si="3"/>
        <v>0</v>
      </c>
      <c r="K176" s="43" t="b">
        <f t="shared" si="4"/>
        <v>0</v>
      </c>
      <c r="L176" s="21" t="str">
        <f>IFERROR(__xludf.DUMMYFUNCTION("if(regexmatch(B176,""e(.*)$""),regexextract(B176,""e(.*)$""),"""")"),"-10")</f>
        <v>-10</v>
      </c>
    </row>
    <row r="177">
      <c r="A177" s="34" t="s">
        <v>1491</v>
      </c>
      <c r="B177" s="34" t="s">
        <v>4639</v>
      </c>
      <c r="C177" s="34" t="s">
        <v>4362</v>
      </c>
      <c r="D177" s="13" t="str">
        <f t="shared" si="1"/>
        <v>J m mol^-1</v>
      </c>
      <c r="E177" s="42">
        <f>countif(Constants!F:F,F177)</f>
        <v>1</v>
      </c>
      <c r="F177" s="21" t="str">
        <f>ifna(VLOOKUP($A177,'v2006'!$A:$F,6,false),"")</f>
        <v>MolarPlanckConstantTimesC</v>
      </c>
      <c r="G177" s="21" t="str">
        <f>IFERROR(__xludf.DUMMYFUNCTION("REGEXREPLACE(substitute(substitute(B177,"" "",""""),""..."",""""),""\(.*\)"","""")"),"0.11962656572")</f>
        <v>0.11962656572</v>
      </c>
      <c r="H177" s="43">
        <f t="shared" si="2"/>
        <v>0.1196265657</v>
      </c>
      <c r="I177" s="21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43">
        <f t="shared" si="3"/>
        <v>0</v>
      </c>
      <c r="K177" s="43" t="b">
        <f t="shared" si="4"/>
        <v>0</v>
      </c>
      <c r="L177" s="21" t="str">
        <f>IFERROR(__xludf.DUMMYFUNCTION("if(regexmatch(B177,""e(.*)$""),regexextract(B177,""e(.*)$""),"""")"),"")</f>
        <v/>
      </c>
    </row>
    <row r="178">
      <c r="A178" s="34" t="s">
        <v>1473</v>
      </c>
      <c r="B178" s="34" t="s">
        <v>4363</v>
      </c>
      <c r="C178" s="34" t="s">
        <v>4364</v>
      </c>
      <c r="D178" s="13" t="str">
        <f t="shared" si="1"/>
        <v>J mol^-1 K^-1</v>
      </c>
      <c r="E178" s="42">
        <f>countif(Constants!F:F,F178)</f>
        <v>1</v>
      </c>
      <c r="F178" s="21" t="str">
        <f>ifna(VLOOKUP($A178,'v2006'!$A:$F,6,false),"")</f>
        <v>MolarGasConstant</v>
      </c>
      <c r="G178" s="21" t="str">
        <f>IFERROR(__xludf.DUMMYFUNCTION("REGEXREPLACE(substitute(substitute(B178,"" "",""""),""..."",""""),""\(.*\)"","""")"),"8.314472")</f>
        <v>8.314472</v>
      </c>
      <c r="H178" s="43">
        <f t="shared" si="2"/>
        <v>8.314472</v>
      </c>
      <c r="I178" s="21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43">
        <f t="shared" si="3"/>
        <v>0.00000015</v>
      </c>
      <c r="K178" s="43" t="b">
        <f t="shared" si="4"/>
        <v>0</v>
      </c>
      <c r="L178" s="21" t="str">
        <f>IFERROR(__xludf.DUMMYFUNCTION("if(regexmatch(B178,""e(.*)$""),regexextract(B178,""e(.*)$""),"""")"),"")</f>
        <v/>
      </c>
    </row>
    <row r="179">
      <c r="A179" s="34" t="s">
        <v>1478</v>
      </c>
      <c r="B179" s="34" t="s">
        <v>4365</v>
      </c>
      <c r="C179" s="34" t="s">
        <v>4163</v>
      </c>
      <c r="D179" s="13" t="str">
        <f t="shared" si="1"/>
        <v>kg mol^-1</v>
      </c>
      <c r="E179" s="42">
        <f>countif(Constants!F:F,F179)</f>
        <v>1</v>
      </c>
      <c r="F179" s="21" t="str">
        <f>ifna(VLOOKUP($A179,'v2006'!$A:$F,6,false),"")</f>
        <v>MolarMassConstant</v>
      </c>
      <c r="G179" s="21" t="str">
        <f>IFERROR(__xludf.DUMMYFUNCTION("REGEXREPLACE(substitute(substitute(B179,"" "",""""),""..."",""""),""\(.*\)"","""")"),"1e-3")</f>
        <v>1e-3</v>
      </c>
      <c r="H179" s="43">
        <f t="shared" si="2"/>
        <v>0.001</v>
      </c>
      <c r="I179" s="21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43" t="str">
        <f t="shared" si="3"/>
        <v/>
      </c>
      <c r="K179" s="43" t="b">
        <f t="shared" si="4"/>
        <v>0</v>
      </c>
      <c r="L179" s="21" t="str">
        <f>IFERROR(__xludf.DUMMYFUNCTION("if(regexmatch(B179,""e(.*)$""),regexextract(B179,""e(.*)$""),"""")"),"-3")</f>
        <v>-3</v>
      </c>
    </row>
    <row r="180">
      <c r="A180" s="34" t="s">
        <v>1482</v>
      </c>
      <c r="B180" s="34" t="s">
        <v>4366</v>
      </c>
      <c r="C180" s="34" t="s">
        <v>4163</v>
      </c>
      <c r="D180" s="13" t="str">
        <f t="shared" si="1"/>
        <v>kg mol^-1</v>
      </c>
      <c r="E180" s="42">
        <f>countif(Constants!F:F,F180)</f>
        <v>1</v>
      </c>
      <c r="F180" s="21" t="str">
        <f>ifna(VLOOKUP($A180,'v2006'!$A:$F,6,false),"")</f>
        <v>MolarMassOfCarbon12</v>
      </c>
      <c r="G180" s="21" t="str">
        <f>IFERROR(__xludf.DUMMYFUNCTION("REGEXREPLACE(substitute(substitute(B180,"" "",""""),""..."",""""),""\(.*\)"","""")"),"12e-3")</f>
        <v>12e-3</v>
      </c>
      <c r="H180" s="43">
        <f t="shared" si="2"/>
        <v>0.012</v>
      </c>
      <c r="I180" s="21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43" t="str">
        <f t="shared" si="3"/>
        <v/>
      </c>
      <c r="K180" s="43" t="b">
        <f t="shared" si="4"/>
        <v>0</v>
      </c>
      <c r="L180" s="21" t="str">
        <f>IFERROR(__xludf.DUMMYFUNCTION("if(regexmatch(B180,""e(.*)$""),regexextract(B180,""e(.*)$""),"""")"),"-3")</f>
        <v>-3</v>
      </c>
    </row>
    <row r="181">
      <c r="A181" s="34" t="s">
        <v>1498</v>
      </c>
      <c r="B181" s="34" t="s">
        <v>4367</v>
      </c>
      <c r="C181" s="34" t="s">
        <v>4368</v>
      </c>
      <c r="D181" s="13" t="str">
        <f t="shared" si="1"/>
        <v>m^3 mol^-1</v>
      </c>
      <c r="E181" s="42">
        <f>countif(Constants!F:F,F181)</f>
        <v>1</v>
      </c>
      <c r="F181" s="21" t="str">
        <f>ifna(VLOOKUP($A181,'v2006'!$A:$F,6,false),"")</f>
        <v>MolarVolumeOfIdealGas</v>
      </c>
      <c r="G181" s="21" t="str">
        <f>IFERROR(__xludf.DUMMYFUNCTION("REGEXREPLACE(substitute(substitute(B181,"" "",""""),""..."",""""),""\(.*\)"","""")"),"22.710981e-3")</f>
        <v>22.710981e-3</v>
      </c>
      <c r="H181" s="43">
        <f t="shared" si="2"/>
        <v>0.022710981</v>
      </c>
      <c r="I181" s="21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43">
        <f t="shared" si="3"/>
        <v>0.0000000004</v>
      </c>
      <c r="K181" s="43" t="b">
        <f t="shared" si="4"/>
        <v>0</v>
      </c>
      <c r="L181" s="21" t="str">
        <f>IFERROR(__xludf.DUMMYFUNCTION("if(regexmatch(B181,""e(.*)$""),regexextract(B181,""e(.*)$""),"""")"),"-3")</f>
        <v>-3</v>
      </c>
    </row>
    <row r="182">
      <c r="A182" s="34" t="s">
        <v>1503</v>
      </c>
      <c r="B182" s="34" t="s">
        <v>4369</v>
      </c>
      <c r="C182" s="34" t="s">
        <v>4368</v>
      </c>
      <c r="D182" s="13" t="str">
        <f t="shared" si="1"/>
        <v>m^3 mol^-1</v>
      </c>
      <c r="E182" s="42">
        <f>countif(Constants!F:F,F182)</f>
        <v>1</v>
      </c>
      <c r="F182" s="21" t="str">
        <f>ifna(VLOOKUP($A182,'v2006'!$A:$F,6,false),"")</f>
        <v>MolarVolumeOfIdealGas273K101Kpa</v>
      </c>
      <c r="G182" s="21" t="str">
        <f>IFERROR(__xludf.DUMMYFUNCTION("REGEXREPLACE(substitute(substitute(B182,"" "",""""),""..."",""""),""\(.*\)"","""")"),"22.413996e-3")</f>
        <v>22.413996e-3</v>
      </c>
      <c r="H182" s="43">
        <f t="shared" si="2"/>
        <v>0.022413996</v>
      </c>
      <c r="I182" s="21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43">
        <f t="shared" si="3"/>
        <v>0.00000000039</v>
      </c>
      <c r="K182" s="43" t="b">
        <f t="shared" si="4"/>
        <v>0</v>
      </c>
      <c r="L182" s="21" t="str">
        <f>IFERROR(__xludf.DUMMYFUNCTION("if(regexmatch(B182,""e(.*)$""),regexextract(B182,""e(.*)$""),"""")"),"-3")</f>
        <v>-3</v>
      </c>
    </row>
    <row r="183">
      <c r="A183" s="34" t="s">
        <v>1507</v>
      </c>
      <c r="B183" s="34" t="s">
        <v>4640</v>
      </c>
      <c r="C183" s="34" t="s">
        <v>4368</v>
      </c>
      <c r="D183" s="13" t="str">
        <f t="shared" si="1"/>
        <v>m^3 mol^-1</v>
      </c>
      <c r="E183" s="42">
        <f>countif(Constants!F:F,F183)</f>
        <v>1</v>
      </c>
      <c r="F183" s="21" t="str">
        <f>ifna(VLOOKUP($A183,'v2006'!$A:$F,6,false),"")</f>
        <v>MolarVolumeOfSilicon</v>
      </c>
      <c r="G183" s="21" t="str">
        <f>IFERROR(__xludf.DUMMYFUNCTION("REGEXREPLACE(substitute(substitute(B183,"" "",""""),""..."",""""),""\(.*\)"","""")"),"12.0588382e-6")</f>
        <v>12.0588382e-6</v>
      </c>
      <c r="H183" s="43">
        <f t="shared" si="2"/>
        <v>0.0000120588382</v>
      </c>
      <c r="I183" s="21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43">
        <f t="shared" si="3"/>
        <v>0</v>
      </c>
      <c r="K183" s="43" t="b">
        <f t="shared" si="4"/>
        <v>0</v>
      </c>
      <c r="L183" s="21" t="str">
        <f>IFERROR(__xludf.DUMMYFUNCTION("if(regexmatch(B183,""e(.*)$""),regexextract(B183,""e(.*)$""),"""")"),"-6")</f>
        <v>-6</v>
      </c>
    </row>
    <row r="184">
      <c r="A184" s="34" t="s">
        <v>1515</v>
      </c>
      <c r="B184" s="34" t="s">
        <v>4641</v>
      </c>
      <c r="C184" s="34" t="s">
        <v>571</v>
      </c>
      <c r="D184" s="13" t="str">
        <f t="shared" si="1"/>
        <v>m</v>
      </c>
      <c r="E184" s="42">
        <f>countif(Constants!F:F,F184)</f>
        <v>1</v>
      </c>
      <c r="F184" s="21" t="str">
        <f>ifna(VLOOKUP($A184,'v2006'!$A:$F,6,false),"")</f>
        <v>MuonComptonWavelength</v>
      </c>
      <c r="G184" s="21" t="str">
        <f>IFERROR(__xludf.DUMMYFUNCTION("REGEXREPLACE(substitute(substitute(B184,"" "",""""),""..."",""""),""\(.*\)"","""")"),"11.73444105e-15")</f>
        <v>11.73444105e-15</v>
      </c>
      <c r="H184" s="43">
        <f t="shared" si="2"/>
        <v>0</v>
      </c>
      <c r="I184" s="21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43">
        <f t="shared" si="3"/>
        <v>0</v>
      </c>
      <c r="K184" s="43" t="b">
        <f t="shared" si="4"/>
        <v>0</v>
      </c>
      <c r="L184" s="21" t="str">
        <f>IFERROR(__xludf.DUMMYFUNCTION("if(regexmatch(B184,""e(.*)$""),regexextract(B184,""e(.*)$""),"""")"),"-15")</f>
        <v>-15</v>
      </c>
    </row>
    <row r="185">
      <c r="A185" s="34" t="s">
        <v>1519</v>
      </c>
      <c r="B185" s="34" t="s">
        <v>4642</v>
      </c>
      <c r="C185" s="34" t="s">
        <v>571</v>
      </c>
      <c r="D185" s="13" t="str">
        <f t="shared" si="1"/>
        <v>m</v>
      </c>
      <c r="E185" s="42">
        <f>countif(Constants!F:F,F185)</f>
        <v>1</v>
      </c>
      <c r="F185" s="21" t="str">
        <f>ifna(VLOOKUP($A185,'v2006'!$A:$F,6,false),"")</f>
        <v>MuonComptonWavelengthOver2Pi</v>
      </c>
      <c r="G185" s="21" t="str">
        <f>IFERROR(__xludf.DUMMYFUNCTION("REGEXREPLACE(substitute(substitute(B185,"" "",""""),""..."",""""),""\(.*\)"","""")"),"1.867594298e-15")</f>
        <v>1.867594298e-15</v>
      </c>
      <c r="H185" s="43">
        <f t="shared" si="2"/>
        <v>0</v>
      </c>
      <c r="I185" s="21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43">
        <f t="shared" si="3"/>
        <v>0</v>
      </c>
      <c r="K185" s="43" t="b">
        <f t="shared" si="4"/>
        <v>0</v>
      </c>
      <c r="L185" s="21" t="str">
        <f>IFERROR(__xludf.DUMMYFUNCTION("if(regexmatch(B185,""e(.*)$""),regexextract(B185,""e(.*)$""),"""")"),"-15")</f>
        <v>-15</v>
      </c>
    </row>
    <row r="186">
      <c r="A186" s="34" t="s">
        <v>1530</v>
      </c>
      <c r="B186" s="34" t="s">
        <v>4643</v>
      </c>
      <c r="C186" s="34"/>
      <c r="D186" s="13" t="str">
        <f t="shared" si="1"/>
        <v/>
      </c>
      <c r="E186" s="42">
        <f>countif(Constants!F:F,F186)</f>
        <v>1</v>
      </c>
      <c r="F186" s="21" t="str">
        <f>ifna(VLOOKUP($A186,'v2006'!$A:$F,6,false),"")</f>
        <v>MuonGFactor</v>
      </c>
      <c r="G186" s="21" t="str">
        <f>IFERROR(__xludf.DUMMYFUNCTION("REGEXREPLACE(substitute(substitute(B186,"" "",""""),""..."",""""),""\(.*\)"","""")"),"-2.0023318396")</f>
        <v>-2.0023318396</v>
      </c>
      <c r="H186" s="43">
        <f t="shared" si="2"/>
        <v>-2.00233184</v>
      </c>
      <c r="I186" s="21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43">
        <f t="shared" si="3"/>
        <v>0</v>
      </c>
      <c r="K186" s="43" t="b">
        <f t="shared" si="4"/>
        <v>0</v>
      </c>
      <c r="L186" s="21" t="str">
        <f>IFERROR(__xludf.DUMMYFUNCTION("if(regexmatch(B186,""e(.*)$""),regexextract(B186,""e(.*)$""),"""")"),"")</f>
        <v/>
      </c>
    </row>
    <row r="187">
      <c r="A187" s="34" t="s">
        <v>1535</v>
      </c>
      <c r="B187" s="34" t="s">
        <v>4644</v>
      </c>
      <c r="C187" s="34" t="s">
        <v>4197</v>
      </c>
      <c r="D187" s="13" t="str">
        <f t="shared" si="1"/>
        <v>J T^-1</v>
      </c>
      <c r="E187" s="42">
        <f>countif(Constants!F:F,F187)</f>
        <v>1</v>
      </c>
      <c r="F187" s="21" t="str">
        <f>ifna(VLOOKUP($A187,'v2006'!$A:$F,6,false),"")</f>
        <v>MuonMagneticMoment</v>
      </c>
      <c r="G187" s="21" t="str">
        <f>IFERROR(__xludf.DUMMYFUNCTION("REGEXREPLACE(substitute(substitute(B187,"" "",""""),""..."",""""),""\(.*\)"","""")"),"-4.49044799e-26")</f>
        <v>-4.49044799e-26</v>
      </c>
      <c r="H187" s="43">
        <f t="shared" si="2"/>
        <v>0</v>
      </c>
      <c r="I187" s="21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43">
        <f t="shared" si="3"/>
        <v>0</v>
      </c>
      <c r="K187" s="43" t="b">
        <f t="shared" si="4"/>
        <v>0</v>
      </c>
      <c r="L187" s="21" t="str">
        <f>IFERROR(__xludf.DUMMYFUNCTION("if(regexmatch(B187,""e(.*)$""),regexextract(B187,""e(.*)$""),"""")"),"-26")</f>
        <v>-26</v>
      </c>
    </row>
    <row r="188">
      <c r="A188" s="34" t="s">
        <v>1541</v>
      </c>
      <c r="B188" s="34" t="s">
        <v>4645</v>
      </c>
      <c r="C188" s="34"/>
      <c r="D188" s="13" t="str">
        <f t="shared" si="1"/>
        <v/>
      </c>
      <c r="E188" s="42">
        <f>countif(Constants!F:F,F188)</f>
        <v>1</v>
      </c>
      <c r="F188" s="21" t="str">
        <f>ifna(VLOOKUP($A188,'v2006'!$A:$F,6,false),"")</f>
        <v>MuonMagneticMomentAnomaly</v>
      </c>
      <c r="G188" s="21" t="str">
        <f>IFERROR(__xludf.DUMMYFUNCTION("REGEXREPLACE(substitute(substitute(B188,"" "",""""),""..."",""""),""\(.*\)"","""")"),"1.16591981e-3")</f>
        <v>1.16591981e-3</v>
      </c>
      <c r="H188" s="43">
        <f t="shared" si="2"/>
        <v>0.00116591981</v>
      </c>
      <c r="I188" s="21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43">
        <f t="shared" si="3"/>
        <v>0</v>
      </c>
      <c r="K188" s="43" t="b">
        <f t="shared" si="4"/>
        <v>0</v>
      </c>
      <c r="L188" s="21" t="str">
        <f>IFERROR(__xludf.DUMMYFUNCTION("if(regexmatch(B188,""e(.*)$""),regexextract(B188,""e(.*)$""),"""")"),"-3")</f>
        <v>-3</v>
      </c>
    </row>
    <row r="189">
      <c r="A189" s="34" t="s">
        <v>1546</v>
      </c>
      <c r="B189" s="34" t="s">
        <v>4646</v>
      </c>
      <c r="C189" s="34"/>
      <c r="D189" s="13" t="str">
        <f t="shared" si="1"/>
        <v/>
      </c>
      <c r="E189" s="42">
        <f>countif(Constants!F:F,F189)</f>
        <v>1</v>
      </c>
      <c r="F189" s="21" t="str">
        <f>ifna(VLOOKUP($A189,'v2006'!$A:$F,6,false),"")</f>
        <v>MuonMagneticMomentToBohrMagnetonRatio</v>
      </c>
      <c r="G189" s="21" t="str">
        <f>IFERROR(__xludf.DUMMYFUNCTION("REGEXREPLACE(substitute(substitute(B189,"" "",""""),""..."",""""),""\(.*\)"","""")"),"-4.84197045e-3")</f>
        <v>-4.84197045e-3</v>
      </c>
      <c r="H189" s="43">
        <f t="shared" si="2"/>
        <v>-0.00484197045</v>
      </c>
      <c r="I189" s="21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43">
        <f t="shared" si="3"/>
        <v>0</v>
      </c>
      <c r="K189" s="43" t="b">
        <f t="shared" si="4"/>
        <v>0</v>
      </c>
      <c r="L189" s="21" t="str">
        <f>IFERROR(__xludf.DUMMYFUNCTION("if(regexmatch(B189,""e(.*)$""),regexextract(B189,""e(.*)$""),"""")"),"-3")</f>
        <v>-3</v>
      </c>
    </row>
    <row r="190">
      <c r="A190" s="34" t="s">
        <v>1551</v>
      </c>
      <c r="B190" s="34" t="s">
        <v>4647</v>
      </c>
      <c r="C190" s="34"/>
      <c r="D190" s="13" t="str">
        <f t="shared" si="1"/>
        <v/>
      </c>
      <c r="E190" s="42">
        <f>countif(Constants!F:F,F190)</f>
        <v>1</v>
      </c>
      <c r="F190" s="21" t="str">
        <f>ifna(VLOOKUP($A190,'v2006'!$A:$F,6,false),"")</f>
        <v>MuonMagneticMomentToNuclearMagnetonRatio</v>
      </c>
      <c r="G190" s="21" t="str">
        <f>IFERROR(__xludf.DUMMYFUNCTION("REGEXREPLACE(substitute(substitute(B190,"" "",""""),""..."",""""),""\(.*\)"","""")"),"-8.89059698")</f>
        <v>-8.89059698</v>
      </c>
      <c r="H190" s="43">
        <f t="shared" si="2"/>
        <v>-8.89059698</v>
      </c>
      <c r="I190" s="21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43">
        <f t="shared" si="3"/>
        <v>0.0000000023</v>
      </c>
      <c r="K190" s="43" t="b">
        <f t="shared" si="4"/>
        <v>0</v>
      </c>
      <c r="L190" s="21" t="str">
        <f>IFERROR(__xludf.DUMMYFUNCTION("if(regexmatch(B190,""e(.*)$""),regexextract(B190,""e(.*)$""),"""")"),"")</f>
        <v/>
      </c>
    </row>
    <row r="191">
      <c r="A191" s="34" t="s">
        <v>1555</v>
      </c>
      <c r="B191" s="34" t="s">
        <v>4648</v>
      </c>
      <c r="C191" s="34" t="s">
        <v>538</v>
      </c>
      <c r="D191" s="13" t="str">
        <f t="shared" si="1"/>
        <v>kg</v>
      </c>
      <c r="E191" s="42">
        <f>countif(Constants!F:F,F191)</f>
        <v>1</v>
      </c>
      <c r="F191" s="21" t="str">
        <f>ifna(VLOOKUP($A191,'v2006'!$A:$F,6,false),"")</f>
        <v>MuonMass</v>
      </c>
      <c r="G191" s="21" t="str">
        <f>IFERROR(__xludf.DUMMYFUNCTION("REGEXREPLACE(substitute(substitute(B191,"" "",""""),""..."",""""),""\(.*\)"","""")"),"1.88353140e-28")</f>
        <v>1.88353140e-28</v>
      </c>
      <c r="H191" s="43">
        <f t="shared" si="2"/>
        <v>0</v>
      </c>
      <c r="I191" s="21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43">
        <f t="shared" si="3"/>
        <v>0</v>
      </c>
      <c r="K191" s="43" t="b">
        <f t="shared" si="4"/>
        <v>0</v>
      </c>
      <c r="L191" s="21" t="str">
        <f>IFERROR(__xludf.DUMMYFUNCTION("if(regexmatch(B191,""e(.*)$""),regexextract(B191,""e(.*)$""),"""")"),"-28")</f>
        <v>-28</v>
      </c>
    </row>
    <row r="192">
      <c r="A192" s="34" t="s">
        <v>1559</v>
      </c>
      <c r="B192" s="34" t="s">
        <v>4649</v>
      </c>
      <c r="C192" s="34" t="s">
        <v>543</v>
      </c>
      <c r="D192" s="13" t="str">
        <f t="shared" si="1"/>
        <v>J</v>
      </c>
      <c r="E192" s="42">
        <f>countif(Constants!F:F,F192)</f>
        <v>1</v>
      </c>
      <c r="F192" s="21" t="str">
        <f>ifna(VLOOKUP($A192,'v2006'!$A:$F,6,false),"")</f>
        <v>MuonMassEnergyEquivalent</v>
      </c>
      <c r="G192" s="21" t="str">
        <f>IFERROR(__xludf.DUMMYFUNCTION("REGEXREPLACE(substitute(substitute(B192,"" "",""""),""..."",""""),""\(.*\)"","""")"),"1.69283360e-11")</f>
        <v>1.69283360e-11</v>
      </c>
      <c r="H192" s="43">
        <f t="shared" si="2"/>
        <v>0</v>
      </c>
      <c r="I192" s="21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43">
        <f t="shared" si="3"/>
        <v>0</v>
      </c>
      <c r="K192" s="43" t="b">
        <f t="shared" si="4"/>
        <v>0</v>
      </c>
      <c r="L192" s="21" t="str">
        <f>IFERROR(__xludf.DUMMYFUNCTION("if(regexmatch(B192,""e(.*)$""),regexextract(B192,""e(.*)$""),"""")"),"-11")</f>
        <v>-11</v>
      </c>
    </row>
    <row r="193">
      <c r="A193" s="34" t="s">
        <v>1563</v>
      </c>
      <c r="B193" s="34" t="s">
        <v>4650</v>
      </c>
      <c r="C193" s="34" t="s">
        <v>548</v>
      </c>
      <c r="D193" s="13" t="str">
        <f t="shared" si="1"/>
        <v>MeV</v>
      </c>
      <c r="E193" s="42">
        <f>countif(Constants!F:F,F193)</f>
        <v>1</v>
      </c>
      <c r="F193" s="21" t="str">
        <f>ifna(VLOOKUP($A193,'v2006'!$A:$F,6,false),"")</f>
        <v>MuonMassEnergyEquivalentInMeV</v>
      </c>
      <c r="G193" s="21" t="str">
        <f>IFERROR(__xludf.DUMMYFUNCTION("REGEXREPLACE(substitute(substitute(B193,"" "",""""),""..."",""""),""\(.*\)"","""")"),"105.6583692")</f>
        <v>105.6583692</v>
      </c>
      <c r="H193" s="43">
        <f t="shared" si="2"/>
        <v>105.6583692</v>
      </c>
      <c r="I193" s="21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43">
        <f t="shared" si="3"/>
        <v>0.000000094</v>
      </c>
      <c r="K193" s="43" t="b">
        <f t="shared" si="4"/>
        <v>0</v>
      </c>
      <c r="L193" s="21" t="str">
        <f>IFERROR(__xludf.DUMMYFUNCTION("if(regexmatch(B193,""e(.*)$""),regexextract(B193,""e(.*)$""),"""")"),"")</f>
        <v/>
      </c>
    </row>
    <row r="194">
      <c r="A194" s="34" t="s">
        <v>1566</v>
      </c>
      <c r="B194" s="34" t="s">
        <v>4651</v>
      </c>
      <c r="C194" s="34" t="s">
        <v>553</v>
      </c>
      <c r="D194" s="13" t="str">
        <f t="shared" si="1"/>
        <v>u</v>
      </c>
      <c r="E194" s="42">
        <f>countif(Constants!F:F,F194)</f>
        <v>1</v>
      </c>
      <c r="F194" s="21" t="str">
        <f>ifna(VLOOKUP($A194,'v2006'!$A:$F,6,false),"")</f>
        <v>MuonMassInAtomicMassUnit</v>
      </c>
      <c r="G194" s="21" t="str">
        <f>IFERROR(__xludf.DUMMYFUNCTION("REGEXREPLACE(substitute(substitute(B194,"" "",""""),""..."",""""),""\(.*\)"","""")"),"0.1134289264")</f>
        <v>0.1134289264</v>
      </c>
      <c r="H194" s="43">
        <f t="shared" si="2"/>
        <v>0.1134289264</v>
      </c>
      <c r="I194" s="21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43">
        <f t="shared" si="3"/>
        <v>0</v>
      </c>
      <c r="K194" s="43" t="b">
        <f t="shared" si="4"/>
        <v>0</v>
      </c>
      <c r="L194" s="21" t="str">
        <f>IFERROR(__xludf.DUMMYFUNCTION("if(regexmatch(B194,""e(.*)$""),regexextract(B194,""e(.*)$""),"""")"),"")</f>
        <v/>
      </c>
    </row>
    <row r="195">
      <c r="A195" s="34" t="s">
        <v>1569</v>
      </c>
      <c r="B195" s="34" t="s">
        <v>4652</v>
      </c>
      <c r="C195" s="34" t="s">
        <v>4163</v>
      </c>
      <c r="D195" s="13" t="str">
        <f t="shared" si="1"/>
        <v>kg mol^-1</v>
      </c>
      <c r="E195" s="42">
        <f>countif(Constants!F:F,F195)</f>
        <v>1</v>
      </c>
      <c r="F195" s="21" t="str">
        <f>ifna(VLOOKUP($A195,'v2006'!$A:$F,6,false),"")</f>
        <v>MuonMolarMass</v>
      </c>
      <c r="G195" s="21" t="str">
        <f>IFERROR(__xludf.DUMMYFUNCTION("REGEXREPLACE(substitute(substitute(B195,"" "",""""),""..."",""""),""\(.*\)"","""")"),"0.1134289264e-3")</f>
        <v>0.1134289264e-3</v>
      </c>
      <c r="H195" s="43">
        <f t="shared" si="2"/>
        <v>0.0001134289264</v>
      </c>
      <c r="I195" s="21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43">
        <f t="shared" si="3"/>
        <v>0</v>
      </c>
      <c r="K195" s="43" t="b">
        <f t="shared" si="4"/>
        <v>0</v>
      </c>
      <c r="L195" s="21" t="str">
        <f>IFERROR(__xludf.DUMMYFUNCTION("if(regexmatch(B195,""e(.*)$""),regexextract(B195,""e(.*)$""),"""")"),"-3")</f>
        <v>-3</v>
      </c>
    </row>
    <row r="196">
      <c r="A196" s="34" t="s">
        <v>1525</v>
      </c>
      <c r="B196" s="34" t="s">
        <v>4653</v>
      </c>
      <c r="C196" s="34"/>
      <c r="D196" s="13" t="str">
        <f t="shared" si="1"/>
        <v/>
      </c>
      <c r="E196" s="42">
        <f>countif(Constants!F:F,F196)</f>
        <v>1</v>
      </c>
      <c r="F196" s="21" t="str">
        <f>ifna(VLOOKUP($A196,'v2006'!$A:$F,6,false),"")</f>
        <v>MuonElectronMassRatio</v>
      </c>
      <c r="G196" s="21" t="str">
        <f>IFERROR(__xludf.DUMMYFUNCTION("REGEXREPLACE(substitute(substitute(B196,"" "",""""),""..."",""""),""\(.*\)"","""")"),"206.7682838")</f>
        <v>206.7682838</v>
      </c>
      <c r="H196" s="43">
        <f t="shared" si="2"/>
        <v>206.7682838</v>
      </c>
      <c r="I196" s="21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43">
        <f t="shared" si="3"/>
        <v>0.000000054</v>
      </c>
      <c r="K196" s="43" t="b">
        <f t="shared" si="4"/>
        <v>0</v>
      </c>
      <c r="L196" s="21" t="str">
        <f>IFERROR(__xludf.DUMMYFUNCTION("if(regexmatch(B196,""e(.*)$""),regexextract(B196,""e(.*)$""),"""")"),"")</f>
        <v/>
      </c>
    </row>
    <row r="197">
      <c r="A197" s="34" t="s">
        <v>1573</v>
      </c>
      <c r="B197" s="34" t="s">
        <v>4654</v>
      </c>
      <c r="C197" s="34"/>
      <c r="D197" s="13" t="str">
        <f t="shared" si="1"/>
        <v/>
      </c>
      <c r="E197" s="42">
        <f>countif(Constants!F:F,F197)</f>
        <v>1</v>
      </c>
      <c r="F197" s="21" t="str">
        <f>ifna(VLOOKUP($A197,'v2006'!$A:$F,6,false),"")</f>
        <v>MuonNeutronMassRatio</v>
      </c>
      <c r="G197" s="21" t="str">
        <f>IFERROR(__xludf.DUMMYFUNCTION("REGEXREPLACE(substitute(substitute(B197,"" "",""""),""..."",""""),""\(.*\)"","""")"),"0.1124545175")</f>
        <v>0.1124545175</v>
      </c>
      <c r="H197" s="43">
        <f t="shared" si="2"/>
        <v>0.1124545175</v>
      </c>
      <c r="I197" s="21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43">
        <f t="shared" si="3"/>
        <v>0</v>
      </c>
      <c r="K197" s="43" t="b">
        <f t="shared" si="4"/>
        <v>0</v>
      </c>
      <c r="L197" s="21" t="str">
        <f>IFERROR(__xludf.DUMMYFUNCTION("if(regexmatch(B197,""e(.*)$""),regexextract(B197,""e(.*)$""),"""")"),"")</f>
        <v/>
      </c>
    </row>
    <row r="198">
      <c r="A198" s="34" t="s">
        <v>4385</v>
      </c>
      <c r="B198" s="34" t="s">
        <v>4655</v>
      </c>
      <c r="C198" s="34"/>
      <c r="D198" s="13" t="str">
        <f t="shared" si="1"/>
        <v/>
      </c>
      <c r="E198" s="42">
        <f>countif(Constants!F:F,F198)</f>
        <v>1</v>
      </c>
      <c r="F198" s="21" t="str">
        <f>ifna(VLOOKUP($A198,'v2006'!$A:$F,6,false),"")</f>
        <v>MuonProtonMagneticMomentRatio</v>
      </c>
      <c r="G198" s="21" t="str">
        <f>IFERROR(__xludf.DUMMYFUNCTION("REGEXREPLACE(substitute(substitute(B198,"" "",""""),""..."",""""),""\(.*\)"","""")"),"-3.183345118")</f>
        <v>-3.183345118</v>
      </c>
      <c r="H198" s="43">
        <f t="shared" si="2"/>
        <v>-3.183345118</v>
      </c>
      <c r="I198" s="21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43">
        <f t="shared" si="3"/>
        <v>0.00000000089</v>
      </c>
      <c r="K198" s="43" t="b">
        <f t="shared" si="4"/>
        <v>0</v>
      </c>
      <c r="L198" s="21" t="str">
        <f>IFERROR(__xludf.DUMMYFUNCTION("if(regexmatch(B198,""e(.*)$""),regexextract(B198,""e(.*)$""),"""")"),"")</f>
        <v/>
      </c>
    </row>
    <row r="199">
      <c r="A199" s="34" t="s">
        <v>1583</v>
      </c>
      <c r="B199" s="34" t="s">
        <v>4656</v>
      </c>
      <c r="C199" s="34"/>
      <c r="D199" s="13" t="str">
        <f t="shared" si="1"/>
        <v/>
      </c>
      <c r="E199" s="42">
        <f>countif(Constants!F:F,F199)</f>
        <v>1</v>
      </c>
      <c r="F199" s="21" t="str">
        <f>ifna(VLOOKUP($A199,'v2006'!$A:$F,6,false),"")</f>
        <v>MuonProtonMassRatio</v>
      </c>
      <c r="G199" s="21" t="str">
        <f>IFERROR(__xludf.DUMMYFUNCTION("REGEXREPLACE(substitute(substitute(B199,"" "",""""),""..."",""""),""\(.*\)"","""")"),"0.1126095269")</f>
        <v>0.1126095269</v>
      </c>
      <c r="H199" s="43">
        <f t="shared" si="2"/>
        <v>0.1126095269</v>
      </c>
      <c r="I199" s="21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43">
        <f t="shared" si="3"/>
        <v>0</v>
      </c>
      <c r="K199" s="43" t="b">
        <f t="shared" si="4"/>
        <v>0</v>
      </c>
      <c r="L199" s="21" t="str">
        <f>IFERROR(__xludf.DUMMYFUNCTION("if(regexmatch(B199,""e(.*)$""),regexextract(B199,""e(.*)$""),"""")"),"")</f>
        <v/>
      </c>
    </row>
    <row r="200">
      <c r="A200" s="34" t="s">
        <v>1588</v>
      </c>
      <c r="B200" s="34" t="s">
        <v>4388</v>
      </c>
      <c r="C200" s="34"/>
      <c r="D200" s="13" t="str">
        <f t="shared" si="1"/>
        <v/>
      </c>
      <c r="E200" s="42">
        <f>countif(Constants!F:F,F200)</f>
        <v>1</v>
      </c>
      <c r="F200" s="21" t="str">
        <f>ifna(VLOOKUP($A200,'v2006'!$A:$F,6,false),"")</f>
        <v>MuonTauMassRatio</v>
      </c>
      <c r="G200" s="21" t="str">
        <f>IFERROR(__xludf.DUMMYFUNCTION("REGEXREPLACE(substitute(substitute(B200,"" "",""""),""..."",""""),""\(.*\)"","""")"),"5.94592e-2")</f>
        <v>5.94592e-2</v>
      </c>
      <c r="H200" s="43">
        <f t="shared" si="2"/>
        <v>0.0594592</v>
      </c>
      <c r="I200" s="21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43">
        <f t="shared" si="3"/>
        <v>0.000000097</v>
      </c>
      <c r="K200" s="43" t="b">
        <f t="shared" si="4"/>
        <v>0</v>
      </c>
      <c r="L200" s="21" t="str">
        <f>IFERROR(__xludf.DUMMYFUNCTION("if(regexmatch(B200,""e(.*)$""),regexextract(B200,""e(.*)$""),"""")"),"-2")</f>
        <v>-2</v>
      </c>
    </row>
    <row r="201">
      <c r="A201" s="34" t="s">
        <v>1593</v>
      </c>
      <c r="B201" s="34" t="s">
        <v>4525</v>
      </c>
      <c r="C201" s="34" t="s">
        <v>643</v>
      </c>
      <c r="D201" s="13" t="str">
        <f t="shared" si="1"/>
        <v>J s</v>
      </c>
      <c r="E201" s="42">
        <f>countif(Constants!F:F,F201)</f>
        <v>1</v>
      </c>
      <c r="F201" s="21" t="str">
        <f>ifna(VLOOKUP($A201,'v2006'!$A:$F,6,false),"")</f>
        <v>NaturalUnitOfAction</v>
      </c>
      <c r="G201" s="21" t="str">
        <f>IFERROR(__xludf.DUMMYFUNCTION("REGEXREPLACE(substitute(substitute(B201,"" "",""""),""..."",""""),""\(.*\)"","""")"),"1.05457168e-34")</f>
        <v>1.05457168e-34</v>
      </c>
      <c r="H201" s="43">
        <f t="shared" si="2"/>
        <v>0</v>
      </c>
      <c r="I201" s="21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43">
        <f t="shared" si="3"/>
        <v>0</v>
      </c>
      <c r="K201" s="43" t="b">
        <f t="shared" si="4"/>
        <v>0</v>
      </c>
      <c r="L201" s="21" t="str">
        <f>IFERROR(__xludf.DUMMYFUNCTION("if(regexmatch(B201,""e(.*)$""),regexextract(B201,""e(.*)$""),"""")"),"-34")</f>
        <v>-34</v>
      </c>
    </row>
    <row r="202">
      <c r="A202" s="34" t="s">
        <v>1597</v>
      </c>
      <c r="B202" s="34" t="s">
        <v>4657</v>
      </c>
      <c r="C202" s="34" t="s">
        <v>1598</v>
      </c>
      <c r="D202" s="13" t="str">
        <f t="shared" si="1"/>
        <v>eV s</v>
      </c>
      <c r="E202" s="42">
        <f>countif(Constants!F:F,F202)</f>
        <v>1</v>
      </c>
      <c r="F202" s="21" t="str">
        <f>ifna(VLOOKUP($A202,'v2006'!$A:$F,6,false),"")</f>
        <v>NaturalUnitOfActionInEVS</v>
      </c>
      <c r="G202" s="21" t="str">
        <f>IFERROR(__xludf.DUMMYFUNCTION("REGEXREPLACE(substitute(substitute(B202,"" "",""""),""..."",""""),""\(.*\)"","""")"),"6.58211915e-16")</f>
        <v>6.58211915e-16</v>
      </c>
      <c r="H202" s="43">
        <f t="shared" si="2"/>
        <v>0</v>
      </c>
      <c r="I202" s="21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43">
        <f t="shared" si="3"/>
        <v>0</v>
      </c>
      <c r="K202" s="43" t="b">
        <f t="shared" si="4"/>
        <v>0</v>
      </c>
      <c r="L202" s="21" t="str">
        <f>IFERROR(__xludf.DUMMYFUNCTION("if(regexmatch(B202,""e(.*)$""),regexextract(B202,""e(.*)$""),"""")"),"-16")</f>
        <v>-16</v>
      </c>
    </row>
    <row r="203">
      <c r="A203" s="34" t="s">
        <v>1602</v>
      </c>
      <c r="B203" s="34" t="s">
        <v>4574</v>
      </c>
      <c r="C203" s="34" t="s">
        <v>543</v>
      </c>
      <c r="D203" s="13" t="str">
        <f t="shared" si="1"/>
        <v>J</v>
      </c>
      <c r="E203" s="42">
        <f>countif(Constants!F:F,F203)</f>
        <v>1</v>
      </c>
      <c r="F203" s="21" t="str">
        <f>ifna(VLOOKUP($A203,'v2006'!$A:$F,6,false),"")</f>
        <v>NaturalUnitOfEnergy</v>
      </c>
      <c r="G203" s="21" t="str">
        <f>IFERROR(__xludf.DUMMYFUNCTION("REGEXREPLACE(substitute(substitute(B203,"" "",""""),""..."",""""),""\(.*\)"","""")"),"8.1871047e-14")</f>
        <v>8.1871047e-14</v>
      </c>
      <c r="H203" s="43">
        <f t="shared" si="2"/>
        <v>0</v>
      </c>
      <c r="I203" s="21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43">
        <f t="shared" si="3"/>
        <v>0</v>
      </c>
      <c r="K203" s="43" t="b">
        <f t="shared" si="4"/>
        <v>0</v>
      </c>
      <c r="L203" s="21" t="str">
        <f>IFERROR(__xludf.DUMMYFUNCTION("if(regexmatch(B203,""e(.*)$""),regexextract(B203,""e(.*)$""),"""")"),"-14")</f>
        <v>-14</v>
      </c>
    </row>
    <row r="204">
      <c r="A204" s="34" t="s">
        <v>1606</v>
      </c>
      <c r="B204" s="34" t="s">
        <v>4575</v>
      </c>
      <c r="C204" s="34" t="s">
        <v>548</v>
      </c>
      <c r="D204" s="13" t="str">
        <f t="shared" si="1"/>
        <v>MeV</v>
      </c>
      <c r="E204" s="42">
        <f>countif(Constants!F:F,F204)</f>
        <v>1</v>
      </c>
      <c r="F204" s="21" t="str">
        <f>ifna(VLOOKUP($A204,'v2006'!$A:$F,6,false),"")</f>
        <v>NaturalUnitOfEnergyInMeV</v>
      </c>
      <c r="G204" s="21" t="str">
        <f>IFERROR(__xludf.DUMMYFUNCTION("REGEXREPLACE(substitute(substitute(B204,"" "",""""),""..."",""""),""\(.*\)"","""")"),"0.510998918")</f>
        <v>0.510998918</v>
      </c>
      <c r="H204" s="43">
        <f t="shared" si="2"/>
        <v>0.510998918</v>
      </c>
      <c r="I204" s="21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43">
        <f t="shared" si="3"/>
        <v>0.00000000044</v>
      </c>
      <c r="K204" s="43" t="b">
        <f t="shared" si="4"/>
        <v>0</v>
      </c>
      <c r="L204" s="21" t="str">
        <f>IFERROR(__xludf.DUMMYFUNCTION("if(regexmatch(B204,""e(.*)$""),regexextract(B204,""e(.*)$""),"""")"),"")</f>
        <v/>
      </c>
    </row>
    <row r="205">
      <c r="A205" s="34" t="s">
        <v>1609</v>
      </c>
      <c r="B205" s="34" t="s">
        <v>4550</v>
      </c>
      <c r="C205" s="34" t="s">
        <v>571</v>
      </c>
      <c r="D205" s="13" t="str">
        <f t="shared" si="1"/>
        <v>m</v>
      </c>
      <c r="E205" s="42">
        <f>countif(Constants!F:F,F205)</f>
        <v>1</v>
      </c>
      <c r="F205" s="21" t="str">
        <f>ifna(VLOOKUP($A205,'v2006'!$A:$F,6,false),"")</f>
        <v>NaturalUnitOfLength</v>
      </c>
      <c r="G205" s="21" t="str">
        <f>IFERROR(__xludf.DUMMYFUNCTION("REGEXREPLACE(substitute(substitute(B205,"" "",""""),""..."",""""),""\(.*\)"","""")"),"386.1592678e-15")</f>
        <v>386.1592678e-15</v>
      </c>
      <c r="H205" s="43">
        <f t="shared" si="2"/>
        <v>0</v>
      </c>
      <c r="I205" s="21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43">
        <f t="shared" si="3"/>
        <v>0</v>
      </c>
      <c r="K205" s="43" t="b">
        <f t="shared" si="4"/>
        <v>0</v>
      </c>
      <c r="L205" s="21" t="str">
        <f>IFERROR(__xludf.DUMMYFUNCTION("if(regexmatch(B205,""e(.*)$""),regexextract(B205,""e(.*)$""),"""")"),"-15")</f>
        <v>-15</v>
      </c>
    </row>
    <row r="206">
      <c r="A206" s="34" t="s">
        <v>1613</v>
      </c>
      <c r="B206" s="34" t="s">
        <v>4540</v>
      </c>
      <c r="C206" s="34" t="s">
        <v>538</v>
      </c>
      <c r="D206" s="13" t="str">
        <f t="shared" si="1"/>
        <v>kg</v>
      </c>
      <c r="E206" s="42">
        <f>countif(Constants!F:F,F206)</f>
        <v>1</v>
      </c>
      <c r="F206" s="21" t="str">
        <f>ifna(VLOOKUP($A206,'v2006'!$A:$F,6,false),"")</f>
        <v>NaturalUnitOfMass</v>
      </c>
      <c r="G206" s="21" t="str">
        <f>IFERROR(__xludf.DUMMYFUNCTION("REGEXREPLACE(substitute(substitute(B206,"" "",""""),""..."",""""),""\(.*\)"","""")"),"9.1093826e-31")</f>
        <v>9.1093826e-31</v>
      </c>
      <c r="H206" s="43">
        <f t="shared" si="2"/>
        <v>0</v>
      </c>
      <c r="I206" s="21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43">
        <f t="shared" si="3"/>
        <v>0</v>
      </c>
      <c r="K206" s="43" t="b">
        <f t="shared" si="4"/>
        <v>0</v>
      </c>
      <c r="L206" s="21" t="str">
        <f>IFERROR(__xludf.DUMMYFUNCTION("if(regexmatch(B206,""e(.*)$""),regexextract(B206,""e(.*)$""),"""")"),"-31")</f>
        <v>-31</v>
      </c>
    </row>
    <row r="207">
      <c r="A207" s="34" t="s">
        <v>1617</v>
      </c>
      <c r="B207" s="34" t="s">
        <v>4658</v>
      </c>
      <c r="C207" s="34" t="s">
        <v>4204</v>
      </c>
      <c r="D207" s="13" t="str">
        <f t="shared" si="1"/>
        <v>kg m s^-1</v>
      </c>
      <c r="E207" s="42">
        <f>countif(Constants!F:F,F207)</f>
        <v>1</v>
      </c>
      <c r="F207" s="21" t="str">
        <f>ifna(VLOOKUP($A207,'v2006'!$A:$F,6,false),"")</f>
        <v>NaturalUnitOfMomentum</v>
      </c>
      <c r="G207" s="21" t="str">
        <f>IFERROR(__xludf.DUMMYFUNCTION("REGEXREPLACE(substitute(substitute(B207,"" "",""""),""..."",""""),""\(.*\)"","""")"),"2.73092419e-22")</f>
        <v>2.73092419e-22</v>
      </c>
      <c r="H207" s="43">
        <f t="shared" si="2"/>
        <v>0</v>
      </c>
      <c r="I207" s="21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43">
        <f t="shared" si="3"/>
        <v>0</v>
      </c>
      <c r="K207" s="43" t="b">
        <f t="shared" si="4"/>
        <v>0</v>
      </c>
      <c r="L207" s="21" t="str">
        <f>IFERROR(__xludf.DUMMYFUNCTION("if(regexmatch(B207,""e(.*)$""),regexextract(B207,""e(.*)$""),"""")"),"-22")</f>
        <v>-22</v>
      </c>
    </row>
    <row r="208">
      <c r="A208" s="34" t="s">
        <v>1622</v>
      </c>
      <c r="B208" s="34" t="s">
        <v>4575</v>
      </c>
      <c r="C208" s="34" t="s">
        <v>1623</v>
      </c>
      <c r="D208" s="13" t="str">
        <f t="shared" si="1"/>
        <v>MeV/c</v>
      </c>
      <c r="E208" s="42">
        <f>countif(Constants!F:F,F208)</f>
        <v>1</v>
      </c>
      <c r="F208" s="21" t="str">
        <f>ifna(VLOOKUP($A208,'v2006'!$A:$F,6,false),"")</f>
        <v>NaturalUnitOfMomentumInMeV-PER-c</v>
      </c>
      <c r="G208" s="21" t="str">
        <f>IFERROR(__xludf.DUMMYFUNCTION("REGEXREPLACE(substitute(substitute(B208,"" "",""""),""..."",""""),""\(.*\)"","""")"),"0.510998918")</f>
        <v>0.510998918</v>
      </c>
      <c r="H208" s="43">
        <f t="shared" si="2"/>
        <v>0.510998918</v>
      </c>
      <c r="I208" s="21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43">
        <f t="shared" si="3"/>
        <v>0.00000000044</v>
      </c>
      <c r="K208" s="43" t="b">
        <f t="shared" si="4"/>
        <v>0</v>
      </c>
      <c r="L208" s="21" t="str">
        <f>IFERROR(__xludf.DUMMYFUNCTION("if(regexmatch(B208,""e(.*)$""),regexextract(B208,""e(.*)$""),"""")"),"")</f>
        <v/>
      </c>
    </row>
    <row r="209">
      <c r="A209" s="34" t="s">
        <v>1628</v>
      </c>
      <c r="B209" s="34" t="s">
        <v>4659</v>
      </c>
      <c r="C209" s="34" t="s">
        <v>749</v>
      </c>
      <c r="D209" s="13" t="str">
        <f t="shared" si="1"/>
        <v>s</v>
      </c>
      <c r="E209" s="42">
        <f>countif(Constants!F:F,F209)</f>
        <v>1</v>
      </c>
      <c r="F209" s="21" t="str">
        <f>ifna(VLOOKUP($A209,'v2006'!$A:$F,6,false),"")</f>
        <v>NaturalUnitOfTime</v>
      </c>
      <c r="G209" s="21" t="str">
        <f>IFERROR(__xludf.DUMMYFUNCTION("REGEXREPLACE(substitute(substitute(B209,"" "",""""),""..."",""""),""\(.*\)"","""")"),"1.2880886677e-21")</f>
        <v>1.2880886677e-21</v>
      </c>
      <c r="H209" s="43">
        <f t="shared" si="2"/>
        <v>0</v>
      </c>
      <c r="I209" s="21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43">
        <f t="shared" si="3"/>
        <v>0</v>
      </c>
      <c r="K209" s="43" t="b">
        <f t="shared" si="4"/>
        <v>0</v>
      </c>
      <c r="L209" s="21" t="str">
        <f>IFERROR(__xludf.DUMMYFUNCTION("if(regexmatch(B209,""e(.*)$""),regexextract(B209,""e(.*)$""),"""")"),"-21")</f>
        <v>-21</v>
      </c>
    </row>
    <row r="210">
      <c r="A210" s="34" t="s">
        <v>1632</v>
      </c>
      <c r="B210" s="34" t="s">
        <v>2474</v>
      </c>
      <c r="C210" s="34" t="s">
        <v>4209</v>
      </c>
      <c r="D210" s="13" t="str">
        <f t="shared" si="1"/>
        <v>m s^-1</v>
      </c>
      <c r="E210" s="42">
        <f>countif(Constants!F:F,F210)</f>
        <v>1</v>
      </c>
      <c r="F210" s="21" t="str">
        <f>ifna(VLOOKUP($A210,'v2006'!$A:$F,6,false),"")</f>
        <v>NaturalUnitOfVelocity</v>
      </c>
      <c r="G210" s="21" t="str">
        <f>IFERROR(__xludf.DUMMYFUNCTION("REGEXREPLACE(substitute(substitute(B210,"" "",""""),""..."",""""),""\(.*\)"","""")"),"299792458")</f>
        <v>299792458</v>
      </c>
      <c r="H210" s="43">
        <f t="shared" si="2"/>
        <v>299792458</v>
      </c>
      <c r="I210" s="21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43" t="str">
        <f t="shared" si="3"/>
        <v/>
      </c>
      <c r="K210" s="43" t="b">
        <f t="shared" si="4"/>
        <v>0</v>
      </c>
      <c r="L210" s="21" t="str">
        <f>IFERROR(__xludf.DUMMYFUNCTION("if(regexmatch(B210,""e(.*)$""),regexextract(B210,""e(.*)$""),"""")"),"")</f>
        <v/>
      </c>
    </row>
    <row r="211">
      <c r="A211" s="34" t="s">
        <v>1636</v>
      </c>
      <c r="B211" s="34" t="s">
        <v>4660</v>
      </c>
      <c r="C211" s="34" t="s">
        <v>571</v>
      </c>
      <c r="D211" s="13" t="str">
        <f t="shared" si="1"/>
        <v>m</v>
      </c>
      <c r="E211" s="42">
        <f>countif(Constants!F:F,F211)</f>
        <v>1</v>
      </c>
      <c r="F211" s="21" t="str">
        <f>ifna(VLOOKUP($A211,'v2006'!$A:$F,6,false),"")</f>
        <v>NeutronComptonWavelength</v>
      </c>
      <c r="G211" s="21" t="str">
        <f>IFERROR(__xludf.DUMMYFUNCTION("REGEXREPLACE(substitute(substitute(B211,"" "",""""),""..."",""""),""\(.*\)"","""")"),"1.3195909067e-15")</f>
        <v>1.3195909067e-15</v>
      </c>
      <c r="H211" s="43">
        <f t="shared" si="2"/>
        <v>0</v>
      </c>
      <c r="I211" s="21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43">
        <f t="shared" si="3"/>
        <v>0</v>
      </c>
      <c r="K211" s="43" t="b">
        <f t="shared" si="4"/>
        <v>0</v>
      </c>
      <c r="L211" s="21" t="str">
        <f>IFERROR(__xludf.DUMMYFUNCTION("if(regexmatch(B211,""e(.*)$""),regexextract(B211,""e(.*)$""),"""")"),"-15")</f>
        <v>-15</v>
      </c>
    </row>
    <row r="212">
      <c r="A212" s="34" t="s">
        <v>1929</v>
      </c>
      <c r="B212" s="34" t="s">
        <v>4661</v>
      </c>
      <c r="C212" s="34" t="s">
        <v>571</v>
      </c>
      <c r="D212" s="13" t="str">
        <f t="shared" si="1"/>
        <v>m</v>
      </c>
      <c r="E212" s="42">
        <f>countif(Constants!F:F,F212)</f>
        <v>1</v>
      </c>
      <c r="F212" s="21" t="str">
        <f>ifna(VLOOKUP($A212,'v2006'!$A:$F,6,false),"")</f>
        <v>NeutronComptonWavelengthOver2Pi</v>
      </c>
      <c r="G212" s="21" t="str">
        <f>IFERROR(__xludf.DUMMYFUNCTION("REGEXREPLACE(substitute(substitute(B212,"" "",""""),""..."",""""),""\(.*\)"","""")"),"0.2100194157e-15")</f>
        <v>0.2100194157e-15</v>
      </c>
      <c r="H212" s="43">
        <f t="shared" si="2"/>
        <v>0</v>
      </c>
      <c r="I212" s="21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43">
        <f t="shared" si="3"/>
        <v>0</v>
      </c>
      <c r="K212" s="43" t="b">
        <f t="shared" si="4"/>
        <v>0</v>
      </c>
      <c r="L212" s="21" t="str">
        <f>IFERROR(__xludf.DUMMYFUNCTION("if(regexmatch(B212,""e(.*)$""),regexextract(B212,""e(.*)$""),"""")"),"-15")</f>
        <v>-15</v>
      </c>
    </row>
    <row r="213">
      <c r="A213" s="34" t="s">
        <v>1650</v>
      </c>
      <c r="B213" s="34" t="s">
        <v>4662</v>
      </c>
      <c r="C213" s="34"/>
      <c r="D213" s="13" t="str">
        <f t="shared" si="1"/>
        <v/>
      </c>
      <c r="E213" s="42">
        <f>countif(Constants!F:F,F213)</f>
        <v>1</v>
      </c>
      <c r="F213" s="21" t="str">
        <f>ifna(VLOOKUP($A213,'v2006'!$A:$F,6,false),"")</f>
        <v>NeutronGFactor</v>
      </c>
      <c r="G213" s="21" t="str">
        <f>IFERROR(__xludf.DUMMYFUNCTION("REGEXREPLACE(substitute(substitute(B213,"" "",""""),""..."",""""),""\(.*\)"","""")"),"-3.82608546")</f>
        <v>-3.82608546</v>
      </c>
      <c r="H213" s="43">
        <f t="shared" si="2"/>
        <v>-3.82608546</v>
      </c>
      <c r="I213" s="21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43">
        <f t="shared" si="3"/>
        <v>0.000000009</v>
      </c>
      <c r="K213" s="43" t="b">
        <f t="shared" si="4"/>
        <v>0</v>
      </c>
      <c r="L213" s="21" t="str">
        <f>IFERROR(__xludf.DUMMYFUNCTION("if(regexmatch(B213,""e(.*)$""),regexextract(B213,""e(.*)$""),"""")"),"")</f>
        <v/>
      </c>
    </row>
    <row r="214">
      <c r="A214" s="34" t="s">
        <v>1655</v>
      </c>
      <c r="B214" s="34" t="s">
        <v>4663</v>
      </c>
      <c r="C214" s="34" t="s">
        <v>4258</v>
      </c>
      <c r="D214" s="13" t="str">
        <f t="shared" si="1"/>
        <v>s^-1 T^-1</v>
      </c>
      <c r="E214" s="42">
        <f>countif(Constants!F:F,F214)</f>
        <v>1</v>
      </c>
      <c r="F214" s="21" t="str">
        <f>ifna(VLOOKUP($A214,'v2006'!$A:$F,6,false),"")</f>
        <v>NeutronGyromagneticRatio</v>
      </c>
      <c r="G214" s="21" t="str">
        <f>IFERROR(__xludf.DUMMYFUNCTION("REGEXREPLACE(substitute(substitute(B214,"" "",""""),""..."",""""),""\(.*\)"","""")"),"1.83247183e8")</f>
        <v>1.83247183e8</v>
      </c>
      <c r="H214" s="43">
        <f t="shared" si="2"/>
        <v>183247183</v>
      </c>
      <c r="I214" s="21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43">
        <f t="shared" si="3"/>
        <v>0.46</v>
      </c>
      <c r="K214" s="43" t="b">
        <f t="shared" si="4"/>
        <v>0</v>
      </c>
      <c r="L214" s="21" t="str">
        <f>IFERROR(__xludf.DUMMYFUNCTION("if(regexmatch(B214,""e(.*)$""),regexextract(B214,""e(.*)$""),"""")"),"8")</f>
        <v>8</v>
      </c>
    </row>
    <row r="215">
      <c r="A215" s="34" t="s">
        <v>1658</v>
      </c>
      <c r="B215" s="34" t="s">
        <v>4664</v>
      </c>
      <c r="C215" s="34" t="s">
        <v>4260</v>
      </c>
      <c r="D215" s="13" t="str">
        <f t="shared" si="1"/>
        <v>MHz T^-1</v>
      </c>
      <c r="E215" s="42">
        <f>countif(Constants!F:F,F215)</f>
        <v>1</v>
      </c>
      <c r="F215" s="21" t="str">
        <f>ifna(VLOOKUP($A215,'v2006'!$A:$F,6,false),"")</f>
        <v>NeutronGyromagneticRatioOver2Pi</v>
      </c>
      <c r="G215" s="21" t="str">
        <f>IFERROR(__xludf.DUMMYFUNCTION("REGEXREPLACE(substitute(substitute(B215,"" "",""""),""..."",""""),""\(.*\)"","""")"),"29.1646950")</f>
        <v>29.1646950</v>
      </c>
      <c r="H215" s="43">
        <f t="shared" si="2"/>
        <v>29.164695</v>
      </c>
      <c r="I215" s="21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43">
        <f t="shared" si="3"/>
        <v>0.000000073</v>
      </c>
      <c r="K215" s="43" t="b">
        <f t="shared" si="4"/>
        <v>0</v>
      </c>
      <c r="L215" s="21" t="str">
        <f>IFERROR(__xludf.DUMMYFUNCTION("if(regexmatch(B215,""e(.*)$""),regexextract(B215,""e(.*)$""),"""")"),"")</f>
        <v/>
      </c>
    </row>
    <row r="216">
      <c r="A216" s="34" t="s">
        <v>1664</v>
      </c>
      <c r="B216" s="34" t="s">
        <v>4665</v>
      </c>
      <c r="C216" s="34" t="s">
        <v>4197</v>
      </c>
      <c r="D216" s="13" t="str">
        <f t="shared" si="1"/>
        <v>J T^-1</v>
      </c>
      <c r="E216" s="42">
        <f>countif(Constants!F:F,F216)</f>
        <v>1</v>
      </c>
      <c r="F216" s="21" t="str">
        <f>ifna(VLOOKUP($A216,'v2006'!$A:$F,6,false),"")</f>
        <v>NeutronMagneticMoment</v>
      </c>
      <c r="G216" s="21" t="str">
        <f>IFERROR(__xludf.DUMMYFUNCTION("REGEXREPLACE(substitute(substitute(B216,"" "",""""),""..."",""""),""\(.*\)"","""")"),"-0.96623645e-26")</f>
        <v>-0.96623645e-26</v>
      </c>
      <c r="H216" s="43">
        <f t="shared" si="2"/>
        <v>0</v>
      </c>
      <c r="I216" s="21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43">
        <f t="shared" si="3"/>
        <v>0</v>
      </c>
      <c r="K216" s="43" t="b">
        <f t="shared" si="4"/>
        <v>0</v>
      </c>
      <c r="L216" s="21" t="str">
        <f>IFERROR(__xludf.DUMMYFUNCTION("if(regexmatch(B216,""e(.*)$""),regexextract(B216,""e(.*)$""),"""")"),"-26")</f>
        <v>-26</v>
      </c>
    </row>
    <row r="217">
      <c r="A217" s="34" t="s">
        <v>1669</v>
      </c>
      <c r="B217" s="34" t="s">
        <v>4398</v>
      </c>
      <c r="C217" s="34"/>
      <c r="D217" s="13" t="str">
        <f t="shared" si="1"/>
        <v/>
      </c>
      <c r="E217" s="42">
        <f>countif(Constants!F:F,F217)</f>
        <v>1</v>
      </c>
      <c r="F217" s="21" t="str">
        <f>ifna(VLOOKUP($A217,'v2006'!$A:$F,6,false),"")</f>
        <v>NeutronMagneticMomentToBohrMagnetonRatio</v>
      </c>
      <c r="G217" s="21" t="str">
        <f>IFERROR(__xludf.DUMMYFUNCTION("REGEXREPLACE(substitute(substitute(B217,"" "",""""),""..."",""""),""\(.*\)"","""")"),"-1.04187563e-3")</f>
        <v>-1.04187563e-3</v>
      </c>
      <c r="H217" s="43">
        <f t="shared" si="2"/>
        <v>-0.00104187563</v>
      </c>
      <c r="I217" s="21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43">
        <f t="shared" si="3"/>
        <v>0</v>
      </c>
      <c r="K217" s="43" t="b">
        <f t="shared" si="4"/>
        <v>0</v>
      </c>
      <c r="L217" s="21" t="str">
        <f>IFERROR(__xludf.DUMMYFUNCTION("if(regexmatch(B217,""e(.*)$""),regexextract(B217,""e(.*)$""),"""")"),"-3")</f>
        <v>-3</v>
      </c>
    </row>
    <row r="218">
      <c r="A218" s="34" t="s">
        <v>1674</v>
      </c>
      <c r="B218" s="34" t="s">
        <v>4399</v>
      </c>
      <c r="C218" s="34"/>
      <c r="D218" s="13" t="str">
        <f t="shared" si="1"/>
        <v/>
      </c>
      <c r="E218" s="42">
        <f>countif(Constants!F:F,F218)</f>
        <v>1</v>
      </c>
      <c r="F218" s="21" t="str">
        <f>ifna(VLOOKUP($A218,'v2006'!$A:$F,6,false),"")</f>
        <v>NeutronMagneticMomentToNuclearMagnetonRatio</v>
      </c>
      <c r="G218" s="21" t="str">
        <f>IFERROR(__xludf.DUMMYFUNCTION("REGEXREPLACE(substitute(substitute(B218,"" "",""""),""..."",""""),""\(.*\)"","""")"),"-1.91304273")</f>
        <v>-1.91304273</v>
      </c>
      <c r="H218" s="43">
        <f t="shared" si="2"/>
        <v>-1.91304273</v>
      </c>
      <c r="I218" s="21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43">
        <f t="shared" si="3"/>
        <v>0.0000000045</v>
      </c>
      <c r="K218" s="43" t="b">
        <f t="shared" si="4"/>
        <v>0</v>
      </c>
      <c r="L218" s="21" t="str">
        <f>IFERROR(__xludf.DUMMYFUNCTION("if(regexmatch(B218,""e(.*)$""),regexextract(B218,""e(.*)$""),"""")"),"")</f>
        <v/>
      </c>
    </row>
    <row r="219">
      <c r="A219" s="34" t="s">
        <v>1678</v>
      </c>
      <c r="B219" s="34" t="s">
        <v>4666</v>
      </c>
      <c r="C219" s="34" t="s">
        <v>538</v>
      </c>
      <c r="D219" s="13" t="str">
        <f t="shared" si="1"/>
        <v>kg</v>
      </c>
      <c r="E219" s="42">
        <f>countif(Constants!F:F,F219)</f>
        <v>1</v>
      </c>
      <c r="F219" s="21" t="str">
        <f>ifna(VLOOKUP($A219,'v2006'!$A:$F,6,false),"")</f>
        <v>NeutronMass</v>
      </c>
      <c r="G219" s="21" t="str">
        <f>IFERROR(__xludf.DUMMYFUNCTION("REGEXREPLACE(substitute(substitute(B219,"" "",""""),""..."",""""),""\(.*\)"","""")"),"1.67492728e-27")</f>
        <v>1.67492728e-27</v>
      </c>
      <c r="H219" s="43">
        <f t="shared" si="2"/>
        <v>0</v>
      </c>
      <c r="I219" s="21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43">
        <f t="shared" si="3"/>
        <v>0</v>
      </c>
      <c r="K219" s="43" t="b">
        <f t="shared" si="4"/>
        <v>0</v>
      </c>
      <c r="L219" s="21" t="str">
        <f>IFERROR(__xludf.DUMMYFUNCTION("if(regexmatch(B219,""e(.*)$""),regexextract(B219,""e(.*)$""),"""")"),"-27")</f>
        <v>-27</v>
      </c>
    </row>
    <row r="220">
      <c r="A220" s="34" t="s">
        <v>1682</v>
      </c>
      <c r="B220" s="34" t="s">
        <v>4667</v>
      </c>
      <c r="C220" s="34" t="s">
        <v>543</v>
      </c>
      <c r="D220" s="13" t="str">
        <f t="shared" si="1"/>
        <v>J</v>
      </c>
      <c r="E220" s="42">
        <f>countif(Constants!F:F,F220)</f>
        <v>1</v>
      </c>
      <c r="F220" s="21" t="str">
        <f>ifna(VLOOKUP($A220,'v2006'!$A:$F,6,false),"")</f>
        <v>NeutronMassEnergyEquivalent</v>
      </c>
      <c r="G220" s="21" t="str">
        <f>IFERROR(__xludf.DUMMYFUNCTION("REGEXREPLACE(substitute(substitute(B220,"" "",""""),""..."",""""),""\(.*\)"","""")"),"1.50534957e-10")</f>
        <v>1.50534957e-10</v>
      </c>
      <c r="H220" s="43">
        <f t="shared" si="2"/>
        <v>0.000000000150534957</v>
      </c>
      <c r="I220" s="21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43">
        <f t="shared" si="3"/>
        <v>0</v>
      </c>
      <c r="K220" s="43" t="b">
        <f t="shared" si="4"/>
        <v>0</v>
      </c>
      <c r="L220" s="21" t="str">
        <f>IFERROR(__xludf.DUMMYFUNCTION("if(regexmatch(B220,""e(.*)$""),regexextract(B220,""e(.*)$""),"""")"),"-10")</f>
        <v>-10</v>
      </c>
    </row>
    <row r="221">
      <c r="A221" s="34" t="s">
        <v>1686</v>
      </c>
      <c r="B221" s="34" t="s">
        <v>4668</v>
      </c>
      <c r="C221" s="34" t="s">
        <v>548</v>
      </c>
      <c r="D221" s="13" t="str">
        <f t="shared" si="1"/>
        <v>MeV</v>
      </c>
      <c r="E221" s="42">
        <f>countif(Constants!F:F,F221)</f>
        <v>1</v>
      </c>
      <c r="F221" s="21" t="str">
        <f>ifna(VLOOKUP($A221,'v2006'!$A:$F,6,false),"")</f>
        <v>NeutronMassEnergyEquivalentInMeV</v>
      </c>
      <c r="G221" s="21" t="str">
        <f>IFERROR(__xludf.DUMMYFUNCTION("REGEXREPLACE(substitute(substitute(B221,"" "",""""),""..."",""""),""\(.*\)"","""")"),"939.565360")</f>
        <v>939.565360</v>
      </c>
      <c r="H221" s="43">
        <f t="shared" si="2"/>
        <v>939.56536</v>
      </c>
      <c r="I221" s="21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43">
        <f t="shared" si="3"/>
        <v>0.00000081</v>
      </c>
      <c r="K221" s="43" t="b">
        <f t="shared" si="4"/>
        <v>0</v>
      </c>
      <c r="L221" s="21" t="str">
        <f>IFERROR(__xludf.DUMMYFUNCTION("if(regexmatch(B221,""e(.*)$""),regexextract(B221,""e(.*)$""),"""")"),"")</f>
        <v/>
      </c>
    </row>
    <row r="222">
      <c r="A222" s="34" t="s">
        <v>1689</v>
      </c>
      <c r="B222" s="34" t="s">
        <v>4669</v>
      </c>
      <c r="C222" s="34" t="s">
        <v>553</v>
      </c>
      <c r="D222" s="13" t="str">
        <f t="shared" si="1"/>
        <v>u</v>
      </c>
      <c r="E222" s="42">
        <f>countif(Constants!F:F,F222)</f>
        <v>1</v>
      </c>
      <c r="F222" s="21" t="str">
        <f>ifna(VLOOKUP($A222,'v2006'!$A:$F,6,false),"")</f>
        <v>NeutronMassInAtomicMassUnit</v>
      </c>
      <c r="G222" s="21" t="str">
        <f>IFERROR(__xludf.DUMMYFUNCTION("REGEXREPLACE(substitute(substitute(B222,"" "",""""),""..."",""""),""\(.*\)"","""")"),"1.00866491560")</f>
        <v>1.00866491560</v>
      </c>
      <c r="H222" s="43">
        <f t="shared" si="2"/>
        <v>1.008664916</v>
      </c>
      <c r="I222" s="21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43">
        <f t="shared" si="3"/>
        <v>0</v>
      </c>
      <c r="K222" s="43" t="b">
        <f t="shared" si="4"/>
        <v>0</v>
      </c>
      <c r="L222" s="21" t="str">
        <f>IFERROR(__xludf.DUMMYFUNCTION("if(regexmatch(B222,""e(.*)$""),regexextract(B222,""e(.*)$""),"""")"),"")</f>
        <v/>
      </c>
    </row>
    <row r="223">
      <c r="A223" s="34" t="s">
        <v>1692</v>
      </c>
      <c r="B223" s="34" t="s">
        <v>4670</v>
      </c>
      <c r="C223" s="34" t="s">
        <v>4163</v>
      </c>
      <c r="D223" s="13" t="str">
        <f t="shared" si="1"/>
        <v>kg mol^-1</v>
      </c>
      <c r="E223" s="42">
        <f>countif(Constants!F:F,F223)</f>
        <v>1</v>
      </c>
      <c r="F223" s="21" t="str">
        <f>ifna(VLOOKUP($A223,'v2006'!$A:$F,6,false),"")</f>
        <v>NeutronMolarMass</v>
      </c>
      <c r="G223" s="21" t="str">
        <f>IFERROR(__xludf.DUMMYFUNCTION("REGEXREPLACE(substitute(substitute(B223,"" "",""""),""..."",""""),""\(.*\)"","""")"),"1.00866491560e-3")</f>
        <v>1.00866491560e-3</v>
      </c>
      <c r="H223" s="43">
        <f t="shared" si="2"/>
        <v>0.001008664916</v>
      </c>
      <c r="I223" s="21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43">
        <f t="shared" si="3"/>
        <v>0</v>
      </c>
      <c r="K223" s="43" t="b">
        <f t="shared" si="4"/>
        <v>0</v>
      </c>
      <c r="L223" s="21" t="str">
        <f>IFERROR(__xludf.DUMMYFUNCTION("if(regexmatch(B223,""e(.*)$""),regexextract(B223,""e(.*)$""),"""")"),"-3")</f>
        <v>-3</v>
      </c>
    </row>
    <row r="224">
      <c r="A224" s="34" t="s">
        <v>1733</v>
      </c>
      <c r="B224" s="34" t="s">
        <v>4405</v>
      </c>
      <c r="C224" s="34"/>
      <c r="D224" s="13" t="str">
        <f t="shared" si="1"/>
        <v/>
      </c>
      <c r="E224" s="42">
        <f>countif(Constants!F:F,F224)</f>
        <v>1</v>
      </c>
      <c r="F224" s="21" t="str">
        <f>ifna(VLOOKUP($A224,'v2006'!$A:$F,6,false),"")</f>
        <v>NeutronToShieldedProtonMagneticMomentRatio</v>
      </c>
      <c r="G224" s="21" t="str">
        <f>IFERROR(__xludf.DUMMYFUNCTION("REGEXREPLACE(substitute(substitute(B224,"" "",""""),""..."",""""),""\(.*\)"","""")"),"-0.68499694")</f>
        <v>-0.68499694</v>
      </c>
      <c r="H224" s="43">
        <f t="shared" si="2"/>
        <v>-0.68499694</v>
      </c>
      <c r="I224" s="21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43">
        <f t="shared" si="3"/>
        <v>0.0000000016</v>
      </c>
      <c r="K224" s="43" t="b">
        <f t="shared" si="4"/>
        <v>0</v>
      </c>
      <c r="L224" s="21" t="str">
        <f>IFERROR(__xludf.DUMMYFUNCTION("if(regexmatch(B224,""e(.*)$""),regexextract(B224,""e(.*)$""),"""")"),"")</f>
        <v/>
      </c>
    </row>
    <row r="225">
      <c r="A225" s="34" t="s">
        <v>4406</v>
      </c>
      <c r="B225" s="34" t="s">
        <v>4407</v>
      </c>
      <c r="C225" s="34"/>
      <c r="D225" s="13" t="str">
        <f t="shared" si="1"/>
        <v/>
      </c>
      <c r="E225" s="42">
        <f>countif(Constants!F:F,F225)</f>
        <v>1</v>
      </c>
      <c r="F225" s="21" t="str">
        <f>ifna(VLOOKUP($A225,'v2006'!$A:$F,6,false),"")</f>
        <v>NeutronElectronMagneticMomentRatio</v>
      </c>
      <c r="G225" s="21" t="str">
        <f>IFERROR(__xludf.DUMMYFUNCTION("REGEXREPLACE(substitute(substitute(B225,"" "",""""),""..."",""""),""\(.*\)"","""")"),"1.04066882e-3")</f>
        <v>1.04066882e-3</v>
      </c>
      <c r="H225" s="43">
        <f t="shared" si="2"/>
        <v>0.00104066882</v>
      </c>
      <c r="I225" s="21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43">
        <f t="shared" si="3"/>
        <v>0</v>
      </c>
      <c r="K225" s="43" t="b">
        <f t="shared" si="4"/>
        <v>0</v>
      </c>
      <c r="L225" s="21" t="str">
        <f>IFERROR(__xludf.DUMMYFUNCTION("if(regexmatch(B225,""e(.*)$""),regexextract(B225,""e(.*)$""),"""")"),"-3")</f>
        <v>-3</v>
      </c>
    </row>
    <row r="226">
      <c r="A226" s="34" t="s">
        <v>1645</v>
      </c>
      <c r="B226" s="34" t="s">
        <v>4671</v>
      </c>
      <c r="C226" s="34"/>
      <c r="D226" s="13" t="str">
        <f t="shared" si="1"/>
        <v/>
      </c>
      <c r="E226" s="42">
        <f>countif(Constants!F:F,F226)</f>
        <v>1</v>
      </c>
      <c r="F226" s="21" t="str">
        <f>ifna(VLOOKUP($A226,'v2006'!$A:$F,6,false),"")</f>
        <v>NeutronElectronMassRatio</v>
      </c>
      <c r="G226" s="21" t="str">
        <f>IFERROR(__xludf.DUMMYFUNCTION("REGEXREPLACE(substitute(substitute(B226,"" "",""""),""..."",""""),""\(.*\)"","""")"),"1838.6836598")</f>
        <v>1838.6836598</v>
      </c>
      <c r="H226" s="43">
        <f t="shared" si="2"/>
        <v>1838.68366</v>
      </c>
      <c r="I226" s="21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43">
        <f t="shared" si="3"/>
        <v>0.000000013</v>
      </c>
      <c r="K226" s="43" t="b">
        <f t="shared" si="4"/>
        <v>0</v>
      </c>
      <c r="L226" s="21" t="str">
        <f>IFERROR(__xludf.DUMMYFUNCTION("if(regexmatch(B226,""e(.*)$""),regexextract(B226,""e(.*)$""),"""")"),"")</f>
        <v/>
      </c>
    </row>
    <row r="227">
      <c r="A227" s="34" t="s">
        <v>1696</v>
      </c>
      <c r="B227" s="34" t="s">
        <v>4672</v>
      </c>
      <c r="C227" s="34"/>
      <c r="D227" s="13" t="str">
        <f t="shared" si="1"/>
        <v/>
      </c>
      <c r="E227" s="42">
        <f>countif(Constants!F:F,F227)</f>
        <v>1</v>
      </c>
      <c r="F227" s="21" t="str">
        <f>ifna(VLOOKUP($A227,'v2006'!$A:$F,6,false),"")</f>
        <v>NeutronMuonMassRatio</v>
      </c>
      <c r="G227" s="21" t="str">
        <f>IFERROR(__xludf.DUMMYFUNCTION("REGEXREPLACE(substitute(substitute(B227,"" "",""""),""..."",""""),""\(.*\)"","""")"),"8.89248402")</f>
        <v>8.89248402</v>
      </c>
      <c r="H227" s="43">
        <f t="shared" si="2"/>
        <v>8.89248402</v>
      </c>
      <c r="I227" s="21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43">
        <f t="shared" si="3"/>
        <v>0.0000000023</v>
      </c>
      <c r="K227" s="43" t="b">
        <f t="shared" si="4"/>
        <v>0</v>
      </c>
      <c r="L227" s="21" t="str">
        <f>IFERROR(__xludf.DUMMYFUNCTION("if(regexmatch(B227,""e(.*)$""),regexextract(B227,""e(.*)$""),"""")"),"")</f>
        <v/>
      </c>
    </row>
    <row r="228">
      <c r="A228" s="34" t="s">
        <v>4410</v>
      </c>
      <c r="B228" s="34" t="s">
        <v>4411</v>
      </c>
      <c r="C228" s="34"/>
      <c r="D228" s="13" t="str">
        <f t="shared" si="1"/>
        <v/>
      </c>
      <c r="E228" s="42">
        <f>countif(Constants!F:F,F228)</f>
        <v>1</v>
      </c>
      <c r="F228" s="21" t="str">
        <f>ifna(VLOOKUP($A228,'v2006'!$A:$F,6,false),"")</f>
        <v>NeutronProtonMagneticMomentRatio</v>
      </c>
      <c r="G228" s="21" t="str">
        <f>IFERROR(__xludf.DUMMYFUNCTION("REGEXREPLACE(substitute(substitute(B228,"" "",""""),""..."",""""),""\(.*\)"","""")"),"-0.68497934")</f>
        <v>-0.68497934</v>
      </c>
      <c r="H228" s="43">
        <f t="shared" si="2"/>
        <v>-0.68497934</v>
      </c>
      <c r="I228" s="21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43">
        <f t="shared" si="3"/>
        <v>0.0000000016</v>
      </c>
      <c r="K228" s="43" t="b">
        <f t="shared" si="4"/>
        <v>0</v>
      </c>
      <c r="L228" s="21" t="str">
        <f>IFERROR(__xludf.DUMMYFUNCTION("if(regexmatch(B228,""e(.*)$""),regexextract(B228,""e(.*)$""),"""")"),"")</f>
        <v/>
      </c>
    </row>
    <row r="229">
      <c r="A229" s="34" t="s">
        <v>1719</v>
      </c>
      <c r="B229" s="34" t="s">
        <v>4673</v>
      </c>
      <c r="C229" s="34"/>
      <c r="D229" s="13" t="str">
        <f t="shared" si="1"/>
        <v/>
      </c>
      <c r="E229" s="42">
        <f>countif(Constants!F:F,F229)</f>
        <v>1</v>
      </c>
      <c r="F229" s="21" t="str">
        <f>ifna(VLOOKUP($A229,'v2006'!$A:$F,6,false),"")</f>
        <v>NeutronProtonMassRatio</v>
      </c>
      <c r="G229" s="21" t="str">
        <f>IFERROR(__xludf.DUMMYFUNCTION("REGEXREPLACE(substitute(substitute(B229,"" "",""""),""..."",""""),""\(.*\)"","""")"),"1.00137841870")</f>
        <v>1.00137841870</v>
      </c>
      <c r="H229" s="43">
        <f t="shared" si="2"/>
        <v>1.001378419</v>
      </c>
      <c r="I229" s="21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43">
        <f t="shared" si="3"/>
        <v>0</v>
      </c>
      <c r="K229" s="43" t="b">
        <f t="shared" si="4"/>
        <v>0</v>
      </c>
      <c r="L229" s="21" t="str">
        <f>IFERROR(__xludf.DUMMYFUNCTION("if(regexmatch(B229,""e(.*)$""),regexextract(B229,""e(.*)$""),"""")"),"")</f>
        <v/>
      </c>
    </row>
    <row r="230">
      <c r="A230" s="34" t="s">
        <v>1727</v>
      </c>
      <c r="B230" s="34" t="s">
        <v>4413</v>
      </c>
      <c r="C230" s="34"/>
      <c r="D230" s="13" t="str">
        <f t="shared" si="1"/>
        <v/>
      </c>
      <c r="E230" s="42">
        <f>countif(Constants!F:F,F230)</f>
        <v>1</v>
      </c>
      <c r="F230" s="21" t="str">
        <f>ifna(VLOOKUP($A230,'v2006'!$A:$F,6,false),"")</f>
        <v>NeutronTauMassRatio</v>
      </c>
      <c r="G230" s="21" t="str">
        <f>IFERROR(__xludf.DUMMYFUNCTION("REGEXREPLACE(substitute(substitute(B230,"" "",""""),""..."",""""),""\(.*\)"","""")"),"0.528740")</f>
        <v>0.528740</v>
      </c>
      <c r="H230" s="43">
        <f t="shared" si="2"/>
        <v>0.52874</v>
      </c>
      <c r="I230" s="21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43">
        <f t="shared" si="3"/>
        <v>0.00000086</v>
      </c>
      <c r="K230" s="43" t="b">
        <f t="shared" si="4"/>
        <v>0</v>
      </c>
      <c r="L230" s="21" t="str">
        <f>IFERROR(__xludf.DUMMYFUNCTION("if(regexmatch(B230,""e(.*)$""),regexextract(B230,""e(.*)$""),"""")"),"")</f>
        <v/>
      </c>
    </row>
    <row r="231">
      <c r="A231" s="34" t="s">
        <v>1737</v>
      </c>
      <c r="B231" s="34" t="s">
        <v>4674</v>
      </c>
      <c r="C231" s="34" t="s">
        <v>4415</v>
      </c>
      <c r="D231" s="13" t="str">
        <f t="shared" si="1"/>
        <v>m^3 kg^-1 s^-2</v>
      </c>
      <c r="E231" s="42">
        <f>countif(Constants!F:F,F231)</f>
        <v>1</v>
      </c>
      <c r="F231" s="21" t="str">
        <f>ifna(VLOOKUP($A231,'v2006'!$A:$F,6,false),"")</f>
        <v>NewtonianConstantOfGravitation</v>
      </c>
      <c r="G231" s="21" t="str">
        <f>IFERROR(__xludf.DUMMYFUNCTION("REGEXREPLACE(substitute(substitute(B231,"" "",""""),""..."",""""),""\(.*\)"","""")"),"6.6742e-11")</f>
        <v>6.6742e-11</v>
      </c>
      <c r="H231" s="43">
        <f t="shared" si="2"/>
        <v>0</v>
      </c>
      <c r="I231" s="21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43">
        <f t="shared" si="3"/>
        <v>0</v>
      </c>
      <c r="K231" s="43" t="b">
        <f t="shared" si="4"/>
        <v>0</v>
      </c>
      <c r="L231" s="21" t="str">
        <f>IFERROR(__xludf.DUMMYFUNCTION("if(regexmatch(B231,""e(.*)$""),regexextract(B231,""e(.*)$""),"""")"),"-11")</f>
        <v>-11</v>
      </c>
    </row>
    <row r="232">
      <c r="A232" s="34" t="s">
        <v>1744</v>
      </c>
      <c r="B232" s="34" t="s">
        <v>4675</v>
      </c>
      <c r="C232" s="34" t="s">
        <v>4417</v>
      </c>
      <c r="D232" s="13" t="str">
        <f t="shared" si="1"/>
        <v>(GeV/c^2)^-2</v>
      </c>
      <c r="E232" s="42">
        <f>countif(Constants!F:F,F232)</f>
        <v>1</v>
      </c>
      <c r="F232" s="21" t="str">
        <f>ifna(VLOOKUP($A232,'v2006'!$A:$F,6,false),"")</f>
        <v>NewtonianConstantOfGravitationOverHBarC</v>
      </c>
      <c r="G232" s="21" t="str">
        <f>IFERROR(__xludf.DUMMYFUNCTION("REGEXREPLACE(substitute(substitute(B232,"" "",""""),""..."",""""),""\(.*\)"","""")"),"6.7087e-39")</f>
        <v>6.7087e-39</v>
      </c>
      <c r="H232" s="43">
        <f t="shared" si="2"/>
        <v>0</v>
      </c>
      <c r="I232" s="21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43">
        <f t="shared" si="3"/>
        <v>0</v>
      </c>
      <c r="K232" s="43" t="b">
        <f t="shared" si="4"/>
        <v>0</v>
      </c>
      <c r="L232" s="21" t="str">
        <f>IFERROR(__xludf.DUMMYFUNCTION("if(regexmatch(B232,""e(.*)$""),regexextract(B232,""e(.*)$""),"""")"),"-39")</f>
        <v>-39</v>
      </c>
    </row>
    <row r="233">
      <c r="A233" s="34" t="s">
        <v>1750</v>
      </c>
      <c r="B233" s="34" t="s">
        <v>4676</v>
      </c>
      <c r="C233" s="34" t="s">
        <v>4197</v>
      </c>
      <c r="D233" s="13" t="str">
        <f t="shared" si="1"/>
        <v>J T^-1</v>
      </c>
      <c r="E233" s="42">
        <f>countif(Constants!F:F,F233)</f>
        <v>1</v>
      </c>
      <c r="F233" s="21" t="str">
        <f>ifna(VLOOKUP($A233,'v2006'!$A:$F,6,false),"")</f>
        <v>NuclearMagneton</v>
      </c>
      <c r="G233" s="21" t="str">
        <f>IFERROR(__xludf.DUMMYFUNCTION("REGEXREPLACE(substitute(substitute(B233,"" "",""""),""..."",""""),""\(.*\)"","""")"),"5.05078343e-27")</f>
        <v>5.05078343e-27</v>
      </c>
      <c r="H233" s="43">
        <f t="shared" si="2"/>
        <v>0</v>
      </c>
      <c r="I233" s="21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43">
        <f t="shared" si="3"/>
        <v>0</v>
      </c>
      <c r="K233" s="43" t="b">
        <f t="shared" si="4"/>
        <v>0</v>
      </c>
      <c r="L233" s="21" t="str">
        <f>IFERROR(__xludf.DUMMYFUNCTION("if(regexmatch(B233,""e(.*)$""),regexextract(B233,""e(.*)$""),"""")"),"-27")</f>
        <v>-27</v>
      </c>
    </row>
    <row r="234">
      <c r="A234" s="34" t="s">
        <v>1760</v>
      </c>
      <c r="B234" s="34" t="s">
        <v>4419</v>
      </c>
      <c r="C234" s="34" t="s">
        <v>4216</v>
      </c>
      <c r="D234" s="13" t="str">
        <f t="shared" si="1"/>
        <v>K T^-1</v>
      </c>
      <c r="E234" s="42">
        <f>countif(Constants!F:F,F234)</f>
        <v>1</v>
      </c>
      <c r="F234" s="21" t="str">
        <f>ifna(VLOOKUP($A234,'v2006'!$A:$F,6,false),"")</f>
        <v>NuclearMagnetonInKPerT</v>
      </c>
      <c r="G234" s="21" t="str">
        <f>IFERROR(__xludf.DUMMYFUNCTION("REGEXREPLACE(substitute(substitute(B234,"" "",""""),""..."",""""),""\(.*\)"","""")"),"3.6582637e-4")</f>
        <v>3.6582637e-4</v>
      </c>
      <c r="H234" s="43">
        <f t="shared" si="2"/>
        <v>0.00036582637</v>
      </c>
      <c r="I234" s="21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43">
        <f t="shared" si="3"/>
        <v>0</v>
      </c>
      <c r="K234" s="43" t="b">
        <f t="shared" si="4"/>
        <v>0</v>
      </c>
      <c r="L234" s="21" t="str">
        <f>IFERROR(__xludf.DUMMYFUNCTION("if(regexmatch(B234,""e(.*)$""),regexextract(B234,""e(.*)$""),"""")"),"-4")</f>
        <v>-4</v>
      </c>
    </row>
    <row r="235">
      <c r="A235" s="34" t="s">
        <v>1763</v>
      </c>
      <c r="B235" s="34" t="s">
        <v>4677</v>
      </c>
      <c r="C235" s="34" t="s">
        <v>4260</v>
      </c>
      <c r="D235" s="13" t="str">
        <f t="shared" si="1"/>
        <v>MHz T^-1</v>
      </c>
      <c r="E235" s="42">
        <f>countif(Constants!F:F,F235)</f>
        <v>1</v>
      </c>
      <c r="F235" s="21" t="str">
        <f>ifna(VLOOKUP($A235,'v2006'!$A:$F,6,false),"")</f>
        <v>NuclearMagnetonInMHzPerT</v>
      </c>
      <c r="G235" s="21" t="str">
        <f>IFERROR(__xludf.DUMMYFUNCTION("REGEXREPLACE(substitute(substitute(B235,"" "",""""),""..."",""""),""\(.*\)"","""")"),"7.62259371")</f>
        <v>7.62259371</v>
      </c>
      <c r="H235" s="43">
        <f t="shared" si="2"/>
        <v>7.62259371</v>
      </c>
      <c r="I235" s="21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43">
        <f t="shared" si="3"/>
        <v>0.0000000065</v>
      </c>
      <c r="K235" s="43" t="b">
        <f t="shared" si="4"/>
        <v>0</v>
      </c>
      <c r="L235" s="21" t="str">
        <f>IFERROR(__xludf.DUMMYFUNCTION("if(regexmatch(B235,""e(.*)$""),regexextract(B235,""e(.*)$""),"""")"),"")</f>
        <v/>
      </c>
    </row>
    <row r="236">
      <c r="A236" s="34" t="s">
        <v>1754</v>
      </c>
      <c r="B236" s="34" t="s">
        <v>4678</v>
      </c>
      <c r="C236" s="34" t="s">
        <v>4218</v>
      </c>
      <c r="D236" s="13" t="str">
        <f t="shared" si="1"/>
        <v>eV T^-1</v>
      </c>
      <c r="E236" s="42">
        <f>countif(Constants!F:F,F236)</f>
        <v>1</v>
      </c>
      <c r="F236" s="21" t="str">
        <f>ifna(VLOOKUP($A236,'v2006'!$A:$F,6,false),"")</f>
        <v>NuclearMagnetonInEVPerT</v>
      </c>
      <c r="G236" s="21" t="str">
        <f>IFERROR(__xludf.DUMMYFUNCTION("REGEXREPLACE(substitute(substitute(B236,"" "",""""),""..."",""""),""\(.*\)"","""")"),"3.152451259e-8")</f>
        <v>3.152451259e-8</v>
      </c>
      <c r="H236" s="43">
        <f t="shared" si="2"/>
        <v>0.00000003152451259</v>
      </c>
      <c r="I236" s="21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43">
        <f t="shared" si="3"/>
        <v>0</v>
      </c>
      <c r="K236" s="43" t="b">
        <f t="shared" si="4"/>
        <v>0</v>
      </c>
      <c r="L236" s="21" t="str">
        <f>IFERROR(__xludf.DUMMYFUNCTION("if(regexmatch(B236,""e(.*)$""),regexextract(B236,""e(.*)$""),"""")"),"-8")</f>
        <v>-8</v>
      </c>
    </row>
    <row r="237">
      <c r="A237" s="34" t="s">
        <v>3572</v>
      </c>
      <c r="B237" s="34" t="s">
        <v>4679</v>
      </c>
      <c r="C237" s="34" t="s">
        <v>4220</v>
      </c>
      <c r="D237" s="13" t="str">
        <f t="shared" si="1"/>
        <v>m^-1 T^-1</v>
      </c>
      <c r="E237" s="42">
        <f>countif(Constants!F:F,F237)</f>
        <v>1</v>
      </c>
      <c r="F237" s="21" t="str">
        <f>ifna(VLOOKUP($A237,'v2006'!$A:$F,6,false),"")</f>
        <v>NuclearMagnetonInInverseMetersPerTesla</v>
      </c>
      <c r="G237" s="21" t="str">
        <f>IFERROR(__xludf.DUMMYFUNCTION("REGEXREPLACE(substitute(substitute(B237,"" "",""""),""..."",""""),""\(.*\)"","""")"),"2.54262358e-2")</f>
        <v>2.54262358e-2</v>
      </c>
      <c r="H237" s="43">
        <f t="shared" si="2"/>
        <v>0.0254262358</v>
      </c>
      <c r="I237" s="21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43">
        <f t="shared" si="3"/>
        <v>0</v>
      </c>
      <c r="K237" s="43" t="b">
        <f t="shared" si="4"/>
        <v>0</v>
      </c>
      <c r="L237" s="21" t="str">
        <f>IFERROR(__xludf.DUMMYFUNCTION("if(regexmatch(B237,""e(.*)$""),regexextract(B237,""e(.*)$""),"""")"),"-2")</f>
        <v>-2</v>
      </c>
    </row>
    <row r="238">
      <c r="A238" s="34" t="s">
        <v>1766</v>
      </c>
      <c r="B238" s="34" t="s">
        <v>4612</v>
      </c>
      <c r="C238" s="34" t="s">
        <v>643</v>
      </c>
      <c r="D238" s="13" t="str">
        <f t="shared" si="1"/>
        <v>J s</v>
      </c>
      <c r="E238" s="42">
        <f>countif(Constants!F:F,F238)</f>
        <v>1</v>
      </c>
      <c r="F238" s="21" t="str">
        <f>ifna(VLOOKUP($A238,'v2006'!$A:$F,6,false),"")</f>
        <v>PlanckConstant</v>
      </c>
      <c r="G238" s="21" t="str">
        <f>IFERROR(__xludf.DUMMYFUNCTION("REGEXREPLACE(substitute(substitute(B238,"" "",""""),""..."",""""),""\(.*\)"","""")"),"6.6260693e-34")</f>
        <v>6.6260693e-34</v>
      </c>
      <c r="H238" s="43">
        <f t="shared" si="2"/>
        <v>0</v>
      </c>
      <c r="I238" s="21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43">
        <f t="shared" si="3"/>
        <v>0</v>
      </c>
      <c r="K238" s="43" t="b">
        <f t="shared" si="4"/>
        <v>0</v>
      </c>
      <c r="L238" s="21" t="str">
        <f>IFERROR(__xludf.DUMMYFUNCTION("if(regexmatch(B238,""e(.*)$""),regexextract(B238,""e(.*)$""),"""")"),"-34")</f>
        <v>-34</v>
      </c>
    </row>
    <row r="239">
      <c r="A239" s="34" t="s">
        <v>3580</v>
      </c>
      <c r="B239" s="34" t="s">
        <v>4611</v>
      </c>
      <c r="C239" s="34" t="s">
        <v>1598</v>
      </c>
      <c r="D239" s="13" t="str">
        <f t="shared" si="1"/>
        <v>eV s</v>
      </c>
      <c r="E239" s="42">
        <f>countif(Constants!F:F,F239)</f>
        <v>1</v>
      </c>
      <c r="F239" s="21" t="str">
        <f>ifna(VLOOKUP($A239,'v2006'!$A:$F,6,false),"")</f>
        <v>PlanckConstantInEVS</v>
      </c>
      <c r="G239" s="21" t="str">
        <f>IFERROR(__xludf.DUMMYFUNCTION("REGEXREPLACE(substitute(substitute(B239,"" "",""""),""..."",""""),""\(.*\)"","""")"),"4.13566743e-15")</f>
        <v>4.13566743e-15</v>
      </c>
      <c r="H239" s="43">
        <f t="shared" si="2"/>
        <v>0</v>
      </c>
      <c r="I239" s="21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43">
        <f t="shared" si="3"/>
        <v>0</v>
      </c>
      <c r="K239" s="43" t="b">
        <f t="shared" si="4"/>
        <v>0</v>
      </c>
      <c r="L239" s="21" t="str">
        <f>IFERROR(__xludf.DUMMYFUNCTION("if(regexmatch(B239,""e(.*)$""),regexextract(B239,""e(.*)$""),"""")"),"-15")</f>
        <v>-15</v>
      </c>
    </row>
    <row r="240">
      <c r="A240" s="34" t="s">
        <v>1908</v>
      </c>
      <c r="B240" s="34" t="s">
        <v>4525</v>
      </c>
      <c r="C240" s="34" t="s">
        <v>643</v>
      </c>
      <c r="D240" s="13" t="str">
        <f t="shared" si="1"/>
        <v>J s</v>
      </c>
      <c r="E240" s="42">
        <f>countif(Constants!F:F,F240)</f>
        <v>1</v>
      </c>
      <c r="F240" s="21" t="str">
        <f>ifna(VLOOKUP($A240,'v2006'!$A:$F,6,false),"")</f>
        <v>PlanckConstantOver2Pi</v>
      </c>
      <c r="G240" s="21" t="str">
        <f>IFERROR(__xludf.DUMMYFUNCTION("REGEXREPLACE(substitute(substitute(B240,"" "",""""),""..."",""""),""\(.*\)"","""")"),"1.05457168e-34")</f>
        <v>1.05457168e-34</v>
      </c>
      <c r="H240" s="43">
        <f t="shared" si="2"/>
        <v>0</v>
      </c>
      <c r="I240" s="21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43">
        <f t="shared" si="3"/>
        <v>0</v>
      </c>
      <c r="K240" s="43" t="b">
        <f t="shared" si="4"/>
        <v>0</v>
      </c>
      <c r="L240" s="21" t="str">
        <f>IFERROR(__xludf.DUMMYFUNCTION("if(regexmatch(B240,""e(.*)$""),regexextract(B240,""e(.*)$""),"""")"),"-34")</f>
        <v>-34</v>
      </c>
    </row>
    <row r="241">
      <c r="A241" s="34" t="s">
        <v>1912</v>
      </c>
      <c r="B241" s="34" t="s">
        <v>4657</v>
      </c>
      <c r="C241" s="34" t="s">
        <v>1598</v>
      </c>
      <c r="D241" s="13" t="str">
        <f t="shared" si="1"/>
        <v>eV s</v>
      </c>
      <c r="E241" s="42">
        <f>countif(Constants!F:F,F241)</f>
        <v>1</v>
      </c>
      <c r="F241" s="21" t="str">
        <f>ifna(VLOOKUP($A241,'v2006'!$A:$F,6,false),"")</f>
        <v>PlanckConstantOver2PiInEVS</v>
      </c>
      <c r="G241" s="21" t="str">
        <f>IFERROR(__xludf.DUMMYFUNCTION("REGEXREPLACE(substitute(substitute(B241,"" "",""""),""..."",""""),""\(.*\)"","""")"),"6.58211915e-16")</f>
        <v>6.58211915e-16</v>
      </c>
      <c r="H241" s="43">
        <f t="shared" si="2"/>
        <v>0</v>
      </c>
      <c r="I241" s="21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43">
        <f t="shared" si="3"/>
        <v>0</v>
      </c>
      <c r="K241" s="43" t="b">
        <f t="shared" si="4"/>
        <v>0</v>
      </c>
      <c r="L241" s="21" t="str">
        <f>IFERROR(__xludf.DUMMYFUNCTION("if(regexmatch(B241,""e(.*)$""),regexextract(B241,""e(.*)$""),"""")"),"-16")</f>
        <v>-16</v>
      </c>
    </row>
    <row r="242">
      <c r="A242" s="34" t="s">
        <v>1919</v>
      </c>
      <c r="B242" s="34" t="s">
        <v>4680</v>
      </c>
      <c r="C242" s="34" t="s">
        <v>1916</v>
      </c>
      <c r="D242" s="13" t="str">
        <f t="shared" si="1"/>
        <v>MeV fm</v>
      </c>
      <c r="E242" s="42">
        <f>countif(Constants!F:F,F242)</f>
        <v>1</v>
      </c>
      <c r="F242" s="21" t="str">
        <f>ifna(VLOOKUP($A242,'v2006'!$A:$F,6,false),"")</f>
        <v>PlanckConstantOver2PiTimesCInMeVFm</v>
      </c>
      <c r="G242" s="21" t="str">
        <f>IFERROR(__xludf.DUMMYFUNCTION("REGEXREPLACE(substitute(substitute(B242,"" "",""""),""..."",""""),""\(.*\)"","""")"),"197.326968")</f>
        <v>197.326968</v>
      </c>
      <c r="H242" s="43">
        <f t="shared" si="2"/>
        <v>197.326968</v>
      </c>
      <c r="I242" s="21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43">
        <f t="shared" si="3"/>
        <v>0.00000017</v>
      </c>
      <c r="K242" s="43" t="b">
        <f t="shared" si="4"/>
        <v>0</v>
      </c>
      <c r="L242" s="21" t="str">
        <f>IFERROR(__xludf.DUMMYFUNCTION("if(regexmatch(B242,""e(.*)$""),regexextract(B242,""e(.*)$""),"""")"),"")</f>
        <v/>
      </c>
    </row>
    <row r="243">
      <c r="A243" s="34" t="s">
        <v>1777</v>
      </c>
      <c r="B243" s="34" t="s">
        <v>4681</v>
      </c>
      <c r="C243" s="34" t="s">
        <v>571</v>
      </c>
      <c r="D243" s="13" t="str">
        <f t="shared" si="1"/>
        <v>m</v>
      </c>
      <c r="E243" s="42">
        <f>countif(Constants!F:F,F243)</f>
        <v>1</v>
      </c>
      <c r="F243" s="21" t="str">
        <f>ifna(VLOOKUP($A243,'v2006'!$A:$F,6,false),"")</f>
        <v>PlanckLength</v>
      </c>
      <c r="G243" s="21" t="str">
        <f>IFERROR(__xludf.DUMMYFUNCTION("REGEXREPLACE(substitute(substitute(B243,"" "",""""),""..."",""""),""\(.*\)"","""")"),"1.61624e-35")</f>
        <v>1.61624e-35</v>
      </c>
      <c r="H243" s="43">
        <f t="shared" si="2"/>
        <v>0</v>
      </c>
      <c r="I243" s="21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43">
        <f t="shared" si="3"/>
        <v>0</v>
      </c>
      <c r="K243" s="43" t="b">
        <f t="shared" si="4"/>
        <v>0</v>
      </c>
      <c r="L243" s="21" t="str">
        <f>IFERROR(__xludf.DUMMYFUNCTION("if(regexmatch(B243,""e(.*)$""),regexextract(B243,""e(.*)$""),"""")"),"-35")</f>
        <v>-35</v>
      </c>
    </row>
    <row r="244">
      <c r="A244" s="34" t="s">
        <v>1781</v>
      </c>
      <c r="B244" s="34" t="s">
        <v>4682</v>
      </c>
      <c r="C244" s="34" t="s">
        <v>538</v>
      </c>
      <c r="D244" s="13" t="str">
        <f t="shared" si="1"/>
        <v>kg</v>
      </c>
      <c r="E244" s="42">
        <f>countif(Constants!F:F,F244)</f>
        <v>1</v>
      </c>
      <c r="F244" s="21" t="str">
        <f>ifna(VLOOKUP($A244,'v2006'!$A:$F,6,false),"")</f>
        <v>PlanckMass</v>
      </c>
      <c r="G244" s="21" t="str">
        <f>IFERROR(__xludf.DUMMYFUNCTION("REGEXREPLACE(substitute(substitute(B244,"" "",""""),""..."",""""),""\(.*\)"","""")"),"2.17645e-8")</f>
        <v>2.17645e-8</v>
      </c>
      <c r="H244" s="43">
        <f t="shared" si="2"/>
        <v>0.0000000217645</v>
      </c>
      <c r="I244" s="21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43">
        <f t="shared" si="3"/>
        <v>0</v>
      </c>
      <c r="K244" s="43" t="b">
        <f t="shared" si="4"/>
        <v>0</v>
      </c>
      <c r="L244" s="21" t="str">
        <f>IFERROR(__xludf.DUMMYFUNCTION("if(regexmatch(B244,""e(.*)$""),regexextract(B244,""e(.*)$""),"""")"),"-8")</f>
        <v>-8</v>
      </c>
    </row>
    <row r="245">
      <c r="A245" s="34" t="s">
        <v>1790</v>
      </c>
      <c r="B245" s="34" t="s">
        <v>4683</v>
      </c>
      <c r="C245" s="34" t="s">
        <v>618</v>
      </c>
      <c r="D245" s="13" t="str">
        <f t="shared" si="1"/>
        <v>K</v>
      </c>
      <c r="E245" s="42">
        <f>countif(Constants!F:F,F245)</f>
        <v>1</v>
      </c>
      <c r="F245" s="21" t="str">
        <f>ifna(VLOOKUP($A245,'v2006'!$A:$F,6,false),"")</f>
        <v>PlanckTemperature</v>
      </c>
      <c r="G245" s="21" t="str">
        <f>IFERROR(__xludf.DUMMYFUNCTION("REGEXREPLACE(substitute(substitute(B245,"" "",""""),""..."",""""),""\(.*\)"","""")"),"1.41679e32")</f>
        <v>1.41679e32</v>
      </c>
      <c r="H245" s="43">
        <f t="shared" si="2"/>
        <v>1.41679E+32</v>
      </c>
      <c r="I245" s="21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43">
        <f t="shared" si="3"/>
        <v>1.1E+26</v>
      </c>
      <c r="K245" s="43" t="b">
        <f t="shared" si="4"/>
        <v>0</v>
      </c>
      <c r="L245" s="21" t="str">
        <f>IFERROR(__xludf.DUMMYFUNCTION("if(regexmatch(B245,""e(.*)$""),regexextract(B245,""e(.*)$""),"""")"),"32")</f>
        <v>32</v>
      </c>
    </row>
    <row r="246">
      <c r="A246" s="34" t="s">
        <v>1795</v>
      </c>
      <c r="B246" s="34" t="s">
        <v>4684</v>
      </c>
      <c r="C246" s="34" t="s">
        <v>749</v>
      </c>
      <c r="D246" s="13" t="str">
        <f t="shared" si="1"/>
        <v>s</v>
      </c>
      <c r="E246" s="42">
        <f>countif(Constants!F:F,F246)</f>
        <v>1</v>
      </c>
      <c r="F246" s="21" t="str">
        <f>ifna(VLOOKUP($A246,'v2006'!$A:$F,6,false),"")</f>
        <v>PlanckTime</v>
      </c>
      <c r="G246" s="21" t="str">
        <f>IFERROR(__xludf.DUMMYFUNCTION("REGEXREPLACE(substitute(substitute(B246,"" "",""""),""..."",""""),""\(.*\)"","""")"),"5.39121e-44")</f>
        <v>5.39121e-44</v>
      </c>
      <c r="H246" s="43">
        <f t="shared" si="2"/>
        <v>0</v>
      </c>
      <c r="I246" s="21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43">
        <f t="shared" si="3"/>
        <v>0</v>
      </c>
      <c r="K246" s="43" t="b">
        <f t="shared" si="4"/>
        <v>0</v>
      </c>
      <c r="L246" s="21" t="str">
        <f>IFERROR(__xludf.DUMMYFUNCTION("if(regexmatch(B246,""e(.*)$""),regexextract(B246,""e(.*)$""),"""")"),"-44")</f>
        <v>-44</v>
      </c>
    </row>
    <row r="247">
      <c r="A247" s="34" t="s">
        <v>1803</v>
      </c>
      <c r="B247" s="34" t="s">
        <v>4685</v>
      </c>
      <c r="C247" s="34" t="s">
        <v>571</v>
      </c>
      <c r="D247" s="13" t="str">
        <f t="shared" si="1"/>
        <v>m</v>
      </c>
      <c r="E247" s="42">
        <f>countif(Constants!F:F,F247)</f>
        <v>1</v>
      </c>
      <c r="F247" s="21" t="str">
        <f>ifna(VLOOKUP($A247,'v2006'!$A:$F,6,false),"")</f>
        <v>ProtonComptonWavelength</v>
      </c>
      <c r="G247" s="21" t="str">
        <f>IFERROR(__xludf.DUMMYFUNCTION("REGEXREPLACE(substitute(substitute(B247,"" "",""""),""..."",""""),""\(.*\)"","""")"),"1.3214098555e-15")</f>
        <v>1.3214098555e-15</v>
      </c>
      <c r="H247" s="43">
        <f t="shared" si="2"/>
        <v>0</v>
      </c>
      <c r="I247" s="21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43">
        <f t="shared" si="3"/>
        <v>0</v>
      </c>
      <c r="K247" s="43" t="b">
        <f t="shared" si="4"/>
        <v>0</v>
      </c>
      <c r="L247" s="21" t="str">
        <f>IFERROR(__xludf.DUMMYFUNCTION("if(regexmatch(B247,""e(.*)$""),regexextract(B247,""e(.*)$""),"""")"),"-15")</f>
        <v>-15</v>
      </c>
    </row>
    <row r="248">
      <c r="A248" s="34" t="s">
        <v>1924</v>
      </c>
      <c r="B248" s="34" t="s">
        <v>4686</v>
      </c>
      <c r="C248" s="34" t="s">
        <v>571</v>
      </c>
      <c r="D248" s="13" t="str">
        <f t="shared" si="1"/>
        <v>m</v>
      </c>
      <c r="E248" s="42">
        <f>countif(Constants!F:F,F248)</f>
        <v>1</v>
      </c>
      <c r="F248" s="21" t="str">
        <f>ifna(VLOOKUP($A248,'v2006'!$A:$F,6,false),"")</f>
        <v>ProtonComptonWavelengthOver2Pi</v>
      </c>
      <c r="G248" s="21" t="str">
        <f>IFERROR(__xludf.DUMMYFUNCTION("REGEXREPLACE(substitute(substitute(B248,"" "",""""),""..."",""""),""\(.*\)"","""")"),"0.2103089104e-15")</f>
        <v>0.2103089104e-15</v>
      </c>
      <c r="H248" s="43">
        <f t="shared" si="2"/>
        <v>0</v>
      </c>
      <c r="I248" s="21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43">
        <f t="shared" si="3"/>
        <v>0</v>
      </c>
      <c r="K248" s="43" t="b">
        <f t="shared" si="4"/>
        <v>0</v>
      </c>
      <c r="L248" s="21" t="str">
        <f>IFERROR(__xludf.DUMMYFUNCTION("if(regexmatch(B248,""e(.*)$""),regexextract(B248,""e(.*)$""),"""")"),"-15")</f>
        <v>-15</v>
      </c>
    </row>
    <row r="249">
      <c r="A249" s="34" t="s">
        <v>1799</v>
      </c>
      <c r="B249" s="34" t="s">
        <v>4687</v>
      </c>
      <c r="C249" s="34" t="s">
        <v>4255</v>
      </c>
      <c r="D249" s="13" t="str">
        <f t="shared" si="1"/>
        <v>C kg^-1</v>
      </c>
      <c r="E249" s="42">
        <f>countif(Constants!F:F,F249)</f>
        <v>1</v>
      </c>
      <c r="F249" s="21" t="str">
        <f>ifna(VLOOKUP($A249,'v2006'!$A:$F,6,false),"")</f>
        <v>ProtonChargeToMassQuotient</v>
      </c>
      <c r="G249" s="21" t="str">
        <f>IFERROR(__xludf.DUMMYFUNCTION("REGEXREPLACE(substitute(substitute(B249,"" "",""""),""..."",""""),""\(.*\)"","""")"),"9.57883377e7")</f>
        <v>9.57883377e7</v>
      </c>
      <c r="H249" s="43">
        <f t="shared" si="2"/>
        <v>95788337.7</v>
      </c>
      <c r="I249" s="21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43">
        <f t="shared" si="3"/>
        <v>0.082</v>
      </c>
      <c r="K249" s="43" t="b">
        <f t="shared" si="4"/>
        <v>0</v>
      </c>
      <c r="L249" s="21" t="str">
        <f>IFERROR(__xludf.DUMMYFUNCTION("if(regexmatch(B249,""e(.*)$""),regexextract(B249,""e(.*)$""),"""")"),"7")</f>
        <v>7</v>
      </c>
    </row>
    <row r="250">
      <c r="A250" s="34" t="s">
        <v>1811</v>
      </c>
      <c r="B250" s="34" t="s">
        <v>4688</v>
      </c>
      <c r="C250" s="34"/>
      <c r="D250" s="13" t="str">
        <f t="shared" si="1"/>
        <v/>
      </c>
      <c r="E250" s="42">
        <f>countif(Constants!F:F,F250)</f>
        <v>1</v>
      </c>
      <c r="F250" s="21" t="str">
        <f>ifna(VLOOKUP($A250,'v2006'!$A:$F,6,false),"")</f>
        <v>ProtonGFactor</v>
      </c>
      <c r="G250" s="21" t="str">
        <f>IFERROR(__xludf.DUMMYFUNCTION("REGEXREPLACE(substitute(substitute(B250,"" "",""""),""..."",""""),""\(.*\)"","""")"),"5.585694701")</f>
        <v>5.585694701</v>
      </c>
      <c r="H250" s="43">
        <f t="shared" si="2"/>
        <v>5.585694701</v>
      </c>
      <c r="I250" s="21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43">
        <f t="shared" si="3"/>
        <v>0.00000000056</v>
      </c>
      <c r="K250" s="43" t="b">
        <f t="shared" si="4"/>
        <v>0</v>
      </c>
      <c r="L250" s="21" t="str">
        <f>IFERROR(__xludf.DUMMYFUNCTION("if(regexmatch(B250,""e(.*)$""),regexextract(B250,""e(.*)$""),"""")"),"")</f>
        <v/>
      </c>
    </row>
    <row r="251">
      <c r="A251" s="34" t="s">
        <v>1816</v>
      </c>
      <c r="B251" s="34" t="s">
        <v>4689</v>
      </c>
      <c r="C251" s="34" t="s">
        <v>4258</v>
      </c>
      <c r="D251" s="13" t="str">
        <f t="shared" si="1"/>
        <v>s^-1 T^-1</v>
      </c>
      <c r="E251" s="42">
        <f>countif(Constants!F:F,F251)</f>
        <v>1</v>
      </c>
      <c r="F251" s="21" t="str">
        <f>ifna(VLOOKUP($A251,'v2006'!$A:$F,6,false),"")</f>
        <v>ProtonGyromagneticRatio</v>
      </c>
      <c r="G251" s="21" t="str">
        <f>IFERROR(__xludf.DUMMYFUNCTION("REGEXREPLACE(substitute(substitute(B251,"" "",""""),""..."",""""),""\(.*\)"","""")"),"2.67522205e8")</f>
        <v>2.67522205e8</v>
      </c>
      <c r="H251" s="43">
        <f t="shared" si="2"/>
        <v>267522205</v>
      </c>
      <c r="I251" s="21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43">
        <f t="shared" si="3"/>
        <v>0.23</v>
      </c>
      <c r="K251" s="43" t="b">
        <f t="shared" si="4"/>
        <v>0</v>
      </c>
      <c r="L251" s="21" t="str">
        <f>IFERROR(__xludf.DUMMYFUNCTION("if(regexmatch(B251,""e(.*)$""),regexextract(B251,""e(.*)$""),"""")"),"8")</f>
        <v>8</v>
      </c>
    </row>
    <row r="252">
      <c r="A252" s="34" t="s">
        <v>1819</v>
      </c>
      <c r="B252" s="34" t="s">
        <v>4690</v>
      </c>
      <c r="C252" s="34" t="s">
        <v>4260</v>
      </c>
      <c r="D252" s="13" t="str">
        <f t="shared" si="1"/>
        <v>MHz T^-1</v>
      </c>
      <c r="E252" s="42">
        <f>countif(Constants!F:F,F252)</f>
        <v>1</v>
      </c>
      <c r="F252" s="21" t="str">
        <f>ifna(VLOOKUP($A252,'v2006'!$A:$F,6,false),"")</f>
        <v>ProtonGyromagneticRatioOver2Pi</v>
      </c>
      <c r="G252" s="21" t="str">
        <f>IFERROR(__xludf.DUMMYFUNCTION("REGEXREPLACE(substitute(substitute(B252,"" "",""""),""..."",""""),""\(.*\)"","""")"),"42.5774813")</f>
        <v>42.5774813</v>
      </c>
      <c r="H252" s="43">
        <f t="shared" si="2"/>
        <v>42.5774813</v>
      </c>
      <c r="I252" s="21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43">
        <f t="shared" si="3"/>
        <v>0.000000037</v>
      </c>
      <c r="K252" s="43" t="b">
        <f t="shared" si="4"/>
        <v>0</v>
      </c>
      <c r="L252" s="21" t="str">
        <f>IFERROR(__xludf.DUMMYFUNCTION("if(regexmatch(B252,""e(.*)$""),regexextract(B252,""e(.*)$""),"""")"),"")</f>
        <v/>
      </c>
    </row>
    <row r="253">
      <c r="A253" s="34" t="s">
        <v>1825</v>
      </c>
      <c r="B253" s="34" t="s">
        <v>4691</v>
      </c>
      <c r="C253" s="34" t="s">
        <v>4197</v>
      </c>
      <c r="D253" s="13" t="str">
        <f t="shared" si="1"/>
        <v>J T^-1</v>
      </c>
      <c r="E253" s="42">
        <f>countif(Constants!F:F,F253)</f>
        <v>1</v>
      </c>
      <c r="F253" s="21" t="str">
        <f>ifna(VLOOKUP($A253,'v2006'!$A:$F,6,false),"")</f>
        <v>ProtonMagneticMoment</v>
      </c>
      <c r="G253" s="21" t="str">
        <f>IFERROR(__xludf.DUMMYFUNCTION("REGEXREPLACE(substitute(substitute(B253,"" "",""""),""..."",""""),""\(.*\)"","""")"),"1.41060671e-26")</f>
        <v>1.41060671e-26</v>
      </c>
      <c r="H253" s="43">
        <f t="shared" si="2"/>
        <v>0</v>
      </c>
      <c r="I253" s="21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43">
        <f t="shared" si="3"/>
        <v>0</v>
      </c>
      <c r="K253" s="43" t="b">
        <f t="shared" si="4"/>
        <v>0</v>
      </c>
      <c r="L253" s="21" t="str">
        <f>IFERROR(__xludf.DUMMYFUNCTION("if(regexmatch(B253,""e(.*)$""),regexextract(B253,""e(.*)$""),"""")"),"-26")</f>
        <v>-26</v>
      </c>
    </row>
    <row r="254">
      <c r="A254" s="34" t="s">
        <v>1830</v>
      </c>
      <c r="B254" s="34" t="s">
        <v>4692</v>
      </c>
      <c r="C254" s="34"/>
      <c r="D254" s="13" t="str">
        <f t="shared" si="1"/>
        <v/>
      </c>
      <c r="E254" s="42">
        <f>countif(Constants!F:F,F254)</f>
        <v>1</v>
      </c>
      <c r="F254" s="21" t="str">
        <f>ifna(VLOOKUP($A254,'v2006'!$A:$F,6,false),"")</f>
        <v>ProtonMagneticMomentToBohrMagnetonRatio</v>
      </c>
      <c r="G254" s="21" t="str">
        <f>IFERROR(__xludf.DUMMYFUNCTION("REGEXREPLACE(substitute(substitute(B254,"" "",""""),""..."",""""),""\(.*\)"","""")"),"1.521032206e-3")</f>
        <v>1.521032206e-3</v>
      </c>
      <c r="H254" s="43">
        <f t="shared" si="2"/>
        <v>0.001521032206</v>
      </c>
      <c r="I254" s="21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43">
        <f t="shared" si="3"/>
        <v>0</v>
      </c>
      <c r="K254" s="43" t="b">
        <f t="shared" si="4"/>
        <v>0</v>
      </c>
      <c r="L254" s="21" t="str">
        <f>IFERROR(__xludf.DUMMYFUNCTION("if(regexmatch(B254,""e(.*)$""),regexextract(B254,""e(.*)$""),"""")"),"-3")</f>
        <v>-3</v>
      </c>
    </row>
    <row r="255">
      <c r="A255" s="34" t="s">
        <v>1835</v>
      </c>
      <c r="B255" s="34" t="s">
        <v>4693</v>
      </c>
      <c r="C255" s="34"/>
      <c r="D255" s="13" t="str">
        <f t="shared" si="1"/>
        <v/>
      </c>
      <c r="E255" s="42">
        <f>countif(Constants!F:F,F255)</f>
        <v>1</v>
      </c>
      <c r="F255" s="21" t="str">
        <f>ifna(VLOOKUP($A255,'v2006'!$A:$F,6,false),"")</f>
        <v>ProtonMagneticMomentToNuclearMagnetonRatio</v>
      </c>
      <c r="G255" s="21" t="str">
        <f>IFERROR(__xludf.DUMMYFUNCTION("REGEXREPLACE(substitute(substitute(B255,"" "",""""),""..."",""""),""\(.*\)"","""")"),"2.792847351")</f>
        <v>2.792847351</v>
      </c>
      <c r="H255" s="43">
        <f t="shared" si="2"/>
        <v>2.792847351</v>
      </c>
      <c r="I255" s="21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43">
        <f t="shared" si="3"/>
        <v>0.00000000028</v>
      </c>
      <c r="K255" s="43" t="b">
        <f t="shared" si="4"/>
        <v>0</v>
      </c>
      <c r="L255" s="21" t="str">
        <f>IFERROR(__xludf.DUMMYFUNCTION("if(regexmatch(B255,""e(.*)$""),regexextract(B255,""e(.*)$""),"""")"),"")</f>
        <v/>
      </c>
    </row>
    <row r="256">
      <c r="A256" s="34" t="s">
        <v>1840</v>
      </c>
      <c r="B256" s="34" t="s">
        <v>4694</v>
      </c>
      <c r="C256" s="34"/>
      <c r="D256" s="13" t="str">
        <f t="shared" si="1"/>
        <v/>
      </c>
      <c r="E256" s="42">
        <f>countif(Constants!F:F,F256)</f>
        <v>1</v>
      </c>
      <c r="F256" s="21" t="str">
        <f>ifna(VLOOKUP($A256,'v2006'!$A:$F,6,false),"")</f>
        <v>ProtonMagneticShieldingCorrection</v>
      </c>
      <c r="G256" s="21" t="str">
        <f>IFERROR(__xludf.DUMMYFUNCTION("REGEXREPLACE(substitute(substitute(B256,"" "",""""),""..."",""""),""\(.*\)"","""")"),"25.689e-6")</f>
        <v>25.689e-6</v>
      </c>
      <c r="H256" s="43">
        <f t="shared" si="2"/>
        <v>0.000025689</v>
      </c>
      <c r="I256" s="21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43">
        <f t="shared" si="3"/>
        <v>0.00000000015</v>
      </c>
      <c r="K256" s="43" t="b">
        <f t="shared" si="4"/>
        <v>0</v>
      </c>
      <c r="L256" s="21" t="str">
        <f>IFERROR(__xludf.DUMMYFUNCTION("if(regexmatch(B256,""e(.*)$""),regexextract(B256,""e(.*)$""),"""")"),"-6")</f>
        <v>-6</v>
      </c>
    </row>
    <row r="257">
      <c r="A257" s="34" t="s">
        <v>1843</v>
      </c>
      <c r="B257" s="34" t="s">
        <v>4695</v>
      </c>
      <c r="C257" s="34" t="s">
        <v>538</v>
      </c>
      <c r="D257" s="13" t="str">
        <f t="shared" si="1"/>
        <v>kg</v>
      </c>
      <c r="E257" s="42">
        <f>countif(Constants!F:F,F257)</f>
        <v>1</v>
      </c>
      <c r="F257" s="21" t="str">
        <f>ifna(VLOOKUP($A257,'v2006'!$A:$F,6,false),"")</f>
        <v>ProtonMass</v>
      </c>
      <c r="G257" s="21" t="str">
        <f>IFERROR(__xludf.DUMMYFUNCTION("REGEXREPLACE(substitute(substitute(B257,"" "",""""),""..."",""""),""\(.*\)"","""")"),"1.67262171e-27")</f>
        <v>1.67262171e-27</v>
      </c>
      <c r="H257" s="43">
        <f t="shared" si="2"/>
        <v>0</v>
      </c>
      <c r="I257" s="21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43">
        <f t="shared" si="3"/>
        <v>0</v>
      </c>
      <c r="K257" s="43" t="b">
        <f t="shared" si="4"/>
        <v>0</v>
      </c>
      <c r="L257" s="21" t="str">
        <f>IFERROR(__xludf.DUMMYFUNCTION("if(regexmatch(B257,""e(.*)$""),regexextract(B257,""e(.*)$""),"""")"),"-27")</f>
        <v>-27</v>
      </c>
    </row>
    <row r="258">
      <c r="A258" s="34" t="s">
        <v>1848</v>
      </c>
      <c r="B258" s="34" t="s">
        <v>4696</v>
      </c>
      <c r="C258" s="34" t="s">
        <v>543</v>
      </c>
      <c r="D258" s="13" t="str">
        <f t="shared" si="1"/>
        <v>J</v>
      </c>
      <c r="E258" s="42">
        <f>countif(Constants!F:F,F258)</f>
        <v>1</v>
      </c>
      <c r="F258" s="21" t="str">
        <f>ifna(VLOOKUP($A258,'v2006'!$A:$F,6,false),"")</f>
        <v>ProtonMassEnergyEquivalent</v>
      </c>
      <c r="G258" s="21" t="str">
        <f>IFERROR(__xludf.DUMMYFUNCTION("REGEXREPLACE(substitute(substitute(B258,"" "",""""),""..."",""""),""\(.*\)"","""")"),"1.50327743e-10")</f>
        <v>1.50327743e-10</v>
      </c>
      <c r="H258" s="43">
        <f t="shared" si="2"/>
        <v>0.000000000150327743</v>
      </c>
      <c r="I258" s="21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43">
        <f t="shared" si="3"/>
        <v>0</v>
      </c>
      <c r="K258" s="43" t="b">
        <f t="shared" si="4"/>
        <v>0</v>
      </c>
      <c r="L258" s="21" t="str">
        <f>IFERROR(__xludf.DUMMYFUNCTION("if(regexmatch(B258,""e(.*)$""),regexextract(B258,""e(.*)$""),"""")"),"-10")</f>
        <v>-10</v>
      </c>
    </row>
    <row r="259">
      <c r="A259" s="34" t="s">
        <v>1852</v>
      </c>
      <c r="B259" s="34" t="s">
        <v>4697</v>
      </c>
      <c r="C259" s="34" t="s">
        <v>548</v>
      </c>
      <c r="D259" s="13" t="str">
        <f t="shared" si="1"/>
        <v>MeV</v>
      </c>
      <c r="E259" s="42">
        <f>countif(Constants!F:F,F259)</f>
        <v>1</v>
      </c>
      <c r="F259" s="21" t="str">
        <f>ifna(VLOOKUP($A259,'v2006'!$A:$F,6,false),"")</f>
        <v>ProtonMassEnergyEquivalentInMeV</v>
      </c>
      <c r="G259" s="21" t="str">
        <f>IFERROR(__xludf.DUMMYFUNCTION("REGEXREPLACE(substitute(substitute(B259,"" "",""""),""..."",""""),""\(.*\)"","""")"),"938.272028")</f>
        <v>938.272028</v>
      </c>
      <c r="H259" s="43">
        <f t="shared" si="2"/>
        <v>938.272028</v>
      </c>
      <c r="I259" s="21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43">
        <f t="shared" si="3"/>
        <v>0.0000008</v>
      </c>
      <c r="K259" s="43" t="b">
        <f t="shared" si="4"/>
        <v>0</v>
      </c>
      <c r="L259" s="21" t="str">
        <f>IFERROR(__xludf.DUMMYFUNCTION("if(regexmatch(B259,""e(.*)$""),regexextract(B259,""e(.*)$""),"""")"),"")</f>
        <v/>
      </c>
    </row>
    <row r="260">
      <c r="A260" s="34" t="s">
        <v>1855</v>
      </c>
      <c r="B260" s="34" t="s">
        <v>4698</v>
      </c>
      <c r="C260" s="34" t="s">
        <v>553</v>
      </c>
      <c r="D260" s="13" t="str">
        <f t="shared" si="1"/>
        <v>u</v>
      </c>
      <c r="E260" s="42">
        <f>countif(Constants!F:F,F260)</f>
        <v>1</v>
      </c>
      <c r="F260" s="21" t="str">
        <f>ifna(VLOOKUP($A260,'v2006'!$A:$F,6,false),"")</f>
        <v>ProtonMassInAtomicMassUnit</v>
      </c>
      <c r="G260" s="21" t="str">
        <f>IFERROR(__xludf.DUMMYFUNCTION("REGEXREPLACE(substitute(substitute(B260,"" "",""""),""..."",""""),""\(.*\)"","""")"),"1.00727646688")</f>
        <v>1.00727646688</v>
      </c>
      <c r="H260" s="43">
        <f t="shared" si="2"/>
        <v>1.007276467</v>
      </c>
      <c r="I260" s="21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43">
        <f t="shared" si="3"/>
        <v>0</v>
      </c>
      <c r="K260" s="43" t="b">
        <f t="shared" si="4"/>
        <v>0</v>
      </c>
      <c r="L260" s="21" t="str">
        <f>IFERROR(__xludf.DUMMYFUNCTION("if(regexmatch(B260,""e(.*)$""),regexextract(B260,""e(.*)$""),"""")"),"")</f>
        <v/>
      </c>
    </row>
    <row r="261">
      <c r="A261" s="34" t="s">
        <v>1858</v>
      </c>
      <c r="B261" s="34" t="s">
        <v>4699</v>
      </c>
      <c r="C261" s="34" t="s">
        <v>4163</v>
      </c>
      <c r="D261" s="13" t="str">
        <f t="shared" si="1"/>
        <v>kg mol^-1</v>
      </c>
      <c r="E261" s="42">
        <f>countif(Constants!F:F,F261)</f>
        <v>1</v>
      </c>
      <c r="F261" s="21" t="str">
        <f>ifna(VLOOKUP($A261,'v2006'!$A:$F,6,false),"")</f>
        <v>ProtonMolarMass</v>
      </c>
      <c r="G261" s="21" t="str">
        <f>IFERROR(__xludf.DUMMYFUNCTION("REGEXREPLACE(substitute(substitute(B261,"" "",""""),""..."",""""),""\(.*\)"","""")"),"1.00727646688e-3")</f>
        <v>1.00727646688e-3</v>
      </c>
      <c r="H261" s="43">
        <f t="shared" si="2"/>
        <v>0.001007276467</v>
      </c>
      <c r="I261" s="21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43">
        <f t="shared" si="3"/>
        <v>0</v>
      </c>
      <c r="K261" s="43" t="b">
        <f t="shared" si="4"/>
        <v>0</v>
      </c>
      <c r="L261" s="21" t="str">
        <f>IFERROR(__xludf.DUMMYFUNCTION("if(regexmatch(B261,""e(.*)$""),regexextract(B261,""e(.*)$""),"""")"),"-3")</f>
        <v>-3</v>
      </c>
    </row>
    <row r="262">
      <c r="A262" s="34" t="s">
        <v>1880</v>
      </c>
      <c r="B262" s="34" t="s">
        <v>4700</v>
      </c>
      <c r="C262" s="34" t="s">
        <v>571</v>
      </c>
      <c r="D262" s="13" t="str">
        <f t="shared" si="1"/>
        <v>m</v>
      </c>
      <c r="E262" s="42">
        <f>countif(Constants!F:F,F262)</f>
        <v>1</v>
      </c>
      <c r="F262" s="21" t="str">
        <f>ifna(VLOOKUP($A262,'v2006'!$A:$F,6,false),"")</f>
        <v>ProtonRmsChargeRadius</v>
      </c>
      <c r="G262" s="21" t="str">
        <f>IFERROR(__xludf.DUMMYFUNCTION("REGEXREPLACE(substitute(substitute(B262,"" "",""""),""..."",""""),""\(.*\)"","""")"),"0.8750e-15")</f>
        <v>0.8750e-15</v>
      </c>
      <c r="H262" s="43">
        <f t="shared" si="2"/>
        <v>0</v>
      </c>
      <c r="I262" s="21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43">
        <f t="shared" si="3"/>
        <v>0</v>
      </c>
      <c r="K262" s="43" t="b">
        <f t="shared" si="4"/>
        <v>0</v>
      </c>
      <c r="L262" s="21" t="str">
        <f>IFERROR(__xludf.DUMMYFUNCTION("if(regexmatch(B262,""e(.*)$""),regexextract(B262,""e(.*)$""),"""")"),"-15")</f>
        <v>-15</v>
      </c>
    </row>
    <row r="263">
      <c r="A263" s="34" t="s">
        <v>1807</v>
      </c>
      <c r="B263" s="34" t="s">
        <v>4701</v>
      </c>
      <c r="C263" s="34"/>
      <c r="D263" s="13" t="str">
        <f t="shared" si="1"/>
        <v/>
      </c>
      <c r="E263" s="42">
        <f>countif(Constants!F:F,F263)</f>
        <v>1</v>
      </c>
      <c r="F263" s="21" t="str">
        <f>ifna(VLOOKUP($A263,'v2006'!$A:$F,6,false),"")</f>
        <v>ProtonElectronMassRatio</v>
      </c>
      <c r="G263" s="21" t="str">
        <f>IFERROR(__xludf.DUMMYFUNCTION("REGEXREPLACE(substitute(substitute(B263,"" "",""""),""..."",""""),""\(.*\)"","""")"),"1836.15267261")</f>
        <v>1836.15267261</v>
      </c>
      <c r="H263" s="43">
        <f t="shared" si="2"/>
        <v>1836.152673</v>
      </c>
      <c r="I263" s="21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43">
        <f t="shared" si="3"/>
        <v>0.0000000085</v>
      </c>
      <c r="K263" s="43" t="b">
        <f t="shared" si="4"/>
        <v>0</v>
      </c>
      <c r="L263" s="21" t="str">
        <f>IFERROR(__xludf.DUMMYFUNCTION("if(regexmatch(B263,""e(.*)$""),regexextract(B263,""e(.*)$""),"""")"),"")</f>
        <v/>
      </c>
    </row>
    <row r="264">
      <c r="A264" s="34" t="s">
        <v>1862</v>
      </c>
      <c r="B264" s="34" t="s">
        <v>4702</v>
      </c>
      <c r="C264" s="34"/>
      <c r="D264" s="13" t="str">
        <f t="shared" si="1"/>
        <v/>
      </c>
      <c r="E264" s="42">
        <f>countif(Constants!F:F,F264)</f>
        <v>1</v>
      </c>
      <c r="F264" s="21" t="str">
        <f>ifna(VLOOKUP($A264,'v2006'!$A:$F,6,false),"")</f>
        <v>ProtonMuonMassRatio</v>
      </c>
      <c r="G264" s="21" t="str">
        <f>IFERROR(__xludf.DUMMYFUNCTION("REGEXREPLACE(substitute(substitute(B264,"" "",""""),""..."",""""),""\(.*\)"","""")"),"8.88024333")</f>
        <v>8.88024333</v>
      </c>
      <c r="H264" s="43">
        <f t="shared" si="2"/>
        <v>8.88024333</v>
      </c>
      <c r="I264" s="21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43">
        <f t="shared" si="3"/>
        <v>0.0000000023</v>
      </c>
      <c r="K264" s="43" t="b">
        <f t="shared" si="4"/>
        <v>0</v>
      </c>
      <c r="L264" s="21" t="str">
        <f>IFERROR(__xludf.DUMMYFUNCTION("if(regexmatch(B264,""e(.*)$""),regexextract(B264,""e(.*)$""),"""")"),"")</f>
        <v/>
      </c>
    </row>
    <row r="265">
      <c r="A265" s="34" t="s">
        <v>4447</v>
      </c>
      <c r="B265" s="34" t="s">
        <v>4703</v>
      </c>
      <c r="C265" s="34"/>
      <c r="D265" s="13" t="str">
        <f t="shared" si="1"/>
        <v/>
      </c>
      <c r="E265" s="42">
        <f>countif(Constants!F:F,F265)</f>
        <v>1</v>
      </c>
      <c r="F265" s="21" t="str">
        <f>ifna(VLOOKUP($A265,'v2006'!$A:$F,6,false),"")</f>
        <v>ProtonNeutronMagneticMomentRatio</v>
      </c>
      <c r="G265" s="21" t="str">
        <f>IFERROR(__xludf.DUMMYFUNCTION("REGEXREPLACE(substitute(substitute(B265,"" "",""""),""..."",""""),""\(.*\)"","""")"),"-1.45989805")</f>
        <v>-1.45989805</v>
      </c>
      <c r="H265" s="43">
        <f t="shared" si="2"/>
        <v>-1.45989805</v>
      </c>
      <c r="I265" s="21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43">
        <f t="shared" si="3"/>
        <v>0.0000000034</v>
      </c>
      <c r="K265" s="43" t="b">
        <f t="shared" si="4"/>
        <v>0</v>
      </c>
      <c r="L265" s="21" t="str">
        <f>IFERROR(__xludf.DUMMYFUNCTION("if(regexmatch(B265,""e(.*)$""),regexextract(B265,""e(.*)$""),"""")"),"")</f>
        <v/>
      </c>
    </row>
    <row r="266">
      <c r="A266" s="34" t="s">
        <v>1872</v>
      </c>
      <c r="B266" s="34" t="s">
        <v>4704</v>
      </c>
      <c r="C266" s="34"/>
      <c r="D266" s="13" t="str">
        <f t="shared" si="1"/>
        <v/>
      </c>
      <c r="E266" s="42">
        <f>countif(Constants!F:F,F266)</f>
        <v>1</v>
      </c>
      <c r="F266" s="21" t="str">
        <f>ifna(VLOOKUP($A266,'v2006'!$A:$F,6,false),"")</f>
        <v>ProtonNeutronMassRatio</v>
      </c>
      <c r="G266" s="21" t="str">
        <f>IFERROR(__xludf.DUMMYFUNCTION("REGEXREPLACE(substitute(substitute(B266,"" "",""""),""..."",""""),""\(.*\)"","""")"),"0.99862347872")</f>
        <v>0.99862347872</v>
      </c>
      <c r="H266" s="43">
        <f t="shared" si="2"/>
        <v>0.9986234787</v>
      </c>
      <c r="I266" s="21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43">
        <f t="shared" si="3"/>
        <v>0</v>
      </c>
      <c r="K266" s="43" t="b">
        <f t="shared" si="4"/>
        <v>0</v>
      </c>
      <c r="L266" s="21" t="str">
        <f>IFERROR(__xludf.DUMMYFUNCTION("if(regexmatch(B266,""e(.*)$""),regexextract(B266,""e(.*)$""),"""")"),"")</f>
        <v/>
      </c>
    </row>
    <row r="267">
      <c r="A267" s="34" t="s">
        <v>1884</v>
      </c>
      <c r="B267" s="34" t="s">
        <v>4450</v>
      </c>
      <c r="C267" s="34"/>
      <c r="D267" s="13" t="str">
        <f t="shared" si="1"/>
        <v/>
      </c>
      <c r="E267" s="42">
        <f>countif(Constants!F:F,F267)</f>
        <v>1</v>
      </c>
      <c r="F267" s="21" t="str">
        <f>ifna(VLOOKUP($A267,'v2006'!$A:$F,6,false),"")</f>
        <v>ProtonTauMassRatio</v>
      </c>
      <c r="G267" s="21" t="str">
        <f>IFERROR(__xludf.DUMMYFUNCTION("REGEXREPLACE(substitute(substitute(B267,"" "",""""),""..."",""""),""\(.*\)"","""")"),"0.528012")</f>
        <v>0.528012</v>
      </c>
      <c r="H267" s="43">
        <f t="shared" si="2"/>
        <v>0.528012</v>
      </c>
      <c r="I267" s="21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43">
        <f t="shared" si="3"/>
        <v>0.00000086</v>
      </c>
      <c r="K267" s="43" t="b">
        <f t="shared" si="4"/>
        <v>0</v>
      </c>
      <c r="L267" s="21" t="str">
        <f>IFERROR(__xludf.DUMMYFUNCTION("if(regexmatch(B267,""e(.*)$""),regexextract(B267,""e(.*)$""),"""")"),"")</f>
        <v/>
      </c>
    </row>
    <row r="268">
      <c r="A268" s="34" t="s">
        <v>1889</v>
      </c>
      <c r="B268" s="34" t="s">
        <v>4705</v>
      </c>
      <c r="C268" s="34" t="s">
        <v>4452</v>
      </c>
      <c r="D268" s="13" t="str">
        <f t="shared" si="1"/>
        <v>m^2 s^-1</v>
      </c>
      <c r="E268" s="42">
        <f>countif(Constants!F:F,F268)</f>
        <v>1</v>
      </c>
      <c r="F268" s="21" t="str">
        <f>ifna(VLOOKUP($A268,'v2006'!$A:$F,6,false),"")</f>
        <v>QuantumOfCirculation</v>
      </c>
      <c r="G268" s="21" t="str">
        <f>IFERROR(__xludf.DUMMYFUNCTION("REGEXREPLACE(substitute(substitute(B268,"" "",""""),""..."",""""),""\(.*\)"","""")"),"3.636947550e-4")</f>
        <v>3.636947550e-4</v>
      </c>
      <c r="H268" s="43">
        <f t="shared" si="2"/>
        <v>0.000363694755</v>
      </c>
      <c r="I268" s="21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43">
        <f t="shared" si="3"/>
        <v>0</v>
      </c>
      <c r="K268" s="43" t="b">
        <f t="shared" si="4"/>
        <v>0</v>
      </c>
      <c r="L268" s="21" t="str">
        <f>IFERROR(__xludf.DUMMYFUNCTION("if(regexmatch(B268,""e(.*)$""),regexextract(B268,""e(.*)$""),"""")"),"-4")</f>
        <v>-4</v>
      </c>
    </row>
    <row r="269">
      <c r="A269" s="34" t="s">
        <v>1895</v>
      </c>
      <c r="B269" s="34" t="s">
        <v>4706</v>
      </c>
      <c r="C269" s="34" t="s">
        <v>4452</v>
      </c>
      <c r="D269" s="13" t="str">
        <f t="shared" si="1"/>
        <v>m^2 s^-1</v>
      </c>
      <c r="E269" s="42">
        <f>countif(Constants!F:F,F269)</f>
        <v>1</v>
      </c>
      <c r="F269" s="21" t="str">
        <f>ifna(VLOOKUP($A269,'v2006'!$A:$F,6,false),"")</f>
        <v>QuantumOfCirculationTimes2</v>
      </c>
      <c r="G269" s="21" t="str">
        <f>IFERROR(__xludf.DUMMYFUNCTION("REGEXREPLACE(substitute(substitute(B269,"" "",""""),""..."",""""),""\(.*\)"","""")"),"7.273895101e-4")</f>
        <v>7.273895101e-4</v>
      </c>
      <c r="H269" s="43">
        <f t="shared" si="2"/>
        <v>0.0007273895101</v>
      </c>
      <c r="I269" s="21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43">
        <f t="shared" si="3"/>
        <v>0</v>
      </c>
      <c r="K269" s="43" t="b">
        <f t="shared" si="4"/>
        <v>0</v>
      </c>
      <c r="L269" s="21" t="str">
        <f>IFERROR(__xludf.DUMMYFUNCTION("if(regexmatch(B269,""e(.*)$""),regexextract(B269,""e(.*)$""),"""")"),"-4")</f>
        <v>-4</v>
      </c>
    </row>
    <row r="270">
      <c r="A270" s="34" t="s">
        <v>1933</v>
      </c>
      <c r="B270" s="34" t="s">
        <v>4707</v>
      </c>
      <c r="C270" s="34" t="s">
        <v>4174</v>
      </c>
      <c r="D270" s="13" t="str">
        <f t="shared" si="1"/>
        <v>m^-1</v>
      </c>
      <c r="E270" s="42">
        <f>countif(Constants!F:F,F270)</f>
        <v>1</v>
      </c>
      <c r="F270" s="21" t="str">
        <f>ifna(VLOOKUP($A270,'v2006'!$A:$F,6,false),"")</f>
        <v>RydbergConstant</v>
      </c>
      <c r="G270" s="21" t="str">
        <f>IFERROR(__xludf.DUMMYFUNCTION("REGEXREPLACE(substitute(substitute(B270,"" "",""""),""..."",""""),""\(.*\)"","""")"),"10973731.568525")</f>
        <v>10973731.568525</v>
      </c>
      <c r="H270" s="43">
        <f t="shared" si="2"/>
        <v>10973731.57</v>
      </c>
      <c r="I270" s="21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43">
        <f t="shared" si="3"/>
        <v>0.00000073</v>
      </c>
      <c r="K270" s="43" t="b">
        <f t="shared" si="4"/>
        <v>0</v>
      </c>
      <c r="L270" s="21" t="str">
        <f>IFERROR(__xludf.DUMMYFUNCTION("if(regexmatch(B270,""e(.*)$""),regexextract(B270,""e(.*)$""),"""")"),"")</f>
        <v/>
      </c>
    </row>
    <row r="271">
      <c r="A271" s="34" t="s">
        <v>1937</v>
      </c>
      <c r="B271" s="34" t="s">
        <v>4708</v>
      </c>
      <c r="C271" s="34" t="s">
        <v>600</v>
      </c>
      <c r="D271" s="13" t="str">
        <f t="shared" si="1"/>
        <v>Hz</v>
      </c>
      <c r="E271" s="42">
        <f>countif(Constants!F:F,F271)</f>
        <v>1</v>
      </c>
      <c r="F271" s="21" t="str">
        <f>ifna(VLOOKUP($A271,'v2006'!$A:$F,6,false),"")</f>
        <v>RydbergConstantTimesCInHz</v>
      </c>
      <c r="G271" s="21" t="str">
        <f>IFERROR(__xludf.DUMMYFUNCTION("REGEXREPLACE(substitute(substitute(B271,"" "",""""),""..."",""""),""\(.*\)"","""")"),"3.289841960360e15")</f>
        <v>3.289841960360e15</v>
      </c>
      <c r="H271" s="43">
        <f t="shared" si="2"/>
        <v>3.28984E+15</v>
      </c>
      <c r="I271" s="21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43">
        <f t="shared" si="3"/>
        <v>220</v>
      </c>
      <c r="K271" s="43" t="b">
        <f t="shared" si="4"/>
        <v>0</v>
      </c>
      <c r="L271" s="21" t="str">
        <f>IFERROR(__xludf.DUMMYFUNCTION("if(regexmatch(B271,""e(.*)$""),regexextract(B271,""e(.*)$""),"""")"),"15")</f>
        <v>15</v>
      </c>
    </row>
    <row r="272">
      <c r="A272" s="34" t="s">
        <v>1945</v>
      </c>
      <c r="B272" s="34" t="s">
        <v>4709</v>
      </c>
      <c r="C272" s="34" t="s">
        <v>543</v>
      </c>
      <c r="D272" s="13" t="str">
        <f t="shared" si="1"/>
        <v>J</v>
      </c>
      <c r="E272" s="42">
        <f>countif(Constants!F:F,F272)</f>
        <v>1</v>
      </c>
      <c r="F272" s="21" t="str">
        <f>ifna(VLOOKUP($A272,'v2006'!$A:$F,6,false),"")</f>
        <v>RydbergConstantTimesHcInJ</v>
      </c>
      <c r="G272" s="21" t="str">
        <f>IFERROR(__xludf.DUMMYFUNCTION("REGEXREPLACE(substitute(substitute(B272,"" "",""""),""..."",""""),""\(.*\)"","""")"),"2.17987209e-18")</f>
        <v>2.17987209e-18</v>
      </c>
      <c r="H272" s="43">
        <f t="shared" si="2"/>
        <v>0</v>
      </c>
      <c r="I272" s="21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43">
        <f t="shared" si="3"/>
        <v>0</v>
      </c>
      <c r="K272" s="43" t="b">
        <f t="shared" si="4"/>
        <v>0</v>
      </c>
      <c r="L272" s="21" t="str">
        <f>IFERROR(__xludf.DUMMYFUNCTION("if(regexmatch(B272,""e(.*)$""),regexextract(B272,""e(.*)$""),"""")"),"-18")</f>
        <v>-18</v>
      </c>
    </row>
    <row r="273">
      <c r="A273" s="34" t="s">
        <v>1941</v>
      </c>
      <c r="B273" s="34" t="s">
        <v>4710</v>
      </c>
      <c r="C273" s="34" t="s">
        <v>175</v>
      </c>
      <c r="D273" s="13" t="str">
        <f t="shared" si="1"/>
        <v>eV</v>
      </c>
      <c r="E273" s="42">
        <f>countif(Constants!F:F,F273)</f>
        <v>1</v>
      </c>
      <c r="F273" s="21" t="str">
        <f>ifna(VLOOKUP($A273,'v2006'!$A:$F,6,false),"")</f>
        <v>RydbergConstantTimesHcInEV</v>
      </c>
      <c r="G273" s="21" t="str">
        <f>IFERROR(__xludf.DUMMYFUNCTION("REGEXREPLACE(substitute(substitute(B273,"" "",""""),""..."",""""),""\(.*\)"","""")"),"13.6056923")</f>
        <v>13.6056923</v>
      </c>
      <c r="H273" s="43">
        <f t="shared" si="2"/>
        <v>13.6056923</v>
      </c>
      <c r="I273" s="21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43">
        <f t="shared" si="3"/>
        <v>0.000000012</v>
      </c>
      <c r="K273" s="43" t="b">
        <f t="shared" si="4"/>
        <v>0</v>
      </c>
      <c r="L273" s="21" t="str">
        <f>IFERROR(__xludf.DUMMYFUNCTION("if(regexmatch(B273,""e(.*)$""),regexextract(B273,""e(.*)$""),"""")"),"")</f>
        <v/>
      </c>
    </row>
    <row r="274">
      <c r="A274" s="34" t="s">
        <v>4458</v>
      </c>
      <c r="B274" s="34" t="s">
        <v>4459</v>
      </c>
      <c r="C274" s="34"/>
      <c r="D274" s="13" t="str">
        <f t="shared" si="1"/>
        <v/>
      </c>
      <c r="E274" s="42">
        <f>countif(Constants!F:F,F274)</f>
        <v>1</v>
      </c>
      <c r="F274" s="21" t="str">
        <f>ifna(VLOOKUP($A274,'v2006'!$A:$F,6,false),"")</f>
        <v>SackurTetrodeConstant</v>
      </c>
      <c r="G274" s="21" t="str">
        <f>IFERROR(__xludf.DUMMYFUNCTION("REGEXREPLACE(substitute(substitute(B274,"" "",""""),""..."",""""),""\(.*\)"","""")"),"-1.1517047")</f>
        <v>-1.1517047</v>
      </c>
      <c r="H274" s="43">
        <f t="shared" si="2"/>
        <v>-1.1517047</v>
      </c>
      <c r="I274" s="21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43">
        <f t="shared" si="3"/>
        <v>0.000000044</v>
      </c>
      <c r="K274" s="43" t="b">
        <f t="shared" si="4"/>
        <v>0</v>
      </c>
      <c r="L274" s="21" t="str">
        <f>IFERROR(__xludf.DUMMYFUNCTION("if(regexmatch(B274,""e(.*)$""),regexextract(B274,""e(.*)$""),"""")"),"")</f>
        <v/>
      </c>
    </row>
    <row r="275">
      <c r="A275" s="34" t="s">
        <v>4460</v>
      </c>
      <c r="B275" s="34" t="s">
        <v>4461</v>
      </c>
      <c r="C275" s="34"/>
      <c r="D275" s="13" t="str">
        <f t="shared" si="1"/>
        <v/>
      </c>
      <c r="E275" s="42">
        <f>countif(Constants!F:F,F275)</f>
        <v>1</v>
      </c>
      <c r="F275" s="21" t="str">
        <f>ifna(VLOOKUP($A275,'v2006'!$A:$F,6,false),"")</f>
        <v>SackurTetrodeConstant1K101KPa</v>
      </c>
      <c r="G275" s="21" t="str">
        <f>IFERROR(__xludf.DUMMYFUNCTION("REGEXREPLACE(substitute(substitute(B275,"" "",""""),""..."",""""),""\(.*\)"","""")"),"-1.1648677")</f>
        <v>-1.1648677</v>
      </c>
      <c r="H275" s="43">
        <f t="shared" si="2"/>
        <v>-1.1648677</v>
      </c>
      <c r="I275" s="21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43">
        <f t="shared" si="3"/>
        <v>0.000000044</v>
      </c>
      <c r="K275" s="43" t="b">
        <f t="shared" si="4"/>
        <v>0</v>
      </c>
      <c r="L275" s="21" t="str">
        <f>IFERROR(__xludf.DUMMYFUNCTION("if(regexmatch(B275,""e(.*)$""),regexextract(B275,""e(.*)$""),"""")"),"")</f>
        <v/>
      </c>
    </row>
    <row r="276">
      <c r="A276" s="34" t="s">
        <v>1954</v>
      </c>
      <c r="B276" s="34" t="s">
        <v>4329</v>
      </c>
      <c r="C276" s="34" t="s">
        <v>1955</v>
      </c>
      <c r="D276" s="13" t="str">
        <f t="shared" si="1"/>
        <v>m K</v>
      </c>
      <c r="E276" s="42">
        <f>countif(Constants!F:F,F276)</f>
        <v>1</v>
      </c>
      <c r="F276" s="21" t="str">
        <f>ifna(VLOOKUP($A276,'v2006'!$A:$F,6,false),"")</f>
        <v>SecondRadiationConstant</v>
      </c>
      <c r="G276" s="21" t="str">
        <f>IFERROR(__xludf.DUMMYFUNCTION("REGEXREPLACE(substitute(substitute(B276,"" "",""""),""..."",""""),""\(.*\)"","""")"),"1.4387752e-2")</f>
        <v>1.4387752e-2</v>
      </c>
      <c r="H276" s="43">
        <f t="shared" si="2"/>
        <v>0.014387752</v>
      </c>
      <c r="I276" s="21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43">
        <f t="shared" si="3"/>
        <v>0.00000000025</v>
      </c>
      <c r="K276" s="43" t="b">
        <f t="shared" si="4"/>
        <v>0</v>
      </c>
      <c r="L276" s="21" t="str">
        <f>IFERROR(__xludf.DUMMYFUNCTION("if(regexmatch(B276,""e(.*)$""),regexextract(B276,""e(.*)$""),"""")"),"-2")</f>
        <v>-2</v>
      </c>
    </row>
    <row r="277">
      <c r="A277" s="34" t="s">
        <v>1961</v>
      </c>
      <c r="B277" s="34" t="s">
        <v>4711</v>
      </c>
      <c r="C277" s="34" t="s">
        <v>4258</v>
      </c>
      <c r="D277" s="13" t="str">
        <f t="shared" si="1"/>
        <v>s^-1 T^-1</v>
      </c>
      <c r="E277" s="42">
        <f>countif(Constants!F:F,F277)</f>
        <v>1</v>
      </c>
      <c r="F277" s="21" t="str">
        <f>ifna(VLOOKUP($A277,'v2006'!$A:$F,6,false),"")</f>
        <v>ShieldedHelionGyromagneticRatio</v>
      </c>
      <c r="G277" s="21" t="str">
        <f>IFERROR(__xludf.DUMMYFUNCTION("REGEXREPLACE(substitute(substitute(B277,"" "",""""),""..."",""""),""\(.*\)"","""")"),"2.03789470e8")</f>
        <v>2.03789470e8</v>
      </c>
      <c r="H277" s="43">
        <f t="shared" si="2"/>
        <v>203789470</v>
      </c>
      <c r="I277" s="21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43">
        <f t="shared" si="3"/>
        <v>0.18</v>
      </c>
      <c r="K277" s="43" t="b">
        <f t="shared" si="4"/>
        <v>0</v>
      </c>
      <c r="L277" s="21" t="str">
        <f>IFERROR(__xludf.DUMMYFUNCTION("if(regexmatch(B277,""e(.*)$""),regexextract(B277,""e(.*)$""),"""")"),"8")</f>
        <v>8</v>
      </c>
    </row>
    <row r="278">
      <c r="A278" s="34" t="s">
        <v>1964</v>
      </c>
      <c r="B278" s="34" t="s">
        <v>4712</v>
      </c>
      <c r="C278" s="34" t="s">
        <v>4260</v>
      </c>
      <c r="D278" s="13" t="str">
        <f t="shared" si="1"/>
        <v>MHz T^-1</v>
      </c>
      <c r="E278" s="42">
        <f>countif(Constants!F:F,F278)</f>
        <v>1</v>
      </c>
      <c r="F278" s="21" t="str">
        <f>ifna(VLOOKUP($A278,'v2006'!$A:$F,6,false),"")</f>
        <v>ShieldedHelionGyromagneticRatioOver2Pi</v>
      </c>
      <c r="G278" s="21" t="str">
        <f>IFERROR(__xludf.DUMMYFUNCTION("REGEXREPLACE(substitute(substitute(B278,"" "",""""),""..."",""""),""\(.*\)"","""")"),"32.4341015")</f>
        <v>32.4341015</v>
      </c>
      <c r="H278" s="43">
        <f t="shared" si="2"/>
        <v>32.4341015</v>
      </c>
      <c r="I278" s="21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43">
        <f t="shared" si="3"/>
        <v>0.000000028</v>
      </c>
      <c r="K278" s="43" t="b">
        <f t="shared" si="4"/>
        <v>0</v>
      </c>
      <c r="L278" s="21" t="str">
        <f>IFERROR(__xludf.DUMMYFUNCTION("if(regexmatch(B278,""e(.*)$""),regexextract(B278,""e(.*)$""),"""")"),"")</f>
        <v/>
      </c>
    </row>
    <row r="279">
      <c r="A279" s="34" t="s">
        <v>1970</v>
      </c>
      <c r="B279" s="34" t="s">
        <v>4713</v>
      </c>
      <c r="C279" s="34" t="s">
        <v>4197</v>
      </c>
      <c r="D279" s="13" t="str">
        <f t="shared" si="1"/>
        <v>J T^-1</v>
      </c>
      <c r="E279" s="42">
        <f>countif(Constants!F:F,F279)</f>
        <v>1</v>
      </c>
      <c r="F279" s="21" t="str">
        <f>ifna(VLOOKUP($A279,'v2006'!$A:$F,6,false),"")</f>
        <v>ShieldedHelionMagneticMoment</v>
      </c>
      <c r="G279" s="21" t="str">
        <f>IFERROR(__xludf.DUMMYFUNCTION("REGEXREPLACE(substitute(substitute(B279,"" "",""""),""..."",""""),""\(.*\)"","""")"),"-1.074553024e-26")</f>
        <v>-1.074553024e-26</v>
      </c>
      <c r="H279" s="43">
        <f t="shared" si="2"/>
        <v>0</v>
      </c>
      <c r="I279" s="21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43">
        <f t="shared" si="3"/>
        <v>0</v>
      </c>
      <c r="K279" s="43" t="b">
        <f t="shared" si="4"/>
        <v>0</v>
      </c>
      <c r="L279" s="21" t="str">
        <f>IFERROR(__xludf.DUMMYFUNCTION("if(regexmatch(B279,""e(.*)$""),regexextract(B279,""e(.*)$""),"""")"),"-26")</f>
        <v>-26</v>
      </c>
    </row>
    <row r="280">
      <c r="A280" s="34" t="s">
        <v>1975</v>
      </c>
      <c r="B280" s="34" t="s">
        <v>4714</v>
      </c>
      <c r="C280" s="34"/>
      <c r="D280" s="13" t="str">
        <f t="shared" si="1"/>
        <v/>
      </c>
      <c r="E280" s="42">
        <f>countif(Constants!F:F,F280)</f>
        <v>1</v>
      </c>
      <c r="F280" s="21" t="str">
        <f>ifna(VLOOKUP($A280,'v2006'!$A:$F,6,false),"")</f>
        <v>ShieldedHelionMagneticMomentToBohrMagnetonRatio</v>
      </c>
      <c r="G280" s="21" t="str">
        <f>IFERROR(__xludf.DUMMYFUNCTION("REGEXREPLACE(substitute(substitute(B280,"" "",""""),""..."",""""),""\(.*\)"","""")"),"-1.158671474e-3")</f>
        <v>-1.158671474e-3</v>
      </c>
      <c r="H280" s="43">
        <f t="shared" si="2"/>
        <v>-0.001158671474</v>
      </c>
      <c r="I280" s="21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43">
        <f t="shared" si="3"/>
        <v>0</v>
      </c>
      <c r="K280" s="43" t="b">
        <f t="shared" si="4"/>
        <v>0</v>
      </c>
      <c r="L280" s="21" t="str">
        <f>IFERROR(__xludf.DUMMYFUNCTION("if(regexmatch(B280,""e(.*)$""),regexextract(B280,""e(.*)$""),"""")"),"-3")</f>
        <v>-3</v>
      </c>
    </row>
    <row r="281">
      <c r="A281" s="34" t="s">
        <v>1980</v>
      </c>
      <c r="B281" s="34" t="s">
        <v>4715</v>
      </c>
      <c r="C281" s="34"/>
      <c r="D281" s="13" t="str">
        <f t="shared" si="1"/>
        <v/>
      </c>
      <c r="E281" s="42">
        <f>countif(Constants!F:F,F281)</f>
        <v>1</v>
      </c>
      <c r="F281" s="21" t="str">
        <f>ifna(VLOOKUP($A281,'v2006'!$A:$F,6,false),"")</f>
        <v>ShieldedHelionMagneticMomentToNuclearMagnetonRatio</v>
      </c>
      <c r="G281" s="21" t="str">
        <f>IFERROR(__xludf.DUMMYFUNCTION("REGEXREPLACE(substitute(substitute(B281,"" "",""""),""..."",""""),""\(.*\)"","""")"),"-2.127497723")</f>
        <v>-2.127497723</v>
      </c>
      <c r="H281" s="43">
        <f t="shared" si="2"/>
        <v>-2.127497723</v>
      </c>
      <c r="I281" s="21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43">
        <f t="shared" si="3"/>
        <v>0.00000000025</v>
      </c>
      <c r="K281" s="43" t="b">
        <f t="shared" si="4"/>
        <v>0</v>
      </c>
      <c r="L281" s="21" t="str">
        <f>IFERROR(__xludf.DUMMYFUNCTION("if(regexmatch(B281,""e(.*)$""),regexextract(B281,""e(.*)$""),"""")"),"")</f>
        <v/>
      </c>
    </row>
    <row r="282">
      <c r="A282" s="34" t="s">
        <v>1985</v>
      </c>
      <c r="B282" s="34" t="s">
        <v>4716</v>
      </c>
      <c r="C282" s="34"/>
      <c r="D282" s="13" t="str">
        <f t="shared" si="1"/>
        <v/>
      </c>
      <c r="E282" s="42">
        <f>countif(Constants!F:F,F282)</f>
        <v>1</v>
      </c>
      <c r="F282" s="21" t="str">
        <f>ifna(VLOOKUP($A282,'v2006'!$A:$F,6,false),"")</f>
        <v>ShieldedHelionToProtonMagneticMomentRatio</v>
      </c>
      <c r="G282" s="21" t="str">
        <f>IFERROR(__xludf.DUMMYFUNCTION("REGEXREPLACE(substitute(substitute(B282,"" "",""""),""..."",""""),""\(.*\)"","""")"),"-0.761766562")</f>
        <v>-0.761766562</v>
      </c>
      <c r="H282" s="43">
        <f t="shared" si="2"/>
        <v>-0.761766562</v>
      </c>
      <c r="I282" s="21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43">
        <f t="shared" si="3"/>
        <v>0.00000000012</v>
      </c>
      <c r="K282" s="43" t="b">
        <f t="shared" si="4"/>
        <v>0</v>
      </c>
      <c r="L282" s="21" t="str">
        <f>IFERROR(__xludf.DUMMYFUNCTION("if(regexmatch(B282,""e(.*)$""),regexextract(B282,""e(.*)$""),"""")"),"")</f>
        <v/>
      </c>
    </row>
    <row r="283">
      <c r="A283" s="34" t="s">
        <v>1990</v>
      </c>
      <c r="B283" s="34" t="s">
        <v>4468</v>
      </c>
      <c r="C283" s="34"/>
      <c r="D283" s="13" t="str">
        <f t="shared" si="1"/>
        <v/>
      </c>
      <c r="E283" s="42">
        <f>countif(Constants!F:F,F283)</f>
        <v>1</v>
      </c>
      <c r="F283" s="21" t="str">
        <f>ifna(VLOOKUP($A283,'v2006'!$A:$F,6,false),"")</f>
        <v>ShieldedHelionToShieldedProtonMagneticMomentRatio</v>
      </c>
      <c r="G283" s="21" t="str">
        <f>IFERROR(__xludf.DUMMYFUNCTION("REGEXREPLACE(substitute(substitute(B283,"" "",""""),""..."",""""),""\(.*\)"","""")"),"-0.7617861313")</f>
        <v>-0.7617861313</v>
      </c>
      <c r="H283" s="43">
        <f t="shared" si="2"/>
        <v>-0.7617861313</v>
      </c>
      <c r="I283" s="21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43">
        <f t="shared" si="3"/>
        <v>0</v>
      </c>
      <c r="K283" s="43" t="b">
        <f t="shared" si="4"/>
        <v>0</v>
      </c>
      <c r="L283" s="21" t="str">
        <f>IFERROR(__xludf.DUMMYFUNCTION("if(regexmatch(B283,""e(.*)$""),regexextract(B283,""e(.*)$""),"""")"),"")</f>
        <v/>
      </c>
    </row>
    <row r="284">
      <c r="A284" s="34" t="s">
        <v>1995</v>
      </c>
      <c r="B284" s="34" t="s">
        <v>4717</v>
      </c>
      <c r="C284" s="34" t="s">
        <v>4258</v>
      </c>
      <c r="D284" s="13" t="str">
        <f t="shared" si="1"/>
        <v>s^-1 T^-1</v>
      </c>
      <c r="E284" s="42">
        <f>countif(Constants!F:F,F284)</f>
        <v>1</v>
      </c>
      <c r="F284" s="21" t="str">
        <f>ifna(VLOOKUP($A284,'v2006'!$A:$F,6,false),"")</f>
        <v>ShieldedProtonGyromagneticRatio</v>
      </c>
      <c r="G284" s="21" t="str">
        <f>IFERROR(__xludf.DUMMYFUNCTION("REGEXREPLACE(substitute(substitute(B284,"" "",""""),""..."",""""),""\(.*\)"","""")"),"2.67515333e8")</f>
        <v>2.67515333e8</v>
      </c>
      <c r="H284" s="43">
        <f t="shared" si="2"/>
        <v>267515333</v>
      </c>
      <c r="I284" s="21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43">
        <f t="shared" si="3"/>
        <v>0.23</v>
      </c>
      <c r="K284" s="43" t="b">
        <f t="shared" si="4"/>
        <v>0</v>
      </c>
      <c r="L284" s="21" t="str">
        <f>IFERROR(__xludf.DUMMYFUNCTION("if(regexmatch(B284,""e(.*)$""),regexextract(B284,""e(.*)$""),"""")"),"8")</f>
        <v>8</v>
      </c>
    </row>
    <row r="285">
      <c r="A285" s="34" t="s">
        <v>4470</v>
      </c>
      <c r="B285" s="34" t="s">
        <v>4718</v>
      </c>
      <c r="C285" s="34" t="s">
        <v>4260</v>
      </c>
      <c r="D285" s="13" t="str">
        <f t="shared" si="1"/>
        <v>MHz T^-1</v>
      </c>
      <c r="E285" s="42">
        <f>countif(Constants!F:F,F285)</f>
        <v>1</v>
      </c>
      <c r="F285" s="21" t="str">
        <f>ifna(VLOOKUP($A285,'v2006'!$A:$F,6,false),"")</f>
        <v>ShieldedProtonGyromagneticRatioOver2Pi</v>
      </c>
      <c r="G285" s="21" t="str">
        <f>IFERROR(__xludf.DUMMYFUNCTION("REGEXREPLACE(substitute(substitute(B285,"" "",""""),""..."",""""),""\(.*\)"","""")"),"42.5763875")</f>
        <v>42.5763875</v>
      </c>
      <c r="H285" s="43">
        <f t="shared" si="2"/>
        <v>42.5763875</v>
      </c>
      <c r="I285" s="21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43">
        <f t="shared" si="3"/>
        <v>0.000000037</v>
      </c>
      <c r="K285" s="43" t="b">
        <f t="shared" si="4"/>
        <v>0</v>
      </c>
      <c r="L285" s="21" t="str">
        <f>IFERROR(__xludf.DUMMYFUNCTION("if(regexmatch(B285,""e(.*)$""),regexextract(B285,""e(.*)$""),"""")"),"")</f>
        <v/>
      </c>
    </row>
    <row r="286">
      <c r="A286" s="34" t="s">
        <v>2004</v>
      </c>
      <c r="B286" s="34" t="s">
        <v>4719</v>
      </c>
      <c r="C286" s="34" t="s">
        <v>4197</v>
      </c>
      <c r="D286" s="13" t="str">
        <f t="shared" si="1"/>
        <v>J T^-1</v>
      </c>
      <c r="E286" s="42">
        <f>countif(Constants!F:F,F286)</f>
        <v>1</v>
      </c>
      <c r="F286" s="21" t="str">
        <f>ifna(VLOOKUP($A286,'v2006'!$A:$F,6,false),"")</f>
        <v>ShieldedProtonMagneticMoment</v>
      </c>
      <c r="G286" s="21" t="str">
        <f>IFERROR(__xludf.DUMMYFUNCTION("REGEXREPLACE(substitute(substitute(B286,"" "",""""),""..."",""""),""\(.*\)"","""")"),"1.41057047e-26")</f>
        <v>1.41057047e-26</v>
      </c>
      <c r="H286" s="43">
        <f t="shared" si="2"/>
        <v>0</v>
      </c>
      <c r="I286" s="21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43">
        <f t="shared" si="3"/>
        <v>0</v>
      </c>
      <c r="K286" s="43" t="b">
        <f t="shared" si="4"/>
        <v>0</v>
      </c>
      <c r="L286" s="21" t="str">
        <f>IFERROR(__xludf.DUMMYFUNCTION("if(regexmatch(B286,""e(.*)$""),regexextract(B286,""e(.*)$""),"""")"),"-26")</f>
        <v>-26</v>
      </c>
    </row>
    <row r="287">
      <c r="A287" s="34" t="s">
        <v>2009</v>
      </c>
      <c r="B287" s="34" t="s">
        <v>4720</v>
      </c>
      <c r="C287" s="34"/>
      <c r="D287" s="13" t="str">
        <f t="shared" si="1"/>
        <v/>
      </c>
      <c r="E287" s="42">
        <f>countif(Constants!F:F,F287)</f>
        <v>1</v>
      </c>
      <c r="F287" s="21" t="str">
        <f>ifna(VLOOKUP($A287,'v2006'!$A:$F,6,false),"")</f>
        <v>ShieldedProtonMagneticMomentToBohrMagnetonRatio</v>
      </c>
      <c r="G287" s="21" t="str">
        <f>IFERROR(__xludf.DUMMYFUNCTION("REGEXREPLACE(substitute(substitute(B287,"" "",""""),""..."",""""),""\(.*\)"","""")"),"1.520993132e-3")</f>
        <v>1.520993132e-3</v>
      </c>
      <c r="H287" s="43">
        <f t="shared" si="2"/>
        <v>0.001520993132</v>
      </c>
      <c r="I287" s="21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43">
        <f t="shared" si="3"/>
        <v>0</v>
      </c>
      <c r="K287" s="43" t="b">
        <f t="shared" si="4"/>
        <v>0</v>
      </c>
      <c r="L287" s="21" t="str">
        <f>IFERROR(__xludf.DUMMYFUNCTION("if(regexmatch(B287,""e(.*)$""),regexextract(B287,""e(.*)$""),"""")"),"-3")</f>
        <v>-3</v>
      </c>
    </row>
    <row r="288">
      <c r="A288" s="34" t="s">
        <v>2014</v>
      </c>
      <c r="B288" s="34" t="s">
        <v>4721</v>
      </c>
      <c r="C288" s="34"/>
      <c r="D288" s="13" t="str">
        <f t="shared" si="1"/>
        <v/>
      </c>
      <c r="E288" s="42">
        <f>countif(Constants!F:F,F288)</f>
        <v>1</v>
      </c>
      <c r="F288" s="21" t="str">
        <f>ifna(VLOOKUP($A288,'v2006'!$A:$F,6,false),"")</f>
        <v>ShieldedProtonMagneticMomentToNuclearMagnetonRatio</v>
      </c>
      <c r="G288" s="21" t="str">
        <f>IFERROR(__xludf.DUMMYFUNCTION("REGEXREPLACE(substitute(substitute(B288,"" "",""""),""..."",""""),""\(.*\)"","""")"),"2.792775604")</f>
        <v>2.792775604</v>
      </c>
      <c r="H288" s="43">
        <f t="shared" si="2"/>
        <v>2.792775604</v>
      </c>
      <c r="I288" s="21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43">
        <f t="shared" si="3"/>
        <v>0.0000000003</v>
      </c>
      <c r="K288" s="43" t="b">
        <f t="shared" si="4"/>
        <v>0</v>
      </c>
      <c r="L288" s="21" t="str">
        <f>IFERROR(__xludf.DUMMYFUNCTION("if(regexmatch(B288,""e(.*)$""),regexextract(B288,""e(.*)$""),"""")"),"")</f>
        <v/>
      </c>
    </row>
    <row r="289">
      <c r="A289" s="34" t="s">
        <v>2021</v>
      </c>
      <c r="B289" s="34" t="s">
        <v>2474</v>
      </c>
      <c r="C289" s="34" t="s">
        <v>4209</v>
      </c>
      <c r="D289" s="13" t="str">
        <f t="shared" si="1"/>
        <v>m s^-1</v>
      </c>
      <c r="E289" s="42">
        <f>countif(Constants!F:F,F289)</f>
        <v>1</v>
      </c>
      <c r="F289" s="21" t="str">
        <f>ifna(VLOOKUP($A289,'v2006'!$A:$F,6,false),"")</f>
        <v>SpeedOfLight_Vacuum</v>
      </c>
      <c r="G289" s="21" t="str">
        <f>IFERROR(__xludf.DUMMYFUNCTION("REGEXREPLACE(substitute(substitute(B289,"" "",""""),""..."",""""),""\(.*\)"","""")"),"299792458")</f>
        <v>299792458</v>
      </c>
      <c r="H289" s="43">
        <f t="shared" si="2"/>
        <v>299792458</v>
      </c>
      <c r="I289" s="21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43" t="str">
        <f t="shared" si="3"/>
        <v/>
      </c>
      <c r="K289" s="43" t="b">
        <f t="shared" si="4"/>
        <v>0</v>
      </c>
      <c r="L289" s="21" t="str">
        <f>IFERROR(__xludf.DUMMYFUNCTION("if(regexmatch(B289,""e(.*)$""),regexextract(B289,""e(.*)$""),"""")"),"")</f>
        <v/>
      </c>
    </row>
    <row r="290">
      <c r="A290" s="34" t="s">
        <v>2026</v>
      </c>
      <c r="B290" s="34" t="s">
        <v>2706</v>
      </c>
      <c r="C290" s="34" t="s">
        <v>4475</v>
      </c>
      <c r="D290" s="13" t="str">
        <f t="shared" si="1"/>
        <v>m s^-2</v>
      </c>
      <c r="E290" s="42">
        <f>countif(Constants!F:F,F290)</f>
        <v>1</v>
      </c>
      <c r="F290" s="21" t="str">
        <f>ifna(VLOOKUP($A290,'v2006'!$A:$F,6,false),"")</f>
        <v>StandardAccelerationOfGravity</v>
      </c>
      <c r="G290" s="21" t="str">
        <f>IFERROR(__xludf.DUMMYFUNCTION("REGEXREPLACE(substitute(substitute(B290,"" "",""""),""..."",""""),""\(.*\)"","""")"),"9.80665")</f>
        <v>9.80665</v>
      </c>
      <c r="H290" s="43">
        <f t="shared" si="2"/>
        <v>9.80665</v>
      </c>
      <c r="I290" s="21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43" t="str">
        <f t="shared" si="3"/>
        <v/>
      </c>
      <c r="K290" s="43" t="b">
        <f t="shared" si="4"/>
        <v>0</v>
      </c>
      <c r="L290" s="21" t="str">
        <f>IFERROR(__xludf.DUMMYFUNCTION("if(regexmatch(B290,""e(.*)$""),regexextract(B290,""e(.*)$""),"""")"),"")</f>
        <v/>
      </c>
    </row>
    <row r="291">
      <c r="A291" s="34" t="s">
        <v>2033</v>
      </c>
      <c r="B291" s="34" t="s">
        <v>2707</v>
      </c>
      <c r="C291" s="34" t="s">
        <v>2034</v>
      </c>
      <c r="D291" s="13" t="str">
        <f t="shared" si="1"/>
        <v>Pa</v>
      </c>
      <c r="E291" s="42">
        <f>countif(Constants!F:F,F291)</f>
        <v>1</v>
      </c>
      <c r="F291" s="21" t="str">
        <f>ifna(VLOOKUP($A291,'v2006'!$A:$F,6,false),"")</f>
        <v>StandardAtmosphere</v>
      </c>
      <c r="G291" s="21" t="str">
        <f>IFERROR(__xludf.DUMMYFUNCTION("REGEXREPLACE(substitute(substitute(B291,"" "",""""),""..."",""""),""\(.*\)"","""")"),"101325")</f>
        <v>101325</v>
      </c>
      <c r="H291" s="43">
        <f t="shared" si="2"/>
        <v>101325</v>
      </c>
      <c r="I291" s="21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43" t="str">
        <f t="shared" si="3"/>
        <v/>
      </c>
      <c r="K291" s="43" t="b">
        <f t="shared" si="4"/>
        <v>0</v>
      </c>
      <c r="L291" s="21" t="str">
        <f>IFERROR(__xludf.DUMMYFUNCTION("if(regexmatch(B291,""e(.*)$""),regexextract(B291,""e(.*)$""),"""")"),"")</f>
        <v/>
      </c>
    </row>
    <row r="292">
      <c r="A292" s="34" t="s">
        <v>2041</v>
      </c>
      <c r="B292" s="34" t="s">
        <v>4476</v>
      </c>
      <c r="C292" s="34" t="s">
        <v>4477</v>
      </c>
      <c r="D292" s="13" t="str">
        <f t="shared" si="1"/>
        <v>W m^-2 K^-4</v>
      </c>
      <c r="E292" s="42">
        <f>countif(Constants!F:F,F292)</f>
        <v>1</v>
      </c>
      <c r="F292" s="21" t="str">
        <f>ifna(VLOOKUP($A292,'v2006'!$A:$F,6,false),"")</f>
        <v>StefanBoltzmannConstant</v>
      </c>
      <c r="G292" s="21" t="str">
        <f>IFERROR(__xludf.DUMMYFUNCTION("REGEXREPLACE(substitute(substitute(B292,"" "",""""),""..."",""""),""\(.*\)"","""")"),"5.670400e-8")</f>
        <v>5.670400e-8</v>
      </c>
      <c r="H292" s="43">
        <f t="shared" si="2"/>
        <v>0.000000056704</v>
      </c>
      <c r="I292" s="21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43">
        <f t="shared" si="3"/>
        <v>0</v>
      </c>
      <c r="K292" s="43" t="b">
        <f t="shared" si="4"/>
        <v>0</v>
      </c>
      <c r="L292" s="21" t="str">
        <f>IFERROR(__xludf.DUMMYFUNCTION("if(regexmatch(B292,""e(.*)$""),regexextract(B292,""e(.*)$""),"""")"),"-8")</f>
        <v>-8</v>
      </c>
    </row>
    <row r="293">
      <c r="A293" s="34" t="s">
        <v>2047</v>
      </c>
      <c r="B293" s="34" t="s">
        <v>4478</v>
      </c>
      <c r="C293" s="34" t="s">
        <v>571</v>
      </c>
      <c r="D293" s="13" t="str">
        <f t="shared" si="1"/>
        <v>m</v>
      </c>
      <c r="E293" s="42">
        <f>countif(Constants!F:F,F293)</f>
        <v>1</v>
      </c>
      <c r="F293" s="21" t="str">
        <f>ifna(VLOOKUP($A293,'v2006'!$A:$F,6,false),"")</f>
        <v>TauComptonWavelength</v>
      </c>
      <c r="G293" s="21" t="str">
        <f>IFERROR(__xludf.DUMMYFUNCTION("REGEXREPLACE(substitute(substitute(B293,"" "",""""),""..."",""""),""\(.*\)"","""")"),"0.69772e-15")</f>
        <v>0.69772e-15</v>
      </c>
      <c r="H293" s="43">
        <f t="shared" si="2"/>
        <v>0</v>
      </c>
      <c r="I293" s="21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43">
        <f t="shared" si="3"/>
        <v>0</v>
      </c>
      <c r="K293" s="43" t="b">
        <f t="shared" si="4"/>
        <v>0</v>
      </c>
      <c r="L293" s="21" t="str">
        <f>IFERROR(__xludf.DUMMYFUNCTION("if(regexmatch(B293,""e(.*)$""),regexextract(B293,""e(.*)$""),"""")"),"-15")</f>
        <v>-15</v>
      </c>
    </row>
    <row r="294">
      <c r="A294" s="34" t="s">
        <v>2050</v>
      </c>
      <c r="B294" s="34" t="s">
        <v>4479</v>
      </c>
      <c r="C294" s="34" t="s">
        <v>571</v>
      </c>
      <c r="D294" s="13" t="str">
        <f t="shared" si="1"/>
        <v>m</v>
      </c>
      <c r="E294" s="42">
        <f>countif(Constants!F:F,F294)</f>
        <v>1</v>
      </c>
      <c r="F294" s="21" t="str">
        <f>ifna(VLOOKUP($A294,'v2006'!$A:$F,6,false),"")</f>
        <v>TauComptonWavelengthOver2Pi</v>
      </c>
      <c r="G294" s="21" t="str">
        <f>IFERROR(__xludf.DUMMYFUNCTION("REGEXREPLACE(substitute(substitute(B294,"" "",""""),""..."",""""),""\(.*\)"","""")"),"0.111046e-15")</f>
        <v>0.111046e-15</v>
      </c>
      <c r="H294" s="43">
        <f t="shared" si="2"/>
        <v>0</v>
      </c>
      <c r="I294" s="21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43">
        <f t="shared" si="3"/>
        <v>0</v>
      </c>
      <c r="K294" s="43" t="b">
        <f t="shared" si="4"/>
        <v>0</v>
      </c>
      <c r="L294" s="21" t="str">
        <f>IFERROR(__xludf.DUMMYFUNCTION("if(regexmatch(B294,""e(.*)$""),regexextract(B294,""e(.*)$""),"""")"),"-15")</f>
        <v>-15</v>
      </c>
    </row>
    <row r="295">
      <c r="A295" s="34" t="s">
        <v>2071</v>
      </c>
      <c r="B295" s="34" t="s">
        <v>4480</v>
      </c>
      <c r="C295" s="34" t="s">
        <v>548</v>
      </c>
      <c r="D295" s="13" t="str">
        <f t="shared" si="1"/>
        <v>MeV</v>
      </c>
      <c r="E295" s="42">
        <f>countif(Constants!F:F,F295)</f>
        <v>1</v>
      </c>
      <c r="F295" s="21" t="str">
        <f>ifna(VLOOKUP($A295,'v2006'!$A:$F,6,false),"")</f>
        <v>TauMassEnergyEquivalentInMeV</v>
      </c>
      <c r="G295" s="21" t="str">
        <f>IFERROR(__xludf.DUMMYFUNCTION("REGEXREPLACE(substitute(substitute(B295,"" "",""""),""..."",""""),""\(.*\)"","""")"),"1776.99")</f>
        <v>1776.99</v>
      </c>
      <c r="H295" s="43">
        <f t="shared" si="2"/>
        <v>1776.99</v>
      </c>
      <c r="I295" s="21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43">
        <f t="shared" si="3"/>
        <v>0.0029</v>
      </c>
      <c r="K295" s="43" t="b">
        <f t="shared" si="4"/>
        <v>0</v>
      </c>
      <c r="L295" s="21" t="str">
        <f>IFERROR(__xludf.DUMMYFUNCTION("if(regexmatch(B295,""e(.*)$""),regexextract(B295,""e(.*)$""),"""")"),"")</f>
        <v/>
      </c>
    </row>
    <row r="296">
      <c r="A296" s="34" t="s">
        <v>2062</v>
      </c>
      <c r="B296" s="34" t="s">
        <v>4481</v>
      </c>
      <c r="C296" s="34" t="s">
        <v>538</v>
      </c>
      <c r="D296" s="13" t="str">
        <f t="shared" si="1"/>
        <v>kg</v>
      </c>
      <c r="E296" s="42">
        <f>countif(Constants!F:F,F296)</f>
        <v>1</v>
      </c>
      <c r="F296" s="21" t="str">
        <f>ifna(VLOOKUP($A296,'v2006'!$A:$F,6,false),"")</f>
        <v>TauMass</v>
      </c>
      <c r="G296" s="21" t="str">
        <f>IFERROR(__xludf.DUMMYFUNCTION("REGEXREPLACE(substitute(substitute(B296,"" "",""""),""..."",""""),""\(.*\)"","""")"),"3.16777e-27")</f>
        <v>3.16777e-27</v>
      </c>
      <c r="H296" s="43">
        <f t="shared" si="2"/>
        <v>0</v>
      </c>
      <c r="I296" s="21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43">
        <f t="shared" si="3"/>
        <v>0</v>
      </c>
      <c r="K296" s="43" t="b">
        <f t="shared" si="4"/>
        <v>0</v>
      </c>
      <c r="L296" s="21" t="str">
        <f>IFERROR(__xludf.DUMMYFUNCTION("if(regexmatch(B296,""e(.*)$""),regexextract(B296,""e(.*)$""),"""")"),"-27")</f>
        <v>-27</v>
      </c>
    </row>
    <row r="297">
      <c r="A297" s="34" t="s">
        <v>2066</v>
      </c>
      <c r="B297" s="34" t="s">
        <v>4482</v>
      </c>
      <c r="C297" s="34" t="s">
        <v>543</v>
      </c>
      <c r="D297" s="13" t="str">
        <f t="shared" si="1"/>
        <v>J</v>
      </c>
      <c r="E297" s="42">
        <f>countif(Constants!F:F,F297)</f>
        <v>1</v>
      </c>
      <c r="F297" s="21" t="str">
        <f>ifna(VLOOKUP($A297,'v2006'!$A:$F,6,false),"")</f>
        <v>TauMassEnergyEquivalent</v>
      </c>
      <c r="G297" s="21" t="str">
        <f>IFERROR(__xludf.DUMMYFUNCTION("REGEXREPLACE(substitute(substitute(B297,"" "",""""),""..."",""""),""\(.*\)"","""")"),"2.84705e-10")</f>
        <v>2.84705e-10</v>
      </c>
      <c r="H297" s="43">
        <f t="shared" si="2"/>
        <v>0.000000000284705</v>
      </c>
      <c r="I297" s="21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43">
        <f t="shared" si="3"/>
        <v>0</v>
      </c>
      <c r="K297" s="43" t="b">
        <f t="shared" si="4"/>
        <v>0</v>
      </c>
      <c r="L297" s="21" t="str">
        <f>IFERROR(__xludf.DUMMYFUNCTION("if(regexmatch(B297,""e(.*)$""),regexextract(B297,""e(.*)$""),"""")"),"-10")</f>
        <v>-10</v>
      </c>
    </row>
    <row r="298">
      <c r="A298" s="34" t="s">
        <v>2074</v>
      </c>
      <c r="B298" s="34" t="s">
        <v>4483</v>
      </c>
      <c r="C298" s="34" t="s">
        <v>553</v>
      </c>
      <c r="D298" s="13" t="str">
        <f t="shared" si="1"/>
        <v>u</v>
      </c>
      <c r="E298" s="42">
        <f>countif(Constants!F:F,F298)</f>
        <v>1</v>
      </c>
      <c r="F298" s="21" t="str">
        <f>ifna(VLOOKUP($A298,'v2006'!$A:$F,6,false),"")</f>
        <v>TauMassInAtomicMassUnit</v>
      </c>
      <c r="G298" s="21" t="str">
        <f>IFERROR(__xludf.DUMMYFUNCTION("REGEXREPLACE(substitute(substitute(B298,"" "",""""),""..."",""""),""\(.*\)"","""")"),"1.90768")</f>
        <v>1.90768</v>
      </c>
      <c r="H298" s="43">
        <f t="shared" si="2"/>
        <v>1.90768</v>
      </c>
      <c r="I298" s="21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43">
        <f t="shared" si="3"/>
        <v>0.0000031</v>
      </c>
      <c r="K298" s="43" t="b">
        <f t="shared" si="4"/>
        <v>0</v>
      </c>
      <c r="L298" s="21" t="str">
        <f>IFERROR(__xludf.DUMMYFUNCTION("if(regexmatch(B298,""e(.*)$""),regexextract(B298,""e(.*)$""),"""")"),"")</f>
        <v/>
      </c>
    </row>
    <row r="299">
      <c r="A299" s="34" t="s">
        <v>2077</v>
      </c>
      <c r="B299" s="34" t="s">
        <v>4484</v>
      </c>
      <c r="C299" s="34" t="s">
        <v>4163</v>
      </c>
      <c r="D299" s="13" t="str">
        <f t="shared" si="1"/>
        <v>kg mol^-1</v>
      </c>
      <c r="E299" s="42">
        <f>countif(Constants!F:F,F299)</f>
        <v>1</v>
      </c>
      <c r="F299" s="21" t="str">
        <f>ifna(VLOOKUP($A299,'v2006'!$A:$F,6,false),"")</f>
        <v>TauMolarMass</v>
      </c>
      <c r="G299" s="21" t="str">
        <f>IFERROR(__xludf.DUMMYFUNCTION("REGEXREPLACE(substitute(substitute(B299,"" "",""""),""..."",""""),""\(.*\)"","""")"),"1.90768e-3")</f>
        <v>1.90768e-3</v>
      </c>
      <c r="H299" s="43">
        <f t="shared" si="2"/>
        <v>0.00190768</v>
      </c>
      <c r="I299" s="21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43">
        <f t="shared" si="3"/>
        <v>0.0000000031</v>
      </c>
      <c r="K299" s="43" t="b">
        <f t="shared" si="4"/>
        <v>0</v>
      </c>
      <c r="L299" s="21" t="str">
        <f>IFERROR(__xludf.DUMMYFUNCTION("if(regexmatch(B299,""e(.*)$""),regexextract(B299,""e(.*)$""),"""")"),"-3")</f>
        <v>-3</v>
      </c>
    </row>
    <row r="300">
      <c r="A300" s="34" t="s">
        <v>2057</v>
      </c>
      <c r="B300" s="34" t="s">
        <v>4485</v>
      </c>
      <c r="C300" s="34"/>
      <c r="D300" s="13" t="str">
        <f t="shared" si="1"/>
        <v/>
      </c>
      <c r="E300" s="42">
        <f>countif(Constants!F:F,F300)</f>
        <v>1</v>
      </c>
      <c r="F300" s="21" t="str">
        <f>ifna(VLOOKUP($A300,'v2006'!$A:$F,6,false),"")</f>
        <v>TauElectronMassRatio</v>
      </c>
      <c r="G300" s="21" t="str">
        <f>IFERROR(__xludf.DUMMYFUNCTION("REGEXREPLACE(substitute(substitute(B300,"" "",""""),""..."",""""),""\(.*\)"","""")"),"3477.48")</f>
        <v>3477.48</v>
      </c>
      <c r="H300" s="43">
        <f t="shared" si="2"/>
        <v>3477.48</v>
      </c>
      <c r="I300" s="21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43">
        <f t="shared" si="3"/>
        <v>0.0057</v>
      </c>
      <c r="K300" s="43" t="b">
        <f t="shared" si="4"/>
        <v>0</v>
      </c>
      <c r="L300" s="21" t="str">
        <f>IFERROR(__xludf.DUMMYFUNCTION("if(regexmatch(B300,""e(.*)$""),regexextract(B300,""e(.*)$""),"""")"),"")</f>
        <v/>
      </c>
    </row>
    <row r="301">
      <c r="A301" s="34" t="s">
        <v>2081</v>
      </c>
      <c r="B301" s="34" t="s">
        <v>4486</v>
      </c>
      <c r="C301" s="34"/>
      <c r="D301" s="13" t="str">
        <f t="shared" si="1"/>
        <v/>
      </c>
      <c r="E301" s="42">
        <f>countif(Constants!F:F,F301)</f>
        <v>1</v>
      </c>
      <c r="F301" s="21" t="str">
        <f>ifna(VLOOKUP($A301,'v2006'!$A:$F,6,false),"")</f>
        <v>TauMuonMassRatio</v>
      </c>
      <c r="G301" s="21" t="str">
        <f>IFERROR(__xludf.DUMMYFUNCTION("REGEXREPLACE(substitute(substitute(B301,"" "",""""),""..."",""""),""\(.*\)"","""")"),"16.8183")</f>
        <v>16.8183</v>
      </c>
      <c r="H301" s="43">
        <f t="shared" si="2"/>
        <v>16.8183</v>
      </c>
      <c r="I301" s="21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43">
        <f t="shared" si="3"/>
        <v>0.000027</v>
      </c>
      <c r="K301" s="43" t="b">
        <f t="shared" si="4"/>
        <v>0</v>
      </c>
      <c r="L301" s="21" t="str">
        <f>IFERROR(__xludf.DUMMYFUNCTION("if(regexmatch(B301,""e(.*)$""),regexextract(B301,""e(.*)$""),"""")"),"")</f>
        <v/>
      </c>
    </row>
    <row r="302">
      <c r="A302" s="34" t="s">
        <v>2086</v>
      </c>
      <c r="B302" s="34" t="s">
        <v>4487</v>
      </c>
      <c r="C302" s="34"/>
      <c r="D302" s="13" t="str">
        <f t="shared" si="1"/>
        <v/>
      </c>
      <c r="E302" s="42">
        <f>countif(Constants!F:F,F302)</f>
        <v>1</v>
      </c>
      <c r="F302" s="21" t="str">
        <f>ifna(VLOOKUP($A302,'v2006'!$A:$F,6,false),"")</f>
        <v>TauNeutronMassRatio</v>
      </c>
      <c r="G302" s="21" t="str">
        <f>IFERROR(__xludf.DUMMYFUNCTION("REGEXREPLACE(substitute(substitute(B302,"" "",""""),""..."",""""),""\(.*\)"","""")"),"1.89129")</f>
        <v>1.89129</v>
      </c>
      <c r="H302" s="43">
        <f t="shared" si="2"/>
        <v>1.89129</v>
      </c>
      <c r="I302" s="21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43">
        <f t="shared" si="3"/>
        <v>0.0000031</v>
      </c>
      <c r="K302" s="43" t="b">
        <f t="shared" si="4"/>
        <v>0</v>
      </c>
      <c r="L302" s="21" t="str">
        <f>IFERROR(__xludf.DUMMYFUNCTION("if(regexmatch(B302,""e(.*)$""),regexextract(B302,""e(.*)$""),"""")"),"")</f>
        <v/>
      </c>
    </row>
    <row r="303">
      <c r="A303" s="34" t="s">
        <v>2091</v>
      </c>
      <c r="B303" s="34" t="s">
        <v>4488</v>
      </c>
      <c r="C303" s="34"/>
      <c r="D303" s="13" t="str">
        <f t="shared" si="1"/>
        <v/>
      </c>
      <c r="E303" s="42">
        <f>countif(Constants!F:F,F303)</f>
        <v>1</v>
      </c>
      <c r="F303" s="21" t="str">
        <f>ifna(VLOOKUP($A303,'v2006'!$A:$F,6,false),"")</f>
        <v>TauProtonMassRatio</v>
      </c>
      <c r="G303" s="21" t="str">
        <f>IFERROR(__xludf.DUMMYFUNCTION("REGEXREPLACE(substitute(substitute(B303,"" "",""""),""..."",""""),""\(.*\)"","""")"),"1.89390")</f>
        <v>1.89390</v>
      </c>
      <c r="H303" s="43">
        <f t="shared" si="2"/>
        <v>1.8939</v>
      </c>
      <c r="I303" s="21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43">
        <f t="shared" si="3"/>
        <v>0.0000031</v>
      </c>
      <c r="K303" s="43" t="b">
        <f t="shared" si="4"/>
        <v>0</v>
      </c>
      <c r="L303" s="21" t="str">
        <f>IFERROR(__xludf.DUMMYFUNCTION("if(regexmatch(B303,""e(.*)$""),regexextract(B303,""e(.*)$""),"""")"),"")</f>
        <v/>
      </c>
    </row>
    <row r="304">
      <c r="A304" s="34" t="s">
        <v>2096</v>
      </c>
      <c r="B304" s="34" t="s">
        <v>4722</v>
      </c>
      <c r="C304" s="34" t="s">
        <v>2097</v>
      </c>
      <c r="D304" s="13" t="str">
        <f t="shared" si="1"/>
        <v>m^2</v>
      </c>
      <c r="E304" s="42">
        <f>countif(Constants!F:F,F304)</f>
        <v>1</v>
      </c>
      <c r="F304" s="21" t="str">
        <f>ifna(VLOOKUP($A304,'v2006'!$A:$F,6,false),"")</f>
        <v>ThomsonCrossSection</v>
      </c>
      <c r="G304" s="21" t="str">
        <f>IFERROR(__xludf.DUMMYFUNCTION("REGEXREPLACE(substitute(substitute(B304,"" "",""""),""..."",""""),""\(.*\)"","""")"),"0.665245873e-28")</f>
        <v>0.665245873e-28</v>
      </c>
      <c r="H304" s="43">
        <f t="shared" si="2"/>
        <v>0</v>
      </c>
      <c r="I304" s="21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43">
        <f t="shared" si="3"/>
        <v>0</v>
      </c>
      <c r="K304" s="43" t="b">
        <f t="shared" si="4"/>
        <v>0</v>
      </c>
      <c r="L304" s="21" t="str">
        <f>IFERROR(__xludf.DUMMYFUNCTION("if(regexmatch(B304,""e(.*)$""),regexextract(B304,""e(.*)$""),"""")"),"-28")</f>
        <v>-28</v>
      </c>
    </row>
    <row r="305">
      <c r="A305" s="34" t="s">
        <v>2168</v>
      </c>
      <c r="B305" s="34" t="s">
        <v>4516</v>
      </c>
      <c r="C305" s="34" t="s">
        <v>538</v>
      </c>
      <c r="D305" s="13" t="str">
        <f t="shared" si="1"/>
        <v>kg</v>
      </c>
      <c r="E305" s="42">
        <f>countif(Constants!F:F,F305)</f>
        <v>1</v>
      </c>
      <c r="F305" s="21" t="str">
        <f>ifna(VLOOKUP($A305,'v2006'!$A:$F,6,false),"")</f>
        <v>UnifiedAtomicMassUnit</v>
      </c>
      <c r="G305" s="21" t="str">
        <f>IFERROR(__xludf.DUMMYFUNCTION("REGEXREPLACE(substitute(substitute(B305,"" "",""""),""..."",""""),""\(.*\)"","""")"),"1.66053886e-27")</f>
        <v>1.66053886e-27</v>
      </c>
      <c r="H305" s="43">
        <f t="shared" si="2"/>
        <v>0</v>
      </c>
      <c r="I305" s="21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43">
        <f t="shared" si="3"/>
        <v>0</v>
      </c>
      <c r="K305" s="43" t="b">
        <f t="shared" si="4"/>
        <v>0</v>
      </c>
      <c r="L305" s="21" t="str">
        <f>IFERROR(__xludf.DUMMYFUNCTION("if(regexmatch(B305,""e(.*)$""),regexextract(B305,""e(.*)$""),"""")"),"-27")</f>
        <v>-27</v>
      </c>
    </row>
    <row r="306">
      <c r="A306" s="34" t="s">
        <v>2192</v>
      </c>
      <c r="B306" s="34" t="s">
        <v>4723</v>
      </c>
      <c r="C306" s="34" t="s">
        <v>816</v>
      </c>
      <c r="D306" s="13" t="str">
        <f t="shared" si="1"/>
        <v>Ohm</v>
      </c>
      <c r="E306" s="42">
        <f>countif(Constants!F:F,F306)</f>
        <v>1</v>
      </c>
      <c r="F306" s="21" t="str">
        <f>ifna(VLOOKUP($A306,'v2006'!$A:$F,6,false),"")</f>
        <v>VonKlitzingConstant</v>
      </c>
      <c r="G306" s="21" t="str">
        <f>IFERROR(__xludf.DUMMYFUNCTION("REGEXREPLACE(substitute(substitute(B306,"" "",""""),""..."",""""),""\(.*\)"","""")"),"25812.807449")</f>
        <v>25812.807449</v>
      </c>
      <c r="H306" s="43">
        <f t="shared" si="2"/>
        <v>25812.80745</v>
      </c>
      <c r="I306" s="21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43">
        <f t="shared" si="3"/>
        <v>0.00000086</v>
      </c>
      <c r="K306" s="43" t="b">
        <f t="shared" si="4"/>
        <v>0</v>
      </c>
      <c r="L306" s="21" t="str">
        <f>IFERROR(__xludf.DUMMYFUNCTION("if(regexmatch(B306,""e(.*)$""),regexextract(B306,""e(.*)$""),"""")"),"")</f>
        <v/>
      </c>
    </row>
    <row r="307">
      <c r="A307" s="34" t="s">
        <v>2197</v>
      </c>
      <c r="B307" s="34" t="s">
        <v>4724</v>
      </c>
      <c r="C307" s="34"/>
      <c r="D307" s="13" t="str">
        <f t="shared" si="1"/>
        <v/>
      </c>
      <c r="E307" s="42">
        <f>countif(Constants!F:F,F307)</f>
        <v>1</v>
      </c>
      <c r="F307" s="21" t="str">
        <f>ifna(VLOOKUP($A307,'v2006'!$A:$F,6,false),"")</f>
        <v>WeakMixingAngle</v>
      </c>
      <c r="G307" s="21" t="str">
        <f>IFERROR(__xludf.DUMMYFUNCTION("REGEXREPLACE(substitute(substitute(B307,"" "",""""),""..."",""""),""\(.*\)"","""")"),"0.22215")</f>
        <v>0.22215</v>
      </c>
      <c r="H307" s="43">
        <f t="shared" si="2"/>
        <v>0.22215</v>
      </c>
      <c r="I307" s="21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43">
        <f t="shared" si="3"/>
        <v>0.0000076</v>
      </c>
      <c r="K307" s="43" t="b">
        <f t="shared" si="4"/>
        <v>0</v>
      </c>
      <c r="L307" s="21" t="str">
        <f>IFERROR(__xludf.DUMMYFUNCTION("if(regexmatch(B307,""e(.*)$""),regexextract(B307,""e(.*)$""),"""")"),"")</f>
        <v/>
      </c>
    </row>
    <row r="308">
      <c r="A308" s="34" t="s">
        <v>4725</v>
      </c>
      <c r="B308" s="34" t="s">
        <v>4726</v>
      </c>
      <c r="C308" s="34" t="s">
        <v>1955</v>
      </c>
      <c r="D308" s="13" t="str">
        <f t="shared" si="1"/>
        <v>m K</v>
      </c>
      <c r="E308" s="42">
        <f>countif(Constants!F:F,F308)</f>
        <v>1</v>
      </c>
      <c r="F308" s="47" t="s">
        <v>506</v>
      </c>
      <c r="G308" s="21" t="str">
        <f>IFERROR(__xludf.DUMMYFUNCTION("REGEXREPLACE(substitute(substitute(B308,"" "",""""),""..."",""""),""\(.*\)"","""")"),"2.8977686e-3")</f>
        <v>2.8977686e-3</v>
      </c>
      <c r="H308" s="43">
        <f t="shared" si="2"/>
        <v>0.0028977686</v>
      </c>
      <c r="I308" s="21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43">
        <f t="shared" si="3"/>
        <v>0</v>
      </c>
      <c r="K308" s="43" t="b">
        <f t="shared" si="4"/>
        <v>0</v>
      </c>
      <c r="L308" s="21" t="str">
        <f>IFERROR(__xludf.DUMMYFUNCTION("if(regexmatch(B308,""e(.*)$""),regexextract(B308,""e(.*)$""),"""")"),"-3")</f>
        <v>-3</v>
      </c>
    </row>
  </sheetData>
  <conditionalFormatting sqref="E2:E308">
    <cfRule type="cellIs" dxfId="0" priority="1" operator="notEqual">
      <formula>1</formula>
    </cfRule>
  </conditionalFormatting>
  <conditionalFormatting sqref="E308">
    <cfRule type="cellIs" dxfId="0" priority="2" operator="notEqual">
      <formula>1</formula>
    </cfRule>
  </conditionalFormatting>
  <conditionalFormatting sqref="E296">
    <cfRule type="cellIs" dxfId="0" priority="3" operator="notEqual">
      <formula>1</formula>
    </cfRule>
  </conditionalFormatting>
  <conditionalFormatting sqref="E279:E290">
    <cfRule type="cellIs" dxfId="0" priority="4" operator="notEqual">
      <formula>1</formula>
    </cfRule>
  </conditionalFormatting>
  <conditionalFormatting sqref="E276:E277">
    <cfRule type="cellIs" dxfId="0" priority="5" operator="notEqual">
      <formula>1</formula>
    </cfRule>
  </conditionalFormatting>
  <conditionalFormatting sqref="E267">
    <cfRule type="cellIs" dxfId="0" priority="6" operator="notEqual">
      <formula>1</formula>
    </cfRule>
  </conditionalFormatting>
  <conditionalFormatting sqref="E253:E258">
    <cfRule type="cellIs" dxfId="0" priority="7" operator="notEqual">
      <formula>1</formula>
    </cfRule>
  </conditionalFormatting>
  <conditionalFormatting sqref="E250">
    <cfRule type="cellIs" dxfId="0" priority="8" operator="notEqual">
      <formula>1</formula>
    </cfRule>
  </conditionalFormatting>
  <conditionalFormatting sqref="E240:E243">
    <cfRule type="cellIs" dxfId="0" priority="9" operator="notEqual">
      <formula>1</formula>
    </cfRule>
  </conditionalFormatting>
  <conditionalFormatting sqref="E238">
    <cfRule type="cellIs" dxfId="0" priority="10" operator="notEqual">
      <formula>1</formula>
    </cfRule>
  </conditionalFormatting>
  <conditionalFormatting sqref="E229">
    <cfRule type="cellIs" dxfId="0" priority="11" operator="notEqual">
      <formula>1</formula>
    </cfRule>
  </conditionalFormatting>
  <conditionalFormatting sqref="E225:E226">
    <cfRule type="cellIs" dxfId="0" priority="12" operator="notEqual">
      <formula>1</formula>
    </cfRule>
  </conditionalFormatting>
  <conditionalFormatting sqref="E215:E219">
    <cfRule type="cellIs" dxfId="0" priority="13" operator="notEqual">
      <formula>1</formula>
    </cfRule>
  </conditionalFormatting>
  <conditionalFormatting sqref="E213">
    <cfRule type="cellIs" dxfId="0" priority="14" operator="notEqual">
      <formula>1</formula>
    </cfRule>
  </conditionalFormatting>
  <conditionalFormatting sqref="E199">
    <cfRule type="cellIs" dxfId="0" priority="15" operator="notEqual">
      <formula>1</formula>
    </cfRule>
  </conditionalFormatting>
  <conditionalFormatting sqref="E188:E191">
    <cfRule type="cellIs" dxfId="0" priority="16" operator="notEqual">
      <formula>1</formula>
    </cfRule>
  </conditionalFormatting>
  <conditionalFormatting sqref="E186">
    <cfRule type="cellIs" dxfId="0" priority="17" operator="notEqual">
      <formula>1</formula>
    </cfRule>
  </conditionalFormatting>
  <conditionalFormatting sqref="E178">
    <cfRule type="cellIs" dxfId="0" priority="18" operator="notEqual">
      <formula>1</formula>
    </cfRule>
  </conditionalFormatting>
  <conditionalFormatting sqref="E174:E176">
    <cfRule type="cellIs" dxfId="0" priority="19" operator="notEqual">
      <formula>1</formula>
    </cfRule>
  </conditionalFormatting>
  <conditionalFormatting sqref="E172">
    <cfRule type="cellIs" dxfId="0" priority="20" operator="notEqual">
      <formula>1</formula>
    </cfRule>
  </conditionalFormatting>
  <conditionalFormatting sqref="E118">
    <cfRule type="cellIs" dxfId="0" priority="21" operator="notEqual">
      <formula>1</formula>
    </cfRule>
  </conditionalFormatting>
  <conditionalFormatting sqref="E110">
    <cfRule type="cellIs" dxfId="0" priority="22" operator="notEqual">
      <formula>1</formula>
    </cfRule>
  </conditionalFormatting>
  <conditionalFormatting sqref="E107">
    <cfRule type="cellIs" dxfId="0" priority="23" operator="notEqual">
      <formula>1</formula>
    </cfRule>
  </conditionalFormatting>
  <conditionalFormatting sqref="E105">
    <cfRule type="cellIs" dxfId="0" priority="24" operator="notEqual">
      <formula>1</formula>
    </cfRule>
  </conditionalFormatting>
  <conditionalFormatting sqref="E103">
    <cfRule type="cellIs" dxfId="0" priority="25" operator="notEqual">
      <formula>1</formula>
    </cfRule>
  </conditionalFormatting>
  <conditionalFormatting sqref="E101">
    <cfRule type="cellIs" dxfId="0" priority="26" operator="notEqual">
      <formula>1</formula>
    </cfRule>
  </conditionalFormatting>
  <conditionalFormatting sqref="E91:E92">
    <cfRule type="cellIs" dxfId="0" priority="27" operator="notEqual">
      <formula>1</formula>
    </cfRule>
  </conditionalFormatting>
  <conditionalFormatting sqref="E79:E84">
    <cfRule type="cellIs" dxfId="0" priority="28" operator="notEqual">
      <formula>1</formula>
    </cfRule>
  </conditionalFormatting>
  <conditionalFormatting sqref="E76">
    <cfRule type="cellIs" dxfId="0" priority="29" operator="notEqual">
      <formula>1</formula>
    </cfRule>
  </conditionalFormatting>
  <conditionalFormatting sqref="E73:E74">
    <cfRule type="cellIs" dxfId="0" priority="30" operator="notEqual">
      <formula>1</formula>
    </cfRule>
  </conditionalFormatting>
  <conditionalFormatting sqref="E71">
    <cfRule type="cellIs" dxfId="0" priority="31" operator="notEqual">
      <formula>1</formula>
    </cfRule>
  </conditionalFormatting>
  <conditionalFormatting sqref="E62:E64">
    <cfRule type="cellIs" dxfId="0" priority="32" operator="notEqual">
      <formula>1</formula>
    </cfRule>
  </conditionalFormatting>
  <conditionalFormatting sqref="E60">
    <cfRule type="cellIs" dxfId="0" priority="33" operator="notEqual">
      <formula>1</formula>
    </cfRule>
  </conditionalFormatting>
  <conditionalFormatting sqref="E56">
    <cfRule type="cellIs" dxfId="0" priority="34" operator="notEqual">
      <formula>1</formula>
    </cfRule>
  </conditionalFormatting>
  <conditionalFormatting sqref="E52">
    <cfRule type="cellIs" dxfId="0" priority="35" operator="notEqual">
      <formula>1</formula>
    </cfRule>
  </conditionalFormatting>
  <conditionalFormatting sqref="E47">
    <cfRule type="cellIs" dxfId="0" priority="36" operator="notEqual">
      <formula>1</formula>
    </cfRule>
  </conditionalFormatting>
  <conditionalFormatting sqref="E34:E35">
    <cfRule type="cellIs" dxfId="0" priority="37" operator="notEqual">
      <formula>1</formula>
    </cfRule>
  </conditionalFormatting>
  <conditionalFormatting sqref="E30">
    <cfRule type="cellIs" dxfId="0" priority="38" operator="notEqual">
      <formula>1</formula>
    </cfRule>
  </conditionalFormatting>
  <conditionalFormatting sqref="E25">
    <cfRule type="cellIs" dxfId="0" priority="39" operator="notEqual">
      <formula>1</formula>
    </cfRule>
  </conditionalFormatting>
  <drawing r:id="rId1"/>
</worksheet>
</file>