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686D5C36-6C5D-45D2-B4D9-7CEBD5AE4930}" xr6:coauthVersionLast="47" xr6:coauthVersionMax="47" xr10:uidLastSave="{00000000-0000-0000-0000-000000000000}"/>
  <bookViews>
    <workbookView xWindow="-110" yWindow="-110" windowWidth="19420" windowHeight="10420" firstSheet="106" activeTab="112" xr2:uid="{00000000-000D-0000-FFFF-FFFF00000000}"/>
  </bookViews>
  <sheets>
    <sheet name="XB0+000" sheetId="1" r:id="rId1"/>
    <sheet name="XB0+200" sheetId="2" r:id="rId2"/>
    <sheet name="XB0+400" sheetId="3" r:id="rId3"/>
    <sheet name="XB0+600" sheetId="4" r:id="rId4"/>
    <sheet name="XB0+815.59" sheetId="5" r:id="rId5"/>
    <sheet name="XB1+000" sheetId="6" r:id="rId6"/>
    <sheet name="XB1+300" sheetId="7" r:id="rId7"/>
    <sheet name="XB1+400" sheetId="8" r:id="rId8"/>
    <sheet name="XB1+600" sheetId="9" r:id="rId9"/>
    <sheet name="XB1+800" sheetId="10" r:id="rId10"/>
    <sheet name="XB2+000" sheetId="11" r:id="rId11"/>
    <sheet name="XB2+200" sheetId="12" r:id="rId12"/>
    <sheet name="XB2+400" sheetId="13" r:id="rId13"/>
    <sheet name="XB2+600" sheetId="14" r:id="rId14"/>
    <sheet name="XB2+800" sheetId="15" r:id="rId15"/>
    <sheet name="XB3+000" sheetId="16" r:id="rId16"/>
    <sheet name="XB3+200" sheetId="17" r:id="rId17"/>
    <sheet name="XB3+400" sheetId="18" r:id="rId18"/>
    <sheet name="XB3+600" sheetId="19" r:id="rId19"/>
    <sheet name="XB3+800" sheetId="20" r:id="rId20"/>
    <sheet name="XB4+000" sheetId="21" r:id="rId21"/>
    <sheet name="XB4+200" sheetId="22" r:id="rId22"/>
    <sheet name="XB4+400" sheetId="23" r:id="rId23"/>
    <sheet name="XB4+600" sheetId="24" r:id="rId24"/>
    <sheet name="XB4+800" sheetId="25" r:id="rId25"/>
    <sheet name="XB5+000" sheetId="26" r:id="rId26"/>
    <sheet name="XB5+200" sheetId="27" r:id="rId27"/>
    <sheet name="XB5+400" sheetId="28" r:id="rId28"/>
    <sheet name="XB5+600" sheetId="29" r:id="rId29"/>
    <sheet name="XB5+800" sheetId="30" r:id="rId30"/>
    <sheet name="XB6+000" sheetId="31" r:id="rId31"/>
    <sheet name="XB6+200" sheetId="32" r:id="rId32"/>
    <sheet name="XB6+400" sheetId="33" r:id="rId33"/>
    <sheet name="XB6+600" sheetId="34" r:id="rId34"/>
    <sheet name="XB6+800" sheetId="35" r:id="rId35"/>
    <sheet name="XB7+000" sheetId="36" r:id="rId36"/>
    <sheet name="XB7+200" sheetId="37" r:id="rId37"/>
    <sheet name="XB7+400" sheetId="38" r:id="rId38"/>
    <sheet name="XB7+600" sheetId="39" r:id="rId39"/>
    <sheet name="XB7+800" sheetId="40" r:id="rId40"/>
    <sheet name="XB8+000" sheetId="41" r:id="rId41"/>
    <sheet name="XB8+200" sheetId="42" r:id="rId42"/>
    <sheet name="XB8+400" sheetId="43" r:id="rId43"/>
    <sheet name="XB8+600" sheetId="44" r:id="rId44"/>
    <sheet name="XB8+800" sheetId="45" r:id="rId45"/>
    <sheet name="XB9+000" sheetId="46" r:id="rId46"/>
    <sheet name="XB9+200" sheetId="47" r:id="rId47"/>
    <sheet name="XB9+400" sheetId="48" r:id="rId48"/>
    <sheet name="XB9+600" sheetId="49" r:id="rId49"/>
    <sheet name="XB9+800" sheetId="50" r:id="rId50"/>
    <sheet name="XB10+000" sheetId="51" r:id="rId51"/>
    <sheet name="XB10+200" sheetId="52" r:id="rId52"/>
    <sheet name="XB10+400" sheetId="53" r:id="rId53"/>
    <sheet name="XB10+600" sheetId="54" r:id="rId54"/>
    <sheet name="XB10+800" sheetId="55" r:id="rId55"/>
    <sheet name="XB11+000" sheetId="56" r:id="rId56"/>
    <sheet name="XB11+200" sheetId="57" r:id="rId57"/>
    <sheet name="XB11+400" sheetId="58" r:id="rId58"/>
    <sheet name="XB11+600" sheetId="59" r:id="rId59"/>
    <sheet name="XB11+800" sheetId="60" r:id="rId60"/>
    <sheet name="XB12+000" sheetId="61" r:id="rId61"/>
    <sheet name="XB12+200" sheetId="62" r:id="rId62"/>
    <sheet name="XB12+400" sheetId="63" r:id="rId63"/>
    <sheet name="界沟起点" sheetId="121" r:id="rId64"/>
    <sheet name="XB12+600" sheetId="64" r:id="rId65"/>
    <sheet name="XB12+800" sheetId="65" r:id="rId66"/>
    <sheet name="XB13+000" sheetId="66" r:id="rId67"/>
    <sheet name="XB13+200" sheetId="67" r:id="rId68"/>
    <sheet name="XB13+400" sheetId="68" r:id="rId69"/>
    <sheet name="XB13+600" sheetId="69" r:id="rId70"/>
    <sheet name="XB13+800" sheetId="70" r:id="rId71"/>
    <sheet name="XB14+000" sheetId="71" r:id="rId72"/>
    <sheet name="XB14+200" sheetId="72" r:id="rId73"/>
    <sheet name="XB14+400" sheetId="73" r:id="rId74"/>
    <sheet name="XB14+600" sheetId="74" r:id="rId75"/>
    <sheet name="XB14+800" sheetId="75" r:id="rId76"/>
    <sheet name="XB15+000" sheetId="76" r:id="rId77"/>
    <sheet name="XB15+200" sheetId="77" r:id="rId78"/>
    <sheet name="XB15+400" sheetId="78" r:id="rId79"/>
    <sheet name="XB15+600" sheetId="79" r:id="rId80"/>
    <sheet name="XB15+800" sheetId="80" r:id="rId81"/>
    <sheet name="XB16+000" sheetId="81" r:id="rId82"/>
    <sheet name="XB16+200" sheetId="82" r:id="rId83"/>
    <sheet name="XB16+400" sheetId="83" r:id="rId84"/>
    <sheet name="XB16+600" sheetId="84" r:id="rId85"/>
    <sheet name="XB16+800" sheetId="85" r:id="rId86"/>
    <sheet name="XB17+000" sheetId="86" r:id="rId87"/>
    <sheet name="XB17+200" sheetId="87" r:id="rId88"/>
    <sheet name="XB17+400" sheetId="88" r:id="rId89"/>
    <sheet name="道路-3孔桥涵" sheetId="116" r:id="rId90"/>
    <sheet name="XB17+800" sheetId="90" r:id="rId91"/>
    <sheet name="XB18+000" sheetId="91" r:id="rId92"/>
    <sheet name="XB18+200" sheetId="92" r:id="rId93"/>
    <sheet name="XB18+400" sheetId="93" r:id="rId94"/>
    <sheet name="XB18+600" sheetId="94" r:id="rId95"/>
    <sheet name="XB18+800" sheetId="95" r:id="rId96"/>
    <sheet name="XB19+000" sheetId="96" r:id="rId97"/>
    <sheet name="XB19+200" sheetId="97" r:id="rId98"/>
    <sheet name="XB19+400" sheetId="98" r:id="rId99"/>
    <sheet name="XB19+600" sheetId="99" r:id="rId100"/>
    <sheet name="XB19+800" sheetId="100" r:id="rId101"/>
    <sheet name="XB20+000" sheetId="101" r:id="rId102"/>
    <sheet name="XB20+200" sheetId="102" r:id="rId103"/>
    <sheet name="XB20+400" sheetId="103" r:id="rId104"/>
    <sheet name="XB20+600" sheetId="104" r:id="rId105"/>
    <sheet name="XB20+800" sheetId="105" r:id="rId106"/>
    <sheet name="XB21+000" sheetId="106" r:id="rId107"/>
    <sheet name="XB21+200" sheetId="107" r:id="rId108"/>
    <sheet name="XB21+400" sheetId="108" r:id="rId109"/>
    <sheet name="XB21+600" sheetId="109" r:id="rId110"/>
    <sheet name="XB21+800" sheetId="110" r:id="rId111"/>
    <sheet name="XB22+000" sheetId="111" r:id="rId112"/>
    <sheet name="XB22+173.89" sheetId="112" r:id="rId113"/>
  </sheets>
  <calcPr calcId="181029"/>
  <fileRecoveryPr repairLoad="1"/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6" i="2"/>
  <c r="B7" i="2" s="1"/>
  <c r="A6" i="2"/>
  <c r="A7" i="2" s="1"/>
  <c r="A8" i="2" s="1"/>
  <c r="A9" i="2" s="1"/>
  <c r="A10" i="2" s="1"/>
  <c r="A11" i="2" s="1"/>
  <c r="A12" i="2" s="1"/>
  <c r="B13" i="3"/>
  <c r="B14" i="3" s="1"/>
  <c r="A12" i="3"/>
  <c r="A13" i="3" s="1"/>
  <c r="A14" i="3" s="1"/>
  <c r="B11" i="4"/>
  <c r="B9" i="4"/>
  <c r="B12" i="4" s="1"/>
  <c r="B13" i="4" s="1"/>
  <c r="B14" i="4" s="1"/>
  <c r="A9" i="4"/>
  <c r="A10" i="4" s="1"/>
  <c r="A11" i="4" s="1"/>
  <c r="A12" i="4" s="1"/>
  <c r="A13" i="4" s="1"/>
  <c r="A14" i="4" s="1"/>
  <c r="B8" i="4"/>
  <c r="A8" i="4"/>
  <c r="B11" i="5"/>
  <c r="B12" i="5" s="1"/>
  <c r="B9" i="5"/>
  <c r="A9" i="5"/>
  <c r="A10" i="5" s="1"/>
  <c r="A11" i="5" s="1"/>
  <c r="A12" i="5" s="1"/>
  <c r="B9" i="6"/>
  <c r="B10" i="6" s="1"/>
  <c r="A8" i="6"/>
  <c r="A9" i="6" s="1"/>
  <c r="A10" i="6" s="1"/>
  <c r="B11" i="7"/>
  <c r="B12" i="7" s="1"/>
  <c r="B9" i="7"/>
  <c r="A9" i="7"/>
  <c r="A10" i="7" s="1"/>
  <c r="A11" i="7" s="1"/>
  <c r="A12" i="7" s="1"/>
  <c r="B14" i="8"/>
  <c r="B12" i="8"/>
  <c r="B9" i="8"/>
  <c r="A9" i="8"/>
  <c r="A10" i="8" s="1"/>
  <c r="A11" i="8" s="1"/>
  <c r="A12" i="8" s="1"/>
  <c r="A13" i="8" s="1"/>
  <c r="A14" i="8" s="1"/>
  <c r="B9" i="10"/>
  <c r="B10" i="10" s="1"/>
  <c r="B11" i="10" s="1"/>
  <c r="B7" i="10"/>
  <c r="B8" i="10" s="1"/>
  <c r="A7" i="10"/>
  <c r="A8" i="10" s="1"/>
  <c r="A9" i="10" s="1"/>
  <c r="A10" i="10" s="1"/>
  <c r="A11" i="10" s="1"/>
  <c r="B9" i="11"/>
  <c r="B7" i="11"/>
  <c r="A7" i="11"/>
  <c r="A8" i="11" s="1"/>
  <c r="A9" i="11" s="1"/>
  <c r="A10" i="11" s="1"/>
  <c r="A11" i="12"/>
  <c r="A12" i="12" s="1"/>
  <c r="B10" i="12"/>
  <c r="B8" i="12"/>
  <c r="B11" i="12" s="1"/>
  <c r="A7" i="12"/>
  <c r="A8" i="12" s="1"/>
  <c r="A9" i="12" s="1"/>
  <c r="B10" i="13"/>
  <c r="B11" i="13" s="1"/>
  <c r="B9" i="13"/>
  <c r="B7" i="13"/>
  <c r="A7" i="13"/>
  <c r="A8" i="13" s="1"/>
  <c r="A9" i="13" s="1"/>
  <c r="A10" i="13" s="1"/>
  <c r="A11" i="13" s="1"/>
  <c r="B12" i="14"/>
  <c r="B13" i="14" s="1"/>
  <c r="B10" i="14"/>
  <c r="A9" i="14"/>
  <c r="A10" i="14" s="1"/>
  <c r="A11" i="14" s="1"/>
  <c r="A12" i="14" s="1"/>
  <c r="A13" i="14" s="1"/>
  <c r="B8" i="14"/>
  <c r="B10" i="15" l="1"/>
  <c r="A10" i="15"/>
  <c r="B9" i="15"/>
  <c r="B7" i="15"/>
  <c r="A7" i="15"/>
  <c r="B7" i="16"/>
  <c r="A7" i="16"/>
  <c r="B6" i="16"/>
  <c r="B4" i="16"/>
  <c r="A4" i="16"/>
  <c r="A5" i="16" s="1"/>
  <c r="A9" i="17"/>
  <c r="B8" i="17"/>
  <c r="B6" i="17"/>
  <c r="B9" i="17" s="1"/>
  <c r="A6" i="17"/>
  <c r="A11" i="18"/>
  <c r="B10" i="18"/>
  <c r="B8" i="18"/>
  <c r="B11" i="18" s="1"/>
  <c r="A8" i="18"/>
  <c r="A9" i="18" s="1"/>
  <c r="A8" i="19"/>
  <c r="A9" i="19" s="1"/>
  <c r="B7" i="19"/>
  <c r="B8" i="19" s="1"/>
  <c r="B9" i="19" s="1"/>
  <c r="B5" i="19"/>
  <c r="A5" i="19"/>
  <c r="B8" i="20"/>
  <c r="B9" i="20" s="1"/>
  <c r="B10" i="20" s="1"/>
  <c r="A8" i="20"/>
  <c r="A9" i="20" s="1"/>
  <c r="A10" i="20" s="1"/>
  <c r="A11" i="20" s="1"/>
  <c r="B5" i="20"/>
  <c r="B6" i="20" s="1"/>
  <c r="A5" i="20"/>
  <c r="A6" i="20" s="1"/>
  <c r="A7" i="20" s="1"/>
  <c r="A7" i="21"/>
  <c r="B6" i="21"/>
  <c r="A5" i="21"/>
  <c r="A10" i="22"/>
  <c r="B9" i="22"/>
  <c r="B10" i="22" s="1"/>
  <c r="A8" i="22"/>
  <c r="B8" i="23"/>
  <c r="B7" i="23"/>
  <c r="B5" i="23"/>
  <c r="A5" i="23"/>
  <c r="A6" i="23" s="1"/>
  <c r="A7" i="23" s="1"/>
  <c r="A8" i="23" s="1"/>
  <c r="A8" i="24"/>
  <c r="B7" i="24"/>
  <c r="B5" i="24"/>
  <c r="A5" i="24"/>
  <c r="A6" i="24" s="1"/>
  <c r="B7" i="25"/>
  <c r="B5" i="25"/>
  <c r="A5" i="25"/>
  <c r="A6" i="25" s="1"/>
  <c r="A7" i="25" s="1"/>
  <c r="A8" i="25" s="1"/>
  <c r="B7" i="26"/>
  <c r="A6" i="26"/>
  <c r="A7" i="26" s="1"/>
  <c r="A8" i="27"/>
  <c r="B7" i="27"/>
  <c r="A6" i="27"/>
  <c r="A10" i="28"/>
  <c r="B9" i="28"/>
  <c r="B10" i="28" s="1"/>
  <c r="A8" i="28"/>
  <c r="A8" i="29"/>
  <c r="B7" i="29"/>
  <c r="B8" i="29" s="1"/>
  <c r="A6" i="29"/>
  <c r="A12" i="30"/>
  <c r="A13" i="30" s="1"/>
  <c r="B11" i="30"/>
  <c r="B12" i="30" s="1"/>
  <c r="B13" i="30" s="1"/>
  <c r="B9" i="30"/>
  <c r="A9" i="30"/>
  <c r="A10" i="30" s="1"/>
  <c r="B10" i="31"/>
  <c r="B11" i="31" s="1"/>
  <c r="B8" i="31"/>
  <c r="A8" i="31"/>
  <c r="A9" i="31" s="1"/>
  <c r="A10" i="31" s="1"/>
  <c r="A11" i="31" s="1"/>
  <c r="A15" i="32"/>
  <c r="A16" i="32" s="1"/>
  <c r="B14" i="32"/>
  <c r="B15" i="32" s="1"/>
  <c r="B16" i="32" s="1"/>
  <c r="A13" i="32"/>
  <c r="A8" i="33"/>
  <c r="B7" i="33"/>
  <c r="B8" i="33" s="1"/>
  <c r="A6" i="33"/>
  <c r="A7" i="34"/>
  <c r="A8" i="34" s="1"/>
  <c r="B6" i="34"/>
  <c r="B7" i="34" s="1"/>
  <c r="B8" i="34" s="1"/>
  <c r="B4" i="34"/>
  <c r="A4" i="34"/>
  <c r="A5" i="34" s="1"/>
  <c r="A7" i="35"/>
  <c r="B6" i="35"/>
  <c r="B7" i="35" s="1"/>
  <c r="B4" i="35"/>
  <c r="A4" i="35"/>
  <c r="A5" i="35" s="1"/>
  <c r="A10" i="37"/>
  <c r="A11" i="37" s="1"/>
  <c r="B9" i="37"/>
  <c r="B10" i="37" s="1"/>
  <c r="B11" i="37" s="1"/>
  <c r="B7" i="37"/>
  <c r="A7" i="37"/>
  <c r="A8" i="37" s="1"/>
  <c r="A8" i="36"/>
  <c r="B7" i="36"/>
  <c r="A6" i="36"/>
  <c r="A6" i="38"/>
  <c r="A7" i="38" s="1"/>
  <c r="A8" i="38" s="1"/>
  <c r="A9" i="38" s="1"/>
  <c r="A10" i="38" s="1"/>
  <c r="B7" i="38"/>
  <c r="B8" i="38" s="1"/>
  <c r="B9" i="38" s="1"/>
  <c r="B10" i="38" s="1"/>
  <c r="A8" i="39"/>
  <c r="B7" i="39"/>
  <c r="B8" i="39" s="1"/>
  <c r="B5" i="39"/>
  <c r="A5" i="39"/>
  <c r="A6" i="39" s="1"/>
  <c r="A12" i="40"/>
  <c r="A13" i="40" s="1"/>
  <c r="A14" i="40" s="1"/>
  <c r="B11" i="40"/>
  <c r="B12" i="40" s="1"/>
  <c r="B13" i="40" s="1"/>
  <c r="B14" i="40" s="1"/>
  <c r="A9" i="40"/>
  <c r="A10" i="40" s="1"/>
  <c r="A8" i="41"/>
  <c r="A9" i="41" s="1"/>
  <c r="B7" i="41"/>
  <c r="B8" i="41" s="1"/>
  <c r="B9" i="41" s="1"/>
  <c r="B5" i="41"/>
  <c r="A5" i="41"/>
  <c r="A6" i="41" s="1"/>
  <c r="A8" i="42"/>
  <c r="B7" i="42"/>
  <c r="B8" i="42" s="1"/>
  <c r="A4" i="42"/>
  <c r="B11" i="43"/>
  <c r="B10" i="43"/>
  <c r="B8" i="43"/>
  <c r="A8" i="43"/>
  <c r="A9" i="43" s="1"/>
  <c r="A10" i="43" s="1"/>
  <c r="A11" i="43" s="1"/>
  <c r="B9" i="44"/>
  <c r="A9" i="44"/>
  <c r="A10" i="44" s="1"/>
  <c r="A11" i="44" s="1"/>
  <c r="A12" i="44" s="1"/>
  <c r="A13" i="44" s="1"/>
  <c r="A11" i="45" l="1"/>
  <c r="B10" i="45"/>
  <c r="A7" i="45"/>
  <c r="A8" i="45" s="1"/>
  <c r="A9" i="45" s="1"/>
  <c r="B7" i="45"/>
  <c r="B8" i="45" s="1"/>
  <c r="B11" i="46"/>
  <c r="B12" i="46" s="1"/>
  <c r="A10" i="46"/>
  <c r="A11" i="46" s="1"/>
  <c r="A12" i="46" s="1"/>
  <c r="B9" i="46"/>
  <c r="B7" i="46"/>
  <c r="B6" i="46"/>
  <c r="A6" i="46"/>
  <c r="A7" i="46" s="1"/>
  <c r="A8" i="46" s="1"/>
  <c r="B10" i="47"/>
  <c r="B8" i="47"/>
  <c r="A7" i="47"/>
  <c r="A8" i="47" s="1"/>
  <c r="A9" i="47" s="1"/>
  <c r="A10" i="47" s="1"/>
  <c r="A11" i="47" s="1"/>
  <c r="B9" i="48"/>
  <c r="A8" i="48"/>
  <c r="B9" i="49"/>
  <c r="A8" i="49"/>
  <c r="A9" i="49" s="1"/>
  <c r="A10" i="49" s="1"/>
  <c r="B9" i="50"/>
  <c r="A7" i="50"/>
  <c r="A8" i="50" s="1"/>
  <c r="A9" i="50" s="1"/>
  <c r="A10" i="50" s="1"/>
  <c r="B9" i="51"/>
  <c r="B8" i="51"/>
  <c r="A6" i="51"/>
  <c r="A7" i="51" s="1"/>
  <c r="A8" i="51" s="1"/>
  <c r="A9" i="51" s="1"/>
  <c r="B10" i="52"/>
  <c r="B9" i="52"/>
  <c r="B7" i="52"/>
  <c r="A6" i="52"/>
  <c r="A7" i="52" s="1"/>
  <c r="A8" i="52" s="1"/>
  <c r="A9" i="52" s="1"/>
  <c r="A10" i="52" s="1"/>
  <c r="B10" i="53"/>
  <c r="A10" i="53"/>
  <c r="B8" i="53"/>
  <c r="A6" i="53"/>
  <c r="A7" i="53" s="1"/>
  <c r="A8" i="53" s="1"/>
  <c r="B9" i="54"/>
  <c r="B7" i="54"/>
  <c r="B5" i="54"/>
  <c r="A5" i="54"/>
  <c r="A6" i="54" s="1"/>
  <c r="A7" i="54" s="1"/>
  <c r="A8" i="54" s="1"/>
  <c r="A9" i="54" s="1"/>
  <c r="B8" i="55"/>
  <c r="A6" i="55"/>
  <c r="A7" i="55" s="1"/>
  <c r="A8" i="55" s="1"/>
  <c r="A9" i="55" s="1"/>
  <c r="B5" i="56"/>
  <c r="A4" i="56"/>
  <c r="A5" i="56" s="1"/>
  <c r="A6" i="56" s="1"/>
  <c r="B7" i="57"/>
  <c r="B5" i="57"/>
  <c r="A5" i="57"/>
  <c r="A6" i="57" s="1"/>
  <c r="A7" i="57" s="1"/>
  <c r="A8" i="57" s="1"/>
  <c r="B9" i="58"/>
  <c r="B6" i="58"/>
  <c r="B7" i="58" s="1"/>
  <c r="A6" i="58"/>
  <c r="A7" i="58" s="1"/>
  <c r="A8" i="58" s="1"/>
  <c r="A9" i="58" s="1"/>
  <c r="A10" i="58" s="1"/>
  <c r="B8" i="59"/>
  <c r="B7" i="59"/>
  <c r="B5" i="59"/>
  <c r="A5" i="59"/>
  <c r="A6" i="59" s="1"/>
  <c r="A7" i="59" s="1"/>
  <c r="A8" i="59" s="1"/>
  <c r="B11" i="60"/>
  <c r="B10" i="60"/>
  <c r="B8" i="60"/>
  <c r="A7" i="60"/>
  <c r="A8" i="60" s="1"/>
  <c r="A9" i="60" s="1"/>
  <c r="A10" i="60" s="1"/>
  <c r="A11" i="60" s="1"/>
  <c r="B12" i="61"/>
  <c r="B8" i="61"/>
  <c r="B9" i="61" s="1"/>
  <c r="A8" i="61"/>
  <c r="A9" i="61" s="1"/>
  <c r="A10" i="61" s="1"/>
  <c r="A11" i="61" s="1"/>
  <c r="A12" i="61" s="1"/>
  <c r="B9" i="62"/>
  <c r="B10" i="62" s="1"/>
  <c r="B6" i="62"/>
  <c r="B7" i="62" s="1"/>
  <c r="A6" i="62"/>
  <c r="A7" i="62" s="1"/>
  <c r="A8" i="62" s="1"/>
  <c r="A9" i="62" s="1"/>
  <c r="A10" i="62" s="1"/>
  <c r="B7" i="63"/>
  <c r="B8" i="63" s="1"/>
  <c r="A6" i="63"/>
  <c r="A7" i="63" s="1"/>
  <c r="A8" i="63" s="1"/>
  <c r="B9" i="64"/>
  <c r="B10" i="64" s="1"/>
  <c r="A8" i="64"/>
  <c r="A9" i="64" s="1"/>
  <c r="A10" i="64" s="1"/>
  <c r="A6" i="64"/>
  <c r="B8" i="65"/>
  <c r="B9" i="65" s="1"/>
  <c r="A7" i="65"/>
  <c r="A8" i="65" s="1"/>
  <c r="A9" i="65" s="1"/>
  <c r="B13" i="66"/>
  <c r="A12" i="66"/>
  <c r="A13" i="66" s="1"/>
  <c r="A14" i="66" s="1"/>
  <c r="B6" i="68"/>
  <c r="B7" i="68" s="1"/>
  <c r="B8" i="68" s="1"/>
  <c r="A6" i="68"/>
  <c r="A7" i="68" s="1"/>
  <c r="A8" i="68" s="1"/>
  <c r="B8" i="69"/>
  <c r="A6" i="69"/>
  <c r="A7" i="69" s="1"/>
  <c r="A8" i="69" s="1"/>
  <c r="B5" i="69"/>
  <c r="B6" i="69" s="1"/>
  <c r="B7" i="69" s="1"/>
  <c r="B5" i="70"/>
  <c r="B6" i="70" s="1"/>
  <c r="B7" i="70" s="1"/>
  <c r="B8" i="70" s="1"/>
  <c r="B9" i="70" s="1"/>
  <c r="B10" i="70" s="1"/>
  <c r="A5" i="70"/>
  <c r="A6" i="70" s="1"/>
  <c r="A7" i="70" s="1"/>
  <c r="A8" i="70" s="1"/>
  <c r="A9" i="70" s="1"/>
  <c r="A10" i="70" s="1"/>
  <c r="B7" i="71"/>
  <c r="B8" i="71" s="1"/>
  <c r="B5" i="71"/>
  <c r="A5" i="71"/>
  <c r="A6" i="71" s="1"/>
  <c r="A7" i="71" s="1"/>
  <c r="A8" i="71" s="1"/>
  <c r="B7" i="72"/>
  <c r="B8" i="72" s="1"/>
  <c r="B5" i="72"/>
  <c r="A5" i="72"/>
  <c r="A6" i="72" s="1"/>
  <c r="A7" i="72" s="1"/>
  <c r="A8" i="72" s="1"/>
  <c r="B8" i="73"/>
  <c r="B9" i="73" s="1"/>
  <c r="B10" i="73" s="1"/>
  <c r="B11" i="73" s="1"/>
  <c r="A7" i="73"/>
  <c r="A8" i="73" s="1"/>
  <c r="A9" i="73" s="1"/>
  <c r="A10" i="73" s="1"/>
  <c r="A11" i="73" s="1"/>
  <c r="B6" i="74"/>
  <c r="B7" i="74" s="1"/>
  <c r="B8" i="74" s="1"/>
  <c r="A6" i="74"/>
  <c r="A7" i="74" s="1"/>
  <c r="A8" i="74" s="1"/>
  <c r="A9" i="76"/>
  <c r="A10" i="76" s="1"/>
  <c r="A11" i="76" s="1"/>
  <c r="B8" i="76"/>
  <c r="B9" i="76" s="1"/>
  <c r="B10" i="76" s="1"/>
  <c r="B11" i="76" s="1"/>
  <c r="B9" i="77"/>
  <c r="B10" i="77" s="1"/>
  <c r="B11" i="77" s="1"/>
  <c r="A8" i="77"/>
  <c r="A9" i="77" s="1"/>
  <c r="A10" i="77" s="1"/>
  <c r="A11" i="77" s="1"/>
  <c r="A12" i="77" s="1"/>
  <c r="B7" i="78"/>
  <c r="B8" i="78" s="1"/>
  <c r="B9" i="78" s="1"/>
  <c r="A6" i="78"/>
  <c r="A7" i="78" s="1"/>
  <c r="A8" i="78" s="1"/>
  <c r="A9" i="78" s="1"/>
  <c r="B15" i="79"/>
  <c r="B16" i="79" s="1"/>
  <c r="A15" i="79"/>
  <c r="A16" i="79" s="1"/>
  <c r="B12" i="80"/>
  <c r="B13" i="80" s="1"/>
  <c r="B14" i="80" s="1"/>
  <c r="A11" i="80"/>
  <c r="A12" i="80" s="1"/>
  <c r="A13" i="80" s="1"/>
  <c r="A14" i="80" s="1"/>
  <c r="B17" i="81"/>
  <c r="B18" i="81" s="1"/>
  <c r="B19" i="81" s="1"/>
  <c r="A17" i="81"/>
  <c r="A18" i="81" s="1"/>
  <c r="A19" i="81" s="1"/>
  <c r="B11" i="82"/>
  <c r="B12" i="82" s="1"/>
  <c r="B13" i="82" s="1"/>
  <c r="A11" i="82"/>
  <c r="A12" i="82" s="1"/>
  <c r="A13" i="82" s="1"/>
  <c r="B13" i="83"/>
  <c r="A13" i="83"/>
  <c r="B10" i="83"/>
  <c r="B11" i="83" s="1"/>
  <c r="A10" i="83"/>
  <c r="A11" i="83" s="1"/>
  <c r="B10" i="84"/>
  <c r="B11" i="84" s="1"/>
  <c r="B12" i="84" s="1"/>
  <c r="A10" i="84"/>
  <c r="A11" i="84" s="1"/>
  <c r="A12" i="84" s="1"/>
  <c r="B10" i="86"/>
  <c r="A10" i="86"/>
  <c r="A16" i="87"/>
  <c r="A17" i="87" s="1"/>
  <c r="B15" i="87"/>
  <c r="B16" i="87" s="1"/>
  <c r="B17" i="87" s="1"/>
  <c r="A15" i="87"/>
  <c r="B14" i="88"/>
  <c r="B15" i="88" s="1"/>
  <c r="B16" i="88" s="1"/>
  <c r="B17" i="88" s="1"/>
  <c r="A14" i="88"/>
  <c r="A15" i="88" s="1"/>
  <c r="A16" i="88" s="1"/>
  <c r="A17" i="88" s="1"/>
  <c r="B9" i="90"/>
  <c r="B10" i="90" s="1"/>
  <c r="B11" i="90" s="1"/>
  <c r="B12" i="90" s="1"/>
  <c r="A8" i="90"/>
  <c r="A9" i="90" s="1"/>
  <c r="A10" i="90" s="1"/>
  <c r="A11" i="90" s="1"/>
  <c r="A12" i="90" s="1"/>
  <c r="B24" i="92"/>
  <c r="B25" i="92" s="1"/>
  <c r="B26" i="92" s="1"/>
  <c r="A23" i="92"/>
  <c r="A24" i="92" s="1"/>
  <c r="A25" i="92" s="1"/>
  <c r="A26" i="92" s="1"/>
  <c r="B23" i="93"/>
  <c r="B24" i="93" s="1"/>
  <c r="B25" i="93" s="1"/>
  <c r="A23" i="93"/>
  <c r="A24" i="93" s="1"/>
  <c r="A25" i="93" s="1"/>
  <c r="B24" i="94"/>
  <c r="B25" i="94" s="1"/>
  <c r="B26" i="94" s="1"/>
  <c r="A24" i="94"/>
  <c r="A25" i="94" s="1"/>
  <c r="A26" i="94" s="1"/>
  <c r="B27" i="95"/>
  <c r="B28" i="95" s="1"/>
  <c r="A26" i="95"/>
  <c r="A27" i="95" s="1"/>
  <c r="A28" i="95" s="1"/>
  <c r="B28" i="96"/>
  <c r="B29" i="96" s="1"/>
  <c r="A28" i="96"/>
  <c r="A29" i="96" s="1"/>
  <c r="B21" i="97"/>
  <c r="B22" i="97" s="1"/>
  <c r="B23" i="97" s="1"/>
  <c r="B19" i="97"/>
  <c r="A19" i="97"/>
  <c r="A20" i="97" s="1"/>
  <c r="A21" i="97" s="1"/>
  <c r="A22" i="97" s="1"/>
  <c r="A23" i="97" s="1"/>
  <c r="B10" i="98"/>
  <c r="B11" i="98" s="1"/>
  <c r="A8" i="98"/>
  <c r="A9" i="98" s="1"/>
  <c r="A10" i="98" s="1"/>
  <c r="A11" i="98" s="1"/>
  <c r="B23" i="99"/>
  <c r="A23" i="99"/>
  <c r="A24" i="99" s="1"/>
  <c r="A21" i="100"/>
  <c r="A22" i="100" s="1"/>
  <c r="A23" i="100" s="1"/>
  <c r="A20" i="100"/>
  <c r="B22" i="100"/>
  <c r="B23" i="100" s="1"/>
  <c r="B15" i="101"/>
  <c r="B16" i="101" s="1"/>
  <c r="B17" i="101" s="1"/>
  <c r="A12" i="101"/>
  <c r="A13" i="101" s="1"/>
  <c r="A14" i="101" s="1"/>
  <c r="A15" i="101" s="1"/>
  <c r="A16" i="101" s="1"/>
  <c r="A10" i="102"/>
  <c r="A11" i="102" s="1"/>
  <c r="B24" i="103"/>
  <c r="B22" i="103"/>
  <c r="B21" i="103" s="1"/>
  <c r="B20" i="103" s="1"/>
  <c r="A22" i="103"/>
  <c r="A21" i="103" s="1"/>
  <c r="A20" i="103" s="1"/>
  <c r="A19" i="104"/>
  <c r="A18" i="104" s="1"/>
  <c r="A17" i="104" s="1"/>
  <c r="B20" i="106"/>
  <c r="B18" i="104"/>
  <c r="B17" i="104" s="1"/>
  <c r="B22" i="105"/>
  <c r="A22" i="105"/>
  <c r="B20" i="105"/>
  <c r="B19" i="105" s="1"/>
  <c r="A20" i="105"/>
  <c r="A19" i="105" s="1"/>
  <c r="A18" i="106"/>
  <c r="B17" i="107"/>
  <c r="B18" i="107" s="1"/>
  <c r="A17" i="107"/>
  <c r="B20" i="108"/>
  <c r="B21" i="108" s="1"/>
  <c r="A19" i="108"/>
  <c r="A20" i="108" s="1"/>
  <c r="A21" i="108" s="1"/>
  <c r="B16" i="109"/>
  <c r="B17" i="109" s="1"/>
  <c r="B18" i="109" s="1"/>
  <c r="A16" i="109"/>
  <c r="A17" i="109" s="1"/>
  <c r="A18" i="109" s="1"/>
  <c r="B18" i="110"/>
  <c r="B21" i="110" s="1"/>
  <c r="B22" i="110" s="1"/>
  <c r="A17" i="110"/>
  <c r="A18" i="110" s="1"/>
  <c r="A19" i="110" s="1"/>
  <c r="A20" i="110" s="1"/>
  <c r="A21" i="110" s="1"/>
  <c r="B16" i="110"/>
  <c r="A18" i="111"/>
  <c r="A19" i="111" s="1"/>
  <c r="A20" i="111" s="1"/>
  <c r="A21" i="111" s="1"/>
  <c r="A22" i="111" s="1"/>
  <c r="A23" i="111" s="1"/>
  <c r="A24" i="111" s="1"/>
  <c r="B22" i="111"/>
  <c r="B23" i="111" s="1"/>
  <c r="B24" i="111" s="1"/>
  <c r="B21" i="111"/>
  <c r="B19" i="111"/>
  <c r="B12" i="77" l="1"/>
  <c r="A22" i="110"/>
  <c r="B19" i="110"/>
  <c r="B20" i="110" s="1"/>
  <c r="A20" i="121"/>
  <c r="A21" i="121" s="1"/>
  <c r="A22" i="121" s="1"/>
  <c r="A23" i="121" s="1"/>
  <c r="A24" i="121" s="1"/>
  <c r="A25" i="121" s="1"/>
  <c r="A26" i="121" s="1"/>
  <c r="A27" i="121" s="1"/>
  <c r="A28" i="121" s="1"/>
  <c r="A29" i="121" s="1"/>
  <c r="A30" i="121" s="1"/>
  <c r="A31" i="121" s="1"/>
  <c r="A32" i="121" s="1"/>
  <c r="A33" i="121" s="1"/>
  <c r="A34" i="121" s="1"/>
  <c r="A3" i="76"/>
  <c r="A2" i="76" s="1"/>
  <c r="A4" i="90" l="1"/>
  <c r="A3" i="90" s="1"/>
  <c r="A2" i="90" s="1"/>
  <c r="A8" i="92"/>
  <c r="A7" i="92" s="1"/>
  <c r="A6" i="92" s="1"/>
  <c r="A5" i="92" s="1"/>
  <c r="A4" i="92" s="1"/>
  <c r="A3" i="92" s="1"/>
  <c r="A2" i="92" s="1"/>
  <c r="A12" i="93"/>
  <c r="A11" i="93" s="1"/>
  <c r="A10" i="93" s="1"/>
  <c r="A9" i="93" s="1"/>
  <c r="A8" i="93" s="1"/>
  <c r="A7" i="93" s="1"/>
  <c r="A6" i="93" s="1"/>
  <c r="A5" i="93" s="1"/>
  <c r="A4" i="93" s="1"/>
  <c r="A3" i="93" s="1"/>
  <c r="A2" i="93" s="1"/>
  <c r="A15" i="94" l="1"/>
  <c r="A14" i="94" s="1"/>
  <c r="A13" i="94" s="1"/>
  <c r="A12" i="94" s="1"/>
  <c r="A11" i="94" s="1"/>
  <c r="A10" i="94" s="1"/>
  <c r="A9" i="94" s="1"/>
  <c r="A8" i="94" s="1"/>
  <c r="A7" i="94" s="1"/>
  <c r="A6" i="94" s="1"/>
  <c r="A5" i="94" s="1"/>
  <c r="A4" i="94" s="1"/>
  <c r="A3" i="94" s="1"/>
  <c r="A2" i="94" s="1"/>
  <c r="A18" i="95"/>
  <c r="A17" i="95" s="1"/>
  <c r="A16" i="95" s="1"/>
  <c r="A15" i="95" s="1"/>
  <c r="A14" i="95" s="1"/>
  <c r="A13" i="95" s="1"/>
  <c r="A12" i="95" s="1"/>
  <c r="A11" i="95" s="1"/>
  <c r="A10" i="95" s="1"/>
  <c r="A9" i="95" s="1"/>
  <c r="A8" i="95" s="1"/>
  <c r="A7" i="95" s="1"/>
  <c r="A6" i="95" s="1"/>
  <c r="A5" i="95" s="1"/>
  <c r="A4" i="95" s="1"/>
  <c r="A3" i="95" s="1"/>
  <c r="A2" i="95" s="1"/>
  <c r="A10" i="96"/>
  <c r="A9" i="96" s="1"/>
  <c r="A8" i="96" s="1"/>
  <c r="A7" i="96" s="1"/>
  <c r="A6" i="96" s="1"/>
  <c r="A5" i="96" s="1"/>
  <c r="A4" i="96" s="1"/>
  <c r="A3" i="96" s="1"/>
  <c r="A2" i="96" s="1"/>
  <c r="A4" i="111"/>
  <c r="A3" i="111" s="1"/>
  <c r="A2" i="111" s="1"/>
</calcChain>
</file>

<file path=xl/sharedStrings.xml><?xml version="1.0" encoding="utf-8"?>
<sst xmlns="http://schemas.openxmlformats.org/spreadsheetml/2006/main" count="4563" uniqueCount="2614">
  <si>
    <t>XB0+000</t>
  </si>
  <si>
    <t>0.0</t>
  </si>
  <si>
    <t>23.642</t>
  </si>
  <si>
    <t xml:space="preserve">"左基点"
</t>
  </si>
  <si>
    <t>8.43</t>
  </si>
  <si>
    <t>23.585</t>
  </si>
  <si>
    <t xml:space="preserve">"地形点"
</t>
  </si>
  <si>
    <t>20.41</t>
  </si>
  <si>
    <t>23.631</t>
  </si>
  <si>
    <t>29.8</t>
  </si>
  <si>
    <t>23.507</t>
  </si>
  <si>
    <t xml:space="preserve">"渠中心"
</t>
  </si>
  <si>
    <t>32.42</t>
  </si>
  <si>
    <t>23.549</t>
  </si>
  <si>
    <t>32.92</t>
  </si>
  <si>
    <t>23.208</t>
  </si>
  <si>
    <t>33.84</t>
  </si>
  <si>
    <t>23.253</t>
  </si>
  <si>
    <t>36.79</t>
  </si>
  <si>
    <t>23.586</t>
  </si>
  <si>
    <t>41.54</t>
  </si>
  <si>
    <t>23.712</t>
  </si>
  <si>
    <t>57.11</t>
  </si>
  <si>
    <t>23.604</t>
  </si>
  <si>
    <t>60.0</t>
  </si>
  <si>
    <t>23.601</t>
  </si>
  <si>
    <t xml:space="preserve">"右基点"
</t>
  </si>
  <si>
    <t>XB0+200</t>
  </si>
  <si>
    <t>17.682</t>
  </si>
  <si>
    <t>6.87</t>
  </si>
  <si>
    <t>17.548</t>
  </si>
  <si>
    <t xml:space="preserve">"坎上"
</t>
  </si>
  <si>
    <t>14.93</t>
  </si>
  <si>
    <t>14.97</t>
  </si>
  <si>
    <t xml:space="preserve">"坎下"
</t>
  </si>
  <si>
    <t>14.847</t>
  </si>
  <si>
    <t>42.86</t>
  </si>
  <si>
    <t>14.793</t>
  </si>
  <si>
    <t>50.77</t>
  </si>
  <si>
    <t>14.915</t>
  </si>
  <si>
    <t>55.77</t>
  </si>
  <si>
    <t>14.937</t>
  </si>
  <si>
    <t>56.68</t>
  </si>
  <si>
    <t>15.176</t>
  </si>
  <si>
    <t>57.1</t>
  </si>
  <si>
    <t>15.192</t>
  </si>
  <si>
    <t>57.79</t>
  </si>
  <si>
    <t>59.16</t>
  </si>
  <si>
    <t>14.985</t>
  </si>
  <si>
    <t>15.455</t>
  </si>
  <si>
    <t>XB0+400</t>
  </si>
  <si>
    <t>16.426</t>
  </si>
  <si>
    <t>0.71</t>
  </si>
  <si>
    <t>16.392</t>
  </si>
  <si>
    <t>1.04</t>
  </si>
  <si>
    <t>16.061</t>
  </si>
  <si>
    <t>7.24</t>
  </si>
  <si>
    <t>16.124</t>
  </si>
  <si>
    <t>9.31</t>
  </si>
  <si>
    <t>15.716</t>
  </si>
  <si>
    <t>11.31</t>
  </si>
  <si>
    <t>15.385</t>
  </si>
  <si>
    <t>15.88</t>
  </si>
  <si>
    <t>15.242</t>
  </si>
  <si>
    <t>16.31</t>
  </si>
  <si>
    <t>15.476</t>
  </si>
  <si>
    <t>18.46</t>
  </si>
  <si>
    <t>15.668</t>
  </si>
  <si>
    <t xml:space="preserve">"旱地"
</t>
  </si>
  <si>
    <t>54.86</t>
  </si>
  <si>
    <t>15.997</t>
  </si>
  <si>
    <t>56.01</t>
  </si>
  <si>
    <t>16.071</t>
  </si>
  <si>
    <t>56.73</t>
  </si>
  <si>
    <t>15.786</t>
  </si>
  <si>
    <t>57.62</t>
  </si>
  <si>
    <t>15.784</t>
  </si>
  <si>
    <t>58.16</t>
  </si>
  <si>
    <t>15.553</t>
  </si>
  <si>
    <t>15.546</t>
  </si>
  <si>
    <t>XB0+600</t>
  </si>
  <si>
    <t>16.796</t>
  </si>
  <si>
    <t>0.72</t>
  </si>
  <si>
    <t>16.731</t>
  </si>
  <si>
    <t>1.16</t>
  </si>
  <si>
    <t>16.396</t>
  </si>
  <si>
    <t>7.0</t>
  </si>
  <si>
    <t>16.144</t>
  </si>
  <si>
    <t>11.95</t>
  </si>
  <si>
    <t>14.001</t>
  </si>
  <si>
    <t>29.77</t>
  </si>
  <si>
    <t>38.51</t>
  </si>
  <si>
    <t>47.39</t>
  </si>
  <si>
    <t>16.976</t>
  </si>
  <si>
    <t>0.61</t>
  </si>
  <si>
    <t>16.969</t>
  </si>
  <si>
    <t>16.651</t>
  </si>
  <si>
    <t>7.77</t>
  </si>
  <si>
    <t>16.346</t>
  </si>
  <si>
    <t>9.04</t>
  </si>
  <si>
    <t>16.949</t>
  </si>
  <si>
    <t>12.01</t>
  </si>
  <si>
    <t>16.995</t>
  </si>
  <si>
    <t>13.02</t>
  </si>
  <si>
    <t>16.574</t>
  </si>
  <si>
    <t>16.696</t>
  </si>
  <si>
    <t>31.34</t>
  </si>
  <si>
    <t>16.751</t>
  </si>
  <si>
    <t>34.44</t>
  </si>
  <si>
    <t>16.668</t>
  </si>
  <si>
    <t>39.17</t>
  </si>
  <si>
    <t>16.56</t>
  </si>
  <si>
    <t>44.97</t>
  </si>
  <si>
    <t>16.532</t>
  </si>
  <si>
    <t>48.45</t>
  </si>
  <si>
    <t>16.527</t>
  </si>
  <si>
    <t>56.49</t>
  </si>
  <si>
    <t>16.611</t>
  </si>
  <si>
    <t>59.11</t>
  </si>
  <si>
    <t>16.633</t>
  </si>
  <si>
    <t>14.872</t>
  </si>
  <si>
    <t>XB1+000</t>
  </si>
  <si>
    <t>17.48</t>
  </si>
  <si>
    <t>17.465</t>
  </si>
  <si>
    <t>1.08</t>
  </si>
  <si>
    <t>17.173</t>
  </si>
  <si>
    <t>6.39</t>
  </si>
  <si>
    <t>17.092</t>
  </si>
  <si>
    <t>7.48</t>
  </si>
  <si>
    <t>16.744</t>
  </si>
  <si>
    <t>23.41</t>
  </si>
  <si>
    <t>16.366</t>
  </si>
  <si>
    <t>27.71</t>
  </si>
  <si>
    <t>16.385</t>
  </si>
  <si>
    <t>28.23</t>
  </si>
  <si>
    <t>29.99</t>
  </si>
  <si>
    <t>16.652</t>
  </si>
  <si>
    <t>31.52</t>
  </si>
  <si>
    <t>17.243</t>
  </si>
  <si>
    <t>32.09</t>
  </si>
  <si>
    <t>17.248</t>
  </si>
  <si>
    <t>34.04</t>
  </si>
  <si>
    <t>16.698</t>
  </si>
  <si>
    <t>38.85</t>
  </si>
  <si>
    <t>16.524</t>
  </si>
  <si>
    <t>45.1</t>
  </si>
  <si>
    <t>16.604</t>
  </si>
  <si>
    <t>46.22</t>
  </si>
  <si>
    <t>17.035</t>
  </si>
  <si>
    <t>56.34</t>
  </si>
  <si>
    <t>16.912</t>
  </si>
  <si>
    <t>16.941</t>
  </si>
  <si>
    <t>0.69</t>
  </si>
  <si>
    <t>15.59</t>
  </si>
  <si>
    <t>15.361</t>
  </si>
  <si>
    <t xml:space="preserve">"居民地"
</t>
  </si>
  <si>
    <t>XB1+400</t>
  </si>
  <si>
    <t>16.983</t>
  </si>
  <si>
    <t>0.66</t>
  </si>
  <si>
    <t>16.931</t>
  </si>
  <si>
    <t>1.06</t>
  </si>
  <si>
    <t>5.86</t>
  </si>
  <si>
    <t>16.52</t>
  </si>
  <si>
    <t>6.12</t>
  </si>
  <si>
    <t>16.445</t>
  </si>
  <si>
    <t>13.69</t>
  </si>
  <si>
    <t>15.746</t>
  </si>
  <si>
    <t>16.25</t>
  </si>
  <si>
    <t>15.713</t>
  </si>
  <si>
    <t>21.49</t>
  </si>
  <si>
    <t>15.688</t>
  </si>
  <si>
    <t>38.14</t>
  </si>
  <si>
    <t>15.491</t>
  </si>
  <si>
    <t>54.35</t>
  </si>
  <si>
    <t>15.427</t>
  </si>
  <si>
    <t>15.432</t>
  </si>
  <si>
    <t>XB1+600</t>
  </si>
  <si>
    <t>16.906</t>
  </si>
  <si>
    <t>5.47</t>
  </si>
  <si>
    <t>16.821</t>
  </si>
  <si>
    <t>10.49</t>
  </si>
  <si>
    <t>16.369</t>
  </si>
  <si>
    <t>17.24</t>
  </si>
  <si>
    <t>16.408</t>
  </si>
  <si>
    <t>27.79</t>
  </si>
  <si>
    <t>16.45</t>
  </si>
  <si>
    <t>29.81</t>
  </si>
  <si>
    <t>16.468</t>
  </si>
  <si>
    <t>38.84</t>
  </si>
  <si>
    <t>16.516</t>
  </si>
  <si>
    <t>40.68</t>
  </si>
  <si>
    <t>17.142</t>
  </si>
  <si>
    <t>41.37</t>
  </si>
  <si>
    <t>17.189</t>
  </si>
  <si>
    <t>42.57</t>
  </si>
  <si>
    <t>50.68</t>
  </si>
  <si>
    <t>16.546</t>
  </si>
  <si>
    <t>16.566</t>
  </si>
  <si>
    <t>XB1+800</t>
  </si>
  <si>
    <t>17.225</t>
  </si>
  <si>
    <t>0.63</t>
  </si>
  <si>
    <t>17.16</t>
  </si>
  <si>
    <t>16.901</t>
  </si>
  <si>
    <t>5.85</t>
  </si>
  <si>
    <t>16.671</t>
  </si>
  <si>
    <t>10.66</t>
  </si>
  <si>
    <t>16.343</t>
  </si>
  <si>
    <t>38.35</t>
  </si>
  <si>
    <t>16.46</t>
  </si>
  <si>
    <t>54.4</t>
  </si>
  <si>
    <t>16.458</t>
  </si>
  <si>
    <t>16.442</t>
  </si>
  <si>
    <t>XB2+000</t>
  </si>
  <si>
    <t>17.601</t>
  </si>
  <si>
    <t>0.67</t>
  </si>
  <si>
    <t>17.53</t>
  </si>
  <si>
    <t>1.13</t>
  </si>
  <si>
    <t>17.143</t>
  </si>
  <si>
    <t>6.83</t>
  </si>
  <si>
    <t>16.772</t>
  </si>
  <si>
    <t>11.8</t>
  </si>
  <si>
    <t>35.42</t>
  </si>
  <si>
    <t>16.292</t>
  </si>
  <si>
    <t>41.21</t>
  </si>
  <si>
    <t>16.384</t>
  </si>
  <si>
    <t xml:space="preserve">"温棚"
</t>
  </si>
  <si>
    <t>15.066</t>
  </si>
  <si>
    <t>XB2+200</t>
  </si>
  <si>
    <t>17.145</t>
  </si>
  <si>
    <t>17.082</t>
  </si>
  <si>
    <t>1.19</t>
  </si>
  <si>
    <t>16.812</t>
  </si>
  <si>
    <t>7.16</t>
  </si>
  <si>
    <t>16.585</t>
  </si>
  <si>
    <t>12.41</t>
  </si>
  <si>
    <t>32.9</t>
  </si>
  <si>
    <t>39.83</t>
  </si>
  <si>
    <t>16.034</t>
  </si>
  <si>
    <t>47.8</t>
  </si>
  <si>
    <t>16.249</t>
  </si>
  <si>
    <t xml:space="preserve">"路边"
</t>
  </si>
  <si>
    <t>50.27</t>
  </si>
  <si>
    <t>16.351</t>
  </si>
  <si>
    <t>51.52</t>
  </si>
  <si>
    <t>16.928</t>
  </si>
  <si>
    <t>52.15</t>
  </si>
  <si>
    <t>16.918</t>
  </si>
  <si>
    <t>54.8</t>
  </si>
  <si>
    <t>15.294</t>
  </si>
  <si>
    <t>55.47</t>
  </si>
  <si>
    <t>15.161</t>
  </si>
  <si>
    <t>55.82</t>
  </si>
  <si>
    <t>13.829</t>
  </si>
  <si>
    <t>13.943</t>
  </si>
  <si>
    <t>XB2+400</t>
  </si>
  <si>
    <t>17.49</t>
  </si>
  <si>
    <t>0.52</t>
  </si>
  <si>
    <t>17.474</t>
  </si>
  <si>
    <t>1.05</t>
  </si>
  <si>
    <t>17.129</t>
  </si>
  <si>
    <t>6.84</t>
  </si>
  <si>
    <t>17.015</t>
  </si>
  <si>
    <t>15.11</t>
  </si>
  <si>
    <t>14.532</t>
  </si>
  <si>
    <t>14.933</t>
  </si>
  <si>
    <t>30.01</t>
  </si>
  <si>
    <t>38.48</t>
  </si>
  <si>
    <t>47.33</t>
  </si>
  <si>
    <t>16.164</t>
  </si>
  <si>
    <t>XB2+600</t>
  </si>
  <si>
    <t>17.166</t>
  </si>
  <si>
    <t>0.42</t>
  </si>
  <si>
    <t>17.169</t>
  </si>
  <si>
    <t>1.18</t>
  </si>
  <si>
    <t>16.837</t>
  </si>
  <si>
    <t>7.07</t>
  </si>
  <si>
    <t>16.478</t>
  </si>
  <si>
    <t>10.59</t>
  </si>
  <si>
    <t>15.472</t>
  </si>
  <si>
    <t>15.344</t>
  </si>
  <si>
    <t>13.173</t>
  </si>
  <si>
    <t>15.848</t>
  </si>
  <si>
    <t>15.878</t>
  </si>
  <si>
    <t>14.015</t>
  </si>
  <si>
    <t>41.26</t>
  </si>
  <si>
    <t>14.828</t>
  </si>
  <si>
    <t>43.25</t>
  </si>
  <si>
    <t>14.889</t>
  </si>
  <si>
    <t>14.153</t>
  </si>
  <si>
    <t>XB2+800</t>
  </si>
  <si>
    <t>17.109</t>
  </si>
  <si>
    <t>0.34</t>
  </si>
  <si>
    <t>17.093</t>
  </si>
  <si>
    <t>0.8</t>
  </si>
  <si>
    <t>16.738</t>
  </si>
  <si>
    <t>6.06</t>
  </si>
  <si>
    <t>16.547</t>
  </si>
  <si>
    <t>15.69</t>
  </si>
  <si>
    <t>25.81</t>
  </si>
  <si>
    <t>15.95</t>
  </si>
  <si>
    <t>40.16</t>
  </si>
  <si>
    <t>16.171</t>
  </si>
  <si>
    <t>41.75</t>
  </si>
  <si>
    <t>16.156</t>
  </si>
  <si>
    <t>43.41</t>
  </si>
  <si>
    <t>15.1</t>
  </si>
  <si>
    <t>14.523</t>
  </si>
  <si>
    <t>XB3+000</t>
  </si>
  <si>
    <t>17.103</t>
  </si>
  <si>
    <t>5.92</t>
  </si>
  <si>
    <t>16.816</t>
  </si>
  <si>
    <t>10.03</t>
  </si>
  <si>
    <t>15.684</t>
  </si>
  <si>
    <t>16.326</t>
  </si>
  <si>
    <t>15.891</t>
  </si>
  <si>
    <t>30.02</t>
  </si>
  <si>
    <t>16.248</t>
  </si>
  <si>
    <t>32.35</t>
  </si>
  <si>
    <t>16.374</t>
  </si>
  <si>
    <t>40.92</t>
  </si>
  <si>
    <t>16.473</t>
  </si>
  <si>
    <t>56.42</t>
  </si>
  <si>
    <t>16.523</t>
  </si>
  <si>
    <t>XB3+200</t>
  </si>
  <si>
    <t>16.963</t>
  </si>
  <si>
    <t>4.76</t>
  </si>
  <si>
    <t>16.951</t>
  </si>
  <si>
    <t>29.95</t>
  </si>
  <si>
    <t>44.63</t>
  </si>
  <si>
    <t>16.078</t>
  </si>
  <si>
    <t>16.217</t>
  </si>
  <si>
    <t>XB3+400</t>
  </si>
  <si>
    <t>17.251</t>
  </si>
  <si>
    <t>0.7</t>
  </si>
  <si>
    <t>17.208</t>
  </si>
  <si>
    <t>5.55</t>
  </si>
  <si>
    <t>17.342</t>
  </si>
  <si>
    <t>8.03</t>
  </si>
  <si>
    <t>15.724</t>
  </si>
  <si>
    <t>13.17</t>
  </si>
  <si>
    <t>15.649</t>
  </si>
  <si>
    <t>49.23</t>
  </si>
  <si>
    <t>16.555</t>
  </si>
  <si>
    <t>XB3+600</t>
  </si>
  <si>
    <t>16.315</t>
  </si>
  <si>
    <t>6.16</t>
  </si>
  <si>
    <t>16.263</t>
  </si>
  <si>
    <t>12.48</t>
  </si>
  <si>
    <t>14.574</t>
  </si>
  <si>
    <t>45.57</t>
  </si>
  <si>
    <t>47.78</t>
  </si>
  <si>
    <t>16.139</t>
  </si>
  <si>
    <t>16.123</t>
  </si>
  <si>
    <t>XB3+800</t>
  </si>
  <si>
    <t>15.521</t>
  </si>
  <si>
    <t>0.14</t>
  </si>
  <si>
    <t>15.513</t>
  </si>
  <si>
    <t xml:space="preserve">"幼林"
</t>
  </si>
  <si>
    <t>14.55</t>
  </si>
  <si>
    <t>37.27</t>
  </si>
  <si>
    <t>51.09</t>
  </si>
  <si>
    <t>15.562</t>
  </si>
  <si>
    <t>15.639</t>
  </si>
  <si>
    <t>XB4+000</t>
  </si>
  <si>
    <t>15.792</t>
  </si>
  <si>
    <t>9.48</t>
  </si>
  <si>
    <t>15.704</t>
  </si>
  <si>
    <t>41.56</t>
  </si>
  <si>
    <t>15.856</t>
  </si>
  <si>
    <t>15.912</t>
  </si>
  <si>
    <t>XB4+200</t>
  </si>
  <si>
    <t>17.314</t>
  </si>
  <si>
    <t>3.27</t>
  </si>
  <si>
    <t>17.727</t>
  </si>
  <si>
    <t>4.14</t>
  </si>
  <si>
    <t>18.013</t>
  </si>
  <si>
    <t>5.61</t>
  </si>
  <si>
    <t>17.995</t>
  </si>
  <si>
    <t>17.814</t>
  </si>
  <si>
    <t>45.34</t>
  </si>
  <si>
    <t>18.032</t>
  </si>
  <si>
    <t>46.38</t>
  </si>
  <si>
    <t>18.114</t>
  </si>
  <si>
    <t>49.65</t>
  </si>
  <si>
    <t>17.784</t>
  </si>
  <si>
    <t>50.55</t>
  </si>
  <si>
    <t>17.524</t>
  </si>
  <si>
    <t>50.96</t>
  </si>
  <si>
    <t>17.515</t>
  </si>
  <si>
    <t>51.77</t>
  </si>
  <si>
    <t>17.776</t>
  </si>
  <si>
    <t>53.21</t>
  </si>
  <si>
    <t>18.008</t>
  </si>
  <si>
    <t>57.0</t>
  </si>
  <si>
    <t>18.03</t>
  </si>
  <si>
    <t>18.0</t>
  </si>
  <si>
    <t>XB4+400</t>
  </si>
  <si>
    <t>17.124</t>
  </si>
  <si>
    <t>5.5</t>
  </si>
  <si>
    <t>6.36</t>
  </si>
  <si>
    <t>17.162</t>
  </si>
  <si>
    <t>16.862</t>
  </si>
  <si>
    <t>39.56</t>
  </si>
  <si>
    <t>17.061</t>
  </si>
  <si>
    <t>17.094</t>
  </si>
  <si>
    <t>XB4+600</t>
  </si>
  <si>
    <t>17.346</t>
  </si>
  <si>
    <t>6.59</t>
  </si>
  <si>
    <t>17.599</t>
  </si>
  <si>
    <t xml:space="preserve">"坡顶"
</t>
  </si>
  <si>
    <t>13.78</t>
  </si>
  <si>
    <t xml:space="preserve">"坡脚"
</t>
  </si>
  <si>
    <t>16.616</t>
  </si>
  <si>
    <t>50.47</t>
  </si>
  <si>
    <t>16.98</t>
  </si>
  <si>
    <t>17.038</t>
  </si>
  <si>
    <t>XB4+800</t>
  </si>
  <si>
    <t>17.153</t>
  </si>
  <si>
    <t>6.66</t>
  </si>
  <si>
    <t>17.25</t>
  </si>
  <si>
    <t>14.76</t>
  </si>
  <si>
    <t>16.329</t>
  </si>
  <si>
    <t>38.31</t>
  </si>
  <si>
    <t>50.67</t>
  </si>
  <si>
    <t>16.452</t>
  </si>
  <si>
    <t>XB5+000</t>
  </si>
  <si>
    <t>17.567</t>
  </si>
  <si>
    <t>5.01</t>
  </si>
  <si>
    <t>17.352</t>
  </si>
  <si>
    <t>7.27</t>
  </si>
  <si>
    <t>16.96</t>
  </si>
  <si>
    <t>38.81</t>
  </si>
  <si>
    <t>17.255</t>
  </si>
  <si>
    <t>17.164</t>
  </si>
  <si>
    <t>XB5+200</t>
  </si>
  <si>
    <t>17.829</t>
  </si>
  <si>
    <t>5.52</t>
  </si>
  <si>
    <t>17.899</t>
  </si>
  <si>
    <t>11.14</t>
  </si>
  <si>
    <t>16.36</t>
  </si>
  <si>
    <t>25.07</t>
  </si>
  <si>
    <t>46.37</t>
  </si>
  <si>
    <t>17.049</t>
  </si>
  <si>
    <t>XB5+400</t>
  </si>
  <si>
    <t>17.508</t>
  </si>
  <si>
    <t>8.08</t>
  </si>
  <si>
    <t>17.392</t>
  </si>
  <si>
    <t>8.53</t>
  </si>
  <si>
    <t>17.613</t>
  </si>
  <si>
    <t>8.94</t>
  </si>
  <si>
    <t>17.611</t>
  </si>
  <si>
    <t>10.44</t>
  </si>
  <si>
    <t>16.672</t>
  </si>
  <si>
    <t>15.459</t>
  </si>
  <si>
    <t>40.12</t>
  </si>
  <si>
    <t>17.027</t>
  </si>
  <si>
    <t>16.981</t>
  </si>
  <si>
    <t>XB5+600</t>
  </si>
  <si>
    <t>18.649</t>
  </si>
  <si>
    <t>5.38</t>
  </si>
  <si>
    <t>18.511</t>
  </si>
  <si>
    <t>13.22</t>
  </si>
  <si>
    <t>16.202</t>
  </si>
  <si>
    <t>45.47</t>
  </si>
  <si>
    <t>17.779</t>
  </si>
  <si>
    <t>17.844</t>
  </si>
  <si>
    <t>XB5+800</t>
  </si>
  <si>
    <t>16.929</t>
  </si>
  <si>
    <t>4.63</t>
  </si>
  <si>
    <t>17.011</t>
  </si>
  <si>
    <t>4.97</t>
  </si>
  <si>
    <t>17.296</t>
  </si>
  <si>
    <t>5.46</t>
  </si>
  <si>
    <t>17.271</t>
  </si>
  <si>
    <t>7.2</t>
  </si>
  <si>
    <t>16.209</t>
  </si>
  <si>
    <t>7.81</t>
  </si>
  <si>
    <t>16.24</t>
  </si>
  <si>
    <t>14.971</t>
  </si>
  <si>
    <t>16.348</t>
  </si>
  <si>
    <t>30.07</t>
  </si>
  <si>
    <t>31.22</t>
  </si>
  <si>
    <t>46.57</t>
  </si>
  <si>
    <t>16.104</t>
  </si>
  <si>
    <t>16.117</t>
  </si>
  <si>
    <t>XB6+000</t>
  </si>
  <si>
    <t>17.209</t>
  </si>
  <si>
    <t>2.48</t>
  </si>
  <si>
    <t>17.135</t>
  </si>
  <si>
    <t>3.34</t>
  </si>
  <si>
    <t>16.95</t>
  </si>
  <si>
    <t>7.51</t>
  </si>
  <si>
    <t>12.98</t>
  </si>
  <si>
    <t>16.55</t>
  </si>
  <si>
    <t>29.98</t>
  </si>
  <si>
    <t>33.78</t>
  </si>
  <si>
    <t>48.46</t>
  </si>
  <si>
    <t>17.223</t>
  </si>
  <si>
    <t>54.66</t>
  </si>
  <si>
    <t>17.241</t>
  </si>
  <si>
    <t>55.13</t>
  </si>
  <si>
    <t>17.471</t>
  </si>
  <si>
    <t>57.89</t>
  </si>
  <si>
    <t>17.482</t>
  </si>
  <si>
    <t>58.67</t>
  </si>
  <si>
    <t>16.924</t>
  </si>
  <si>
    <t>16.896</t>
  </si>
  <si>
    <t>XB6+200</t>
  </si>
  <si>
    <t>16.895</t>
  </si>
  <si>
    <t>3.63</t>
  </si>
  <si>
    <t>16.867</t>
  </si>
  <si>
    <t>7.25</t>
  </si>
  <si>
    <t>16.807</t>
  </si>
  <si>
    <t>7.75</t>
  </si>
  <si>
    <t>17.132</t>
  </si>
  <si>
    <t>7.89</t>
  </si>
  <si>
    <t>17.126</t>
  </si>
  <si>
    <t>8.74</t>
  </si>
  <si>
    <t>16.477</t>
  </si>
  <si>
    <t>9.34</t>
  </si>
  <si>
    <t>16.444</t>
  </si>
  <si>
    <t>9.8</t>
  </si>
  <si>
    <t>10.47</t>
  </si>
  <si>
    <t>11.48</t>
  </si>
  <si>
    <t>15.698</t>
  </si>
  <si>
    <t>30.05</t>
  </si>
  <si>
    <t>16.692</t>
  </si>
  <si>
    <t>16.584</t>
  </si>
  <si>
    <t>XB6+400</t>
  </si>
  <si>
    <t>16.666</t>
  </si>
  <si>
    <t>7.78</t>
  </si>
  <si>
    <t>16.298</t>
  </si>
  <si>
    <t>9.16</t>
  </si>
  <si>
    <t>15.941</t>
  </si>
  <si>
    <t>46.14</t>
  </si>
  <si>
    <t>16.582</t>
  </si>
  <si>
    <t>55.01</t>
  </si>
  <si>
    <t>16.868</t>
  </si>
  <si>
    <t>16.804</t>
  </si>
  <si>
    <t>XB6+600</t>
  </si>
  <si>
    <t>17.715</t>
  </si>
  <si>
    <t>14.931</t>
  </si>
  <si>
    <t>38.37</t>
  </si>
  <si>
    <t>15.682</t>
  </si>
  <si>
    <t>49.13</t>
  </si>
  <si>
    <t>15.752</t>
  </si>
  <si>
    <t>15.796</t>
  </si>
  <si>
    <t>XB6+800</t>
  </si>
  <si>
    <t>18.133</t>
  </si>
  <si>
    <t>17.94</t>
  </si>
  <si>
    <t>15.17</t>
  </si>
  <si>
    <t>15.722</t>
  </si>
  <si>
    <t>29.96</t>
  </si>
  <si>
    <t>41.91</t>
  </si>
  <si>
    <t>48.7</t>
  </si>
  <si>
    <t>17.229</t>
  </si>
  <si>
    <t>17.232</t>
  </si>
  <si>
    <t>XB7+000</t>
  </si>
  <si>
    <t>17.088</t>
  </si>
  <si>
    <t>7.65</t>
  </si>
  <si>
    <t>10.33</t>
  </si>
  <si>
    <t>16.203</t>
  </si>
  <si>
    <t>39.24</t>
  </si>
  <si>
    <t>49.35</t>
  </si>
  <si>
    <t>16.402</t>
  </si>
  <si>
    <t>XB7+200</t>
  </si>
  <si>
    <t>17.318</t>
  </si>
  <si>
    <t>5.29</t>
  </si>
  <si>
    <t>17.373</t>
  </si>
  <si>
    <t>8.28</t>
  </si>
  <si>
    <t>15.804</t>
  </si>
  <si>
    <t>9.49</t>
  </si>
  <si>
    <t>15.893</t>
  </si>
  <si>
    <t>10.89</t>
  </si>
  <si>
    <t>16.195</t>
  </si>
  <si>
    <t>37.56</t>
  </si>
  <si>
    <t>15.768</t>
  </si>
  <si>
    <t>45.15</t>
  </si>
  <si>
    <t>48.88</t>
  </si>
  <si>
    <t>XB7+400</t>
  </si>
  <si>
    <t>16.884</t>
  </si>
  <si>
    <t>5.06</t>
  </si>
  <si>
    <t>16.909</t>
  </si>
  <si>
    <t>6.98</t>
  </si>
  <si>
    <t>15.827</t>
  </si>
  <si>
    <t>14.82</t>
  </si>
  <si>
    <t>15.593</t>
  </si>
  <si>
    <t>13.822</t>
  </si>
  <si>
    <t>XB7+600</t>
  </si>
  <si>
    <t>16.632</t>
  </si>
  <si>
    <t>6.21</t>
  </si>
  <si>
    <t>16.69</t>
  </si>
  <si>
    <t>16.89</t>
  </si>
  <si>
    <t>39.35</t>
  </si>
  <si>
    <t>15.208</t>
  </si>
  <si>
    <t>43.01</t>
  </si>
  <si>
    <t>15.493</t>
  </si>
  <si>
    <t>15.651</t>
  </si>
  <si>
    <t>XB7+800</t>
  </si>
  <si>
    <t>16.511</t>
  </si>
  <si>
    <t>4.86</t>
  </si>
  <si>
    <t>16.536</t>
  </si>
  <si>
    <t>15.468</t>
  </si>
  <si>
    <t>8.32</t>
  </si>
  <si>
    <t>15.076</t>
  </si>
  <si>
    <t>9.12</t>
  </si>
  <si>
    <t>15.099</t>
  </si>
  <si>
    <t>9.92</t>
  </si>
  <si>
    <t>15.402</t>
  </si>
  <si>
    <t>17.31</t>
  </si>
  <si>
    <t>38.67</t>
  </si>
  <si>
    <t>50.78</t>
  </si>
  <si>
    <t>15.61</t>
  </si>
  <si>
    <t>15.658</t>
  </si>
  <si>
    <t>XB8+000</t>
  </si>
  <si>
    <t>16.481</t>
  </si>
  <si>
    <t>5.87</t>
  </si>
  <si>
    <t>39.76</t>
  </si>
  <si>
    <t>42.37</t>
  </si>
  <si>
    <t>15.439</t>
  </si>
  <si>
    <t>55.63</t>
  </si>
  <si>
    <t>15.418</t>
  </si>
  <si>
    <t>15.4</t>
  </si>
  <si>
    <t>XB8+200</t>
  </si>
  <si>
    <t>15.873</t>
  </si>
  <si>
    <t>9.77</t>
  </si>
  <si>
    <t>40.29</t>
  </si>
  <si>
    <t>14.392</t>
  </si>
  <si>
    <t>43.94</t>
  </si>
  <si>
    <t>15.721</t>
  </si>
  <si>
    <t>55.18</t>
  </si>
  <si>
    <t>15.453</t>
  </si>
  <si>
    <t>15.447</t>
  </si>
  <si>
    <t>XB8+400</t>
  </si>
  <si>
    <t>16.231</t>
  </si>
  <si>
    <t>2.36</t>
  </si>
  <si>
    <t>14.838</t>
  </si>
  <si>
    <t>5.28</t>
  </si>
  <si>
    <t>14.733</t>
  </si>
  <si>
    <t>5.81</t>
  </si>
  <si>
    <t>15.152</t>
  </si>
  <si>
    <t>8.63</t>
  </si>
  <si>
    <t>15.145</t>
  </si>
  <si>
    <t>13.868</t>
  </si>
  <si>
    <t>32.26</t>
  </si>
  <si>
    <t>15.163</t>
  </si>
  <si>
    <t>15.199</t>
  </si>
  <si>
    <t>43.8</t>
  </si>
  <si>
    <t>15.18</t>
  </si>
  <si>
    <t xml:space="preserve">"半荒"
</t>
  </si>
  <si>
    <t>15.194</t>
  </si>
  <si>
    <t>15.25</t>
  </si>
  <si>
    <t>XB8+600</t>
  </si>
  <si>
    <t>2.31</t>
  </si>
  <si>
    <t>15.512</t>
  </si>
  <si>
    <t>3.78</t>
  </si>
  <si>
    <t>14.779</t>
  </si>
  <si>
    <t>4.53</t>
  </si>
  <si>
    <t>14.88</t>
  </si>
  <si>
    <t>6.97</t>
  </si>
  <si>
    <t>14.794</t>
  </si>
  <si>
    <t>9.42</t>
  </si>
  <si>
    <t>14.995</t>
  </si>
  <si>
    <t>10.61</t>
  </si>
  <si>
    <t>14.964</t>
  </si>
  <si>
    <t>16.979</t>
  </si>
  <si>
    <t>17.071</t>
  </si>
  <si>
    <t>30.0</t>
  </si>
  <si>
    <t>15.29</t>
  </si>
  <si>
    <t>36.24</t>
  </si>
  <si>
    <t>15.3</t>
  </si>
  <si>
    <t>47.7</t>
  </si>
  <si>
    <t>15.31</t>
  </si>
  <si>
    <t>57.02</t>
  </si>
  <si>
    <t>15.32</t>
  </si>
  <si>
    <t>XB8+800</t>
  </si>
  <si>
    <t>0.87</t>
  </si>
  <si>
    <t>16.052</t>
  </si>
  <si>
    <t>2.46</t>
  </si>
  <si>
    <t>15.215</t>
  </si>
  <si>
    <t>4.18</t>
  </si>
  <si>
    <t>14.839</t>
  </si>
  <si>
    <t>8.09</t>
  </si>
  <si>
    <t>14.867</t>
  </si>
  <si>
    <t>16.064</t>
  </si>
  <si>
    <t>15.414</t>
  </si>
  <si>
    <t>15.342</t>
  </si>
  <si>
    <t>XB9+000</t>
  </si>
  <si>
    <t>16.432</t>
  </si>
  <si>
    <t>0.59</t>
  </si>
  <si>
    <t>16.341</t>
  </si>
  <si>
    <t>2.73</t>
  </si>
  <si>
    <t>15.362</t>
  </si>
  <si>
    <t>13.483</t>
  </si>
  <si>
    <t>30.09</t>
  </si>
  <si>
    <t>36.17</t>
  </si>
  <si>
    <t>14.433</t>
  </si>
  <si>
    <t>50.43</t>
  </si>
  <si>
    <t>53.76</t>
  </si>
  <si>
    <t>15.337</t>
  </si>
  <si>
    <t>58.37</t>
  </si>
  <si>
    <t>16.26</t>
  </si>
  <si>
    <t>16.214</t>
  </si>
  <si>
    <t>XB9+200</t>
  </si>
  <si>
    <t>16.921</t>
  </si>
  <si>
    <t>1.45</t>
  </si>
  <si>
    <t>16.92</t>
  </si>
  <si>
    <t>4.61</t>
  </si>
  <si>
    <t>15.314</t>
  </si>
  <si>
    <t>9.0</t>
  </si>
  <si>
    <t>15.643</t>
  </si>
  <si>
    <t>40.42</t>
  </si>
  <si>
    <t>14.988</t>
  </si>
  <si>
    <t>52.63</t>
  </si>
  <si>
    <t>14.994</t>
  </si>
  <si>
    <t>14.999</t>
  </si>
  <si>
    <t>XB9+400</t>
  </si>
  <si>
    <t>16.927</t>
  </si>
  <si>
    <t>1.58</t>
  </si>
  <si>
    <t>16.907</t>
  </si>
  <si>
    <t>3.32</t>
  </si>
  <si>
    <t>15.994</t>
  </si>
  <si>
    <t>6.76</t>
  </si>
  <si>
    <t>15.579</t>
  </si>
  <si>
    <t>15.8</t>
  </si>
  <si>
    <t>12.29</t>
  </si>
  <si>
    <t>15.35</t>
  </si>
  <si>
    <t>25.2</t>
  </si>
  <si>
    <t>16.999</t>
  </si>
  <si>
    <t>30.38</t>
  </si>
  <si>
    <t>15.783</t>
  </si>
  <si>
    <t>34.06</t>
  </si>
  <si>
    <t>18.387</t>
  </si>
  <si>
    <t>43.81</t>
  </si>
  <si>
    <t>18.394</t>
  </si>
  <si>
    <t>45.88</t>
  </si>
  <si>
    <t>18.497</t>
  </si>
  <si>
    <t>47.17</t>
  </si>
  <si>
    <t>17.881</t>
  </si>
  <si>
    <t>53.98</t>
  </si>
  <si>
    <t>17.593</t>
  </si>
  <si>
    <t>17.721</t>
  </si>
  <si>
    <t>XB9+600</t>
  </si>
  <si>
    <t>17.422</t>
  </si>
  <si>
    <t>17.4</t>
  </si>
  <si>
    <t>1.0</t>
  </si>
  <si>
    <t>17.535</t>
  </si>
  <si>
    <t>1.62</t>
  </si>
  <si>
    <t>17.481</t>
  </si>
  <si>
    <t>3.72</t>
  </si>
  <si>
    <t>16.067</t>
  </si>
  <si>
    <t>15.278</t>
  </si>
  <si>
    <t>15.049</t>
  </si>
  <si>
    <t>35.06</t>
  </si>
  <si>
    <t>15.047</t>
  </si>
  <si>
    <t>42.34</t>
  </si>
  <si>
    <t>46.36</t>
  </si>
  <si>
    <t>15.972</t>
  </si>
  <si>
    <t>48.04</t>
  </si>
  <si>
    <t>16.748</t>
  </si>
  <si>
    <t>51.01</t>
  </si>
  <si>
    <t>16.64</t>
  </si>
  <si>
    <t>52.48</t>
  </si>
  <si>
    <t>16.018</t>
  </si>
  <si>
    <t>15.048</t>
  </si>
  <si>
    <t>XB9+800</t>
  </si>
  <si>
    <t>16.904</t>
  </si>
  <si>
    <t>1.3</t>
  </si>
  <si>
    <t>16.877</t>
  </si>
  <si>
    <t>3.35</t>
  </si>
  <si>
    <t>15.852</t>
  </si>
  <si>
    <t>6.26</t>
  </si>
  <si>
    <t>15.749</t>
  </si>
  <si>
    <t>15.548</t>
  </si>
  <si>
    <t>11.07</t>
  </si>
  <si>
    <t>16.908</t>
  </si>
  <si>
    <t>34.22</t>
  </si>
  <si>
    <t>35.9</t>
  </si>
  <si>
    <t>53.3</t>
  </si>
  <si>
    <t>15.838</t>
  </si>
  <si>
    <t>16.008</t>
  </si>
  <si>
    <t>XB10+000</t>
  </si>
  <si>
    <t>1.14</t>
  </si>
  <si>
    <t>17.106</t>
  </si>
  <si>
    <t>3.11</t>
  </si>
  <si>
    <t>16.129</t>
  </si>
  <si>
    <t>6.77</t>
  </si>
  <si>
    <t>16.138</t>
  </si>
  <si>
    <t>13.64</t>
  </si>
  <si>
    <t>19.1</t>
  </si>
  <si>
    <t>40.55</t>
  </si>
  <si>
    <t>16.33</t>
  </si>
  <si>
    <t>45.73</t>
  </si>
  <si>
    <t>16.43</t>
  </si>
  <si>
    <t>47.3</t>
  </si>
  <si>
    <t>48.13</t>
  </si>
  <si>
    <t>16.423</t>
  </si>
  <si>
    <t>50.06</t>
  </si>
  <si>
    <t>15.153</t>
  </si>
  <si>
    <t>52.44</t>
  </si>
  <si>
    <t>15.175</t>
  </si>
  <si>
    <t>54.44</t>
  </si>
  <si>
    <t>16.647</t>
  </si>
  <si>
    <t>55.4</t>
  </si>
  <si>
    <t>16.564</t>
  </si>
  <si>
    <t>57.68</t>
  </si>
  <si>
    <t>16.556</t>
  </si>
  <si>
    <t>16.537</t>
  </si>
  <si>
    <t>XB10+200</t>
  </si>
  <si>
    <t>16.974</t>
  </si>
  <si>
    <t>2.42</t>
  </si>
  <si>
    <t>15.915</t>
  </si>
  <si>
    <t>3.9</t>
  </si>
  <si>
    <t>15.895</t>
  </si>
  <si>
    <t>13.92</t>
  </si>
  <si>
    <t>31.77</t>
  </si>
  <si>
    <t>16.688</t>
  </si>
  <si>
    <t>XB10+400</t>
  </si>
  <si>
    <t>17.021</t>
  </si>
  <si>
    <t>4.19</t>
  </si>
  <si>
    <t>16.852</t>
  </si>
  <si>
    <t>5.78</t>
  </si>
  <si>
    <t>15.629</t>
  </si>
  <si>
    <t>15.793</t>
  </si>
  <si>
    <t>16.437</t>
  </si>
  <si>
    <t>35.01</t>
  </si>
  <si>
    <t>16.303</t>
  </si>
  <si>
    <t>36.68</t>
  </si>
  <si>
    <t>15.541</t>
  </si>
  <si>
    <t>38.83</t>
  </si>
  <si>
    <t>41.89</t>
  </si>
  <si>
    <t>17.268</t>
  </si>
  <si>
    <t>17.334</t>
  </si>
  <si>
    <t>17.453</t>
  </si>
  <si>
    <t>XB10+600</t>
  </si>
  <si>
    <t>4.33</t>
  </si>
  <si>
    <t>17.044</t>
  </si>
  <si>
    <t>16.9</t>
  </si>
  <si>
    <t>46.66</t>
  </si>
  <si>
    <t>17.321</t>
  </si>
  <si>
    <t>56.5</t>
  </si>
  <si>
    <t>17.359</t>
  </si>
  <si>
    <t>17.46</t>
  </si>
  <si>
    <t>XB10+800</t>
  </si>
  <si>
    <t>17.254</t>
  </si>
  <si>
    <t>0.6</t>
  </si>
  <si>
    <t>17.083</t>
  </si>
  <si>
    <t>3.67</t>
  </si>
  <si>
    <t>6.93</t>
  </si>
  <si>
    <t>37.8</t>
  </si>
  <si>
    <t>15.764</t>
  </si>
  <si>
    <t>43.06</t>
  </si>
  <si>
    <t>16.655</t>
  </si>
  <si>
    <t>52.52</t>
  </si>
  <si>
    <t>16.702</t>
  </si>
  <si>
    <t>16.589</t>
  </si>
  <si>
    <t>XB11+000</t>
  </si>
  <si>
    <t>56.07</t>
  </si>
  <si>
    <t>17.052</t>
  </si>
  <si>
    <t>XB11+200</t>
  </si>
  <si>
    <t>17.285</t>
  </si>
  <si>
    <t>7.13</t>
  </si>
  <si>
    <t>16.542</t>
  </si>
  <si>
    <t>39.88</t>
  </si>
  <si>
    <t>51.96</t>
  </si>
  <si>
    <t>16.882</t>
  </si>
  <si>
    <t>XB11+400</t>
  </si>
  <si>
    <t>17.179</t>
  </si>
  <si>
    <t>14.92</t>
  </si>
  <si>
    <t>29.4</t>
  </si>
  <si>
    <t>16.211</t>
  </si>
  <si>
    <t>46.43</t>
  </si>
  <si>
    <t>16.463</t>
  </si>
  <si>
    <t>16.252</t>
  </si>
  <si>
    <t>XB11+600</t>
  </si>
  <si>
    <t>17.116</t>
  </si>
  <si>
    <t>1.25</t>
  </si>
  <si>
    <t>17.096</t>
  </si>
  <si>
    <t>3.26</t>
  </si>
  <si>
    <t>15.889</t>
  </si>
  <si>
    <t>14.94</t>
  </si>
  <si>
    <t>16.023</t>
  </si>
  <si>
    <t>16.044</t>
  </si>
  <si>
    <t>51.3</t>
  </si>
  <si>
    <t>58.38</t>
  </si>
  <si>
    <t>16.03</t>
  </si>
  <si>
    <t>16.01</t>
  </si>
  <si>
    <t>XB11+800</t>
  </si>
  <si>
    <t>17.089</t>
  </si>
  <si>
    <t>2.9</t>
  </si>
  <si>
    <t>6.91</t>
  </si>
  <si>
    <t>15.988</t>
  </si>
  <si>
    <t>15.06</t>
  </si>
  <si>
    <t>16.112</t>
  </si>
  <si>
    <t>45.19</t>
  </si>
  <si>
    <t>16.149</t>
  </si>
  <si>
    <t>59.68</t>
  </si>
  <si>
    <t>16.225</t>
  </si>
  <si>
    <t>65.97</t>
  </si>
  <si>
    <t>91.3</t>
  </si>
  <si>
    <t>113.79</t>
  </si>
  <si>
    <t>16.314</t>
  </si>
  <si>
    <t>XB12+000</t>
  </si>
  <si>
    <t>0.51</t>
  </si>
  <si>
    <t>16.757</t>
  </si>
  <si>
    <t>2.71</t>
  </si>
  <si>
    <t>15.664</t>
  </si>
  <si>
    <t>4.22</t>
  </si>
  <si>
    <t>15.714</t>
  </si>
  <si>
    <t>5.14</t>
  </si>
  <si>
    <t>5.67</t>
  </si>
  <si>
    <t>15.378</t>
  </si>
  <si>
    <t>45.33</t>
  </si>
  <si>
    <t>16.096</t>
  </si>
  <si>
    <t>58.44</t>
  </si>
  <si>
    <t>60.97</t>
  </si>
  <si>
    <t>16.109</t>
  </si>
  <si>
    <t>79.57</t>
  </si>
  <si>
    <t>16.15</t>
  </si>
  <si>
    <t>98.25</t>
  </si>
  <si>
    <t>118.95</t>
  </si>
  <si>
    <t>138.59</t>
  </si>
  <si>
    <t>XB12+200</t>
  </si>
  <si>
    <t>16.787</t>
  </si>
  <si>
    <t>16.832</t>
  </si>
  <si>
    <t>2.65</t>
  </si>
  <si>
    <t>15.774</t>
  </si>
  <si>
    <t>16.861</t>
  </si>
  <si>
    <t>44.62</t>
  </si>
  <si>
    <t>16.133</t>
  </si>
  <si>
    <t>51.63</t>
  </si>
  <si>
    <t>16.111</t>
  </si>
  <si>
    <t>58.75</t>
  </si>
  <si>
    <t>16.145</t>
  </si>
  <si>
    <t>83.76</t>
  </si>
  <si>
    <t>16.175</t>
  </si>
  <si>
    <t>108.32</t>
  </si>
  <si>
    <t>135.24</t>
  </si>
  <si>
    <t>16.188</t>
  </si>
  <si>
    <t>XB12+400</t>
  </si>
  <si>
    <t>17.005</t>
  </si>
  <si>
    <t>0.92</t>
  </si>
  <si>
    <t>16.99</t>
  </si>
  <si>
    <t>3.56</t>
  </si>
  <si>
    <t>14.14</t>
  </si>
  <si>
    <t>15.887</t>
  </si>
  <si>
    <t>15.81</t>
  </si>
  <si>
    <t>16.439</t>
  </si>
  <si>
    <t>16.6</t>
  </si>
  <si>
    <t>16.086</t>
  </si>
  <si>
    <t>17.42</t>
  </si>
  <si>
    <t>16.057</t>
  </si>
  <si>
    <t>29.52</t>
  </si>
  <si>
    <t>44.73</t>
  </si>
  <si>
    <t>16.095</t>
  </si>
  <si>
    <t>62.19</t>
  </si>
  <si>
    <t>16.155</t>
  </si>
  <si>
    <t>65.13</t>
  </si>
  <si>
    <t>16.135</t>
  </si>
  <si>
    <t>94.3</t>
  </si>
  <si>
    <t>114.05</t>
  </si>
  <si>
    <t>135.13</t>
  </si>
  <si>
    <t>16.173</t>
  </si>
  <si>
    <t>157.0</t>
  </si>
  <si>
    <t>16.23</t>
  </si>
  <si>
    <t>176.39</t>
  </si>
  <si>
    <t>16.331</t>
  </si>
  <si>
    <t>201.83</t>
  </si>
  <si>
    <t>16.342</t>
  </si>
  <si>
    <t>XB12+600</t>
  </si>
  <si>
    <t>0.62</t>
  </si>
  <si>
    <t>17.252</t>
  </si>
  <si>
    <t>2.44</t>
  </si>
  <si>
    <t>8.71</t>
  </si>
  <si>
    <t>16.11</t>
  </si>
  <si>
    <t>60.27</t>
  </si>
  <si>
    <t>16.058</t>
  </si>
  <si>
    <t>76.06</t>
  </si>
  <si>
    <t>76.36</t>
  </si>
  <si>
    <t>15.911</t>
  </si>
  <si>
    <t>76.68</t>
  </si>
  <si>
    <t>79.01</t>
  </si>
  <si>
    <t>16.062</t>
  </si>
  <si>
    <t>104.86</t>
  </si>
  <si>
    <t>16.193</t>
  </si>
  <si>
    <t>129.23</t>
  </si>
  <si>
    <t>16.14</t>
  </si>
  <si>
    <t>149.76</t>
  </si>
  <si>
    <t>16.114</t>
  </si>
  <si>
    <t>176.88</t>
  </si>
  <si>
    <t>16.032</t>
  </si>
  <si>
    <t>182.21</t>
  </si>
  <si>
    <t>16.187</t>
  </si>
  <si>
    <t>185.71</t>
  </si>
  <si>
    <t>14.212</t>
  </si>
  <si>
    <t>191.69</t>
  </si>
  <si>
    <t>14.242</t>
  </si>
  <si>
    <t>193.47</t>
  </si>
  <si>
    <t>14.666</t>
  </si>
  <si>
    <t>195.95</t>
  </si>
  <si>
    <t>15.926</t>
  </si>
  <si>
    <t>208.06</t>
  </si>
  <si>
    <t>16.262</t>
  </si>
  <si>
    <t>209.4</t>
  </si>
  <si>
    <t>16.489</t>
  </si>
  <si>
    <t>214.59</t>
  </si>
  <si>
    <t>16.352</t>
  </si>
  <si>
    <t>XB12+800</t>
  </si>
  <si>
    <t>16.88</t>
  </si>
  <si>
    <t>0.97</t>
  </si>
  <si>
    <t>15.809</t>
  </si>
  <si>
    <t>53.24</t>
  </si>
  <si>
    <t>15.974</t>
  </si>
  <si>
    <t>72.83</t>
  </si>
  <si>
    <t>16.077</t>
  </si>
  <si>
    <t>77.01</t>
  </si>
  <si>
    <t>16.001</t>
  </si>
  <si>
    <t>80.76</t>
  </si>
  <si>
    <t>16.246</t>
  </si>
  <si>
    <t>81.68</t>
  </si>
  <si>
    <t>87.7</t>
  </si>
  <si>
    <t>16.492</t>
  </si>
  <si>
    <t>89.16</t>
  </si>
  <si>
    <t>105.79</t>
  </si>
  <si>
    <t>16.059</t>
  </si>
  <si>
    <t>131.45</t>
  </si>
  <si>
    <t>16.073</t>
  </si>
  <si>
    <t>134.4</t>
  </si>
  <si>
    <t>16.16</t>
  </si>
  <si>
    <t>137.15</t>
  </si>
  <si>
    <t>13.906</t>
  </si>
  <si>
    <t>147.54</t>
  </si>
  <si>
    <t>150.81</t>
  </si>
  <si>
    <t>15.973</t>
  </si>
  <si>
    <t>153.08</t>
  </si>
  <si>
    <t>15.902</t>
  </si>
  <si>
    <t>177.97</t>
  </si>
  <si>
    <t>XB13+000</t>
  </si>
  <si>
    <t>17.309</t>
  </si>
  <si>
    <t>1.29</t>
  </si>
  <si>
    <t>17.279</t>
  </si>
  <si>
    <t>4.03</t>
  </si>
  <si>
    <t>4.48</t>
  </si>
  <si>
    <t>16.05</t>
  </si>
  <si>
    <t>5.32</t>
  </si>
  <si>
    <t>15.747</t>
  </si>
  <si>
    <t>6.13</t>
  </si>
  <si>
    <t>15.72</t>
  </si>
  <si>
    <t>6.5</t>
  </si>
  <si>
    <t>15.984</t>
  </si>
  <si>
    <t>6.63</t>
  </si>
  <si>
    <t>15.977</t>
  </si>
  <si>
    <t>7.39</t>
  </si>
  <si>
    <t>15.659</t>
  </si>
  <si>
    <t>13.79</t>
  </si>
  <si>
    <t>15.673</t>
  </si>
  <si>
    <t>15.903</t>
  </si>
  <si>
    <t>48.77</t>
  </si>
  <si>
    <t>15.862</t>
  </si>
  <si>
    <t>60.02</t>
  </si>
  <si>
    <t>15.872</t>
  </si>
  <si>
    <t>73.71</t>
  </si>
  <si>
    <t>15.875</t>
  </si>
  <si>
    <t>86.55</t>
  </si>
  <si>
    <t>15.87</t>
  </si>
  <si>
    <t>102.75</t>
  </si>
  <si>
    <t>15.907</t>
  </si>
  <si>
    <t>122.16</t>
  </si>
  <si>
    <t>15.803</t>
  </si>
  <si>
    <t>127.89</t>
  </si>
  <si>
    <t>133.29</t>
  </si>
  <si>
    <t>13.673</t>
  </si>
  <si>
    <t>134.69</t>
  </si>
  <si>
    <t>143.92</t>
  </si>
  <si>
    <t>13.857</t>
  </si>
  <si>
    <t>147.44</t>
  </si>
  <si>
    <t>148.95</t>
  </si>
  <si>
    <t>16.054</t>
  </si>
  <si>
    <t>156.67</t>
  </si>
  <si>
    <t>167.14</t>
  </si>
  <si>
    <t>16.234</t>
  </si>
  <si>
    <t>168.92</t>
  </si>
  <si>
    <t>XB13+200</t>
  </si>
  <si>
    <t>16.827</t>
  </si>
  <si>
    <t>1.12</t>
  </si>
  <si>
    <t>3.15</t>
  </si>
  <si>
    <t>15.818</t>
  </si>
  <si>
    <t>6.64</t>
  </si>
  <si>
    <t>15.572</t>
  </si>
  <si>
    <t>7.45</t>
  </si>
  <si>
    <t>15.349</t>
  </si>
  <si>
    <t>39.26</t>
  </si>
  <si>
    <t>15.771</t>
  </si>
  <si>
    <t>57.2</t>
  </si>
  <si>
    <t>80.92</t>
  </si>
  <si>
    <t>95.05</t>
  </si>
  <si>
    <t>15.725</t>
  </si>
  <si>
    <t>98.6</t>
  </si>
  <si>
    <t>15.74</t>
  </si>
  <si>
    <t>116.08</t>
  </si>
  <si>
    <t>15.636</t>
  </si>
  <si>
    <t>133.56</t>
  </si>
  <si>
    <t>15.532</t>
  </si>
  <si>
    <t>157.33</t>
  </si>
  <si>
    <t>15.655</t>
  </si>
  <si>
    <t>178.54</t>
  </si>
  <si>
    <t>15.693</t>
  </si>
  <si>
    <t>180.24</t>
  </si>
  <si>
    <t>15.622</t>
  </si>
  <si>
    <t>183.15</t>
  </si>
  <si>
    <t>15.822</t>
  </si>
  <si>
    <t>183.51</t>
  </si>
  <si>
    <t>184.2</t>
  </si>
  <si>
    <t>189.54</t>
  </si>
  <si>
    <t>15.706</t>
  </si>
  <si>
    <t>192.38</t>
  </si>
  <si>
    <t>13.726</t>
  </si>
  <si>
    <t>202.37</t>
  </si>
  <si>
    <t>13.799</t>
  </si>
  <si>
    <t>204.42</t>
  </si>
  <si>
    <t>14.943</t>
  </si>
  <si>
    <t>204.93</t>
  </si>
  <si>
    <t>14.986</t>
  </si>
  <si>
    <t>206.67</t>
  </si>
  <si>
    <t>219.25</t>
  </si>
  <si>
    <t>228.51</t>
  </si>
  <si>
    <t>15.663</t>
  </si>
  <si>
    <t>XB13+400</t>
  </si>
  <si>
    <t>16.467</t>
  </si>
  <si>
    <t>16.451</t>
  </si>
  <si>
    <t>5.31</t>
  </si>
  <si>
    <t>46.98</t>
  </si>
  <si>
    <t>15.712</t>
  </si>
  <si>
    <t>70.83</t>
  </si>
  <si>
    <t>96.5</t>
  </si>
  <si>
    <t>15.482</t>
  </si>
  <si>
    <t>97.69</t>
  </si>
  <si>
    <t>15.735</t>
  </si>
  <si>
    <t>118.88</t>
  </si>
  <si>
    <t>15.596</t>
  </si>
  <si>
    <t>148.23</t>
  </si>
  <si>
    <t>163.99</t>
  </si>
  <si>
    <t>15.623</t>
  </si>
  <si>
    <t>179.76</t>
  </si>
  <si>
    <t>199.21</t>
  </si>
  <si>
    <t>15.766</t>
  </si>
  <si>
    <t>200.36</t>
  </si>
  <si>
    <t>202.87</t>
  </si>
  <si>
    <t>15.466</t>
  </si>
  <si>
    <t>204.33</t>
  </si>
  <si>
    <t>15.091</t>
  </si>
  <si>
    <t>207.4</t>
  </si>
  <si>
    <t>209.05</t>
  </si>
  <si>
    <t>13.448</t>
  </si>
  <si>
    <t>217.73</t>
  </si>
  <si>
    <t>13.516</t>
  </si>
  <si>
    <t>218.76</t>
  </si>
  <si>
    <t>14.571</t>
  </si>
  <si>
    <t>221.2</t>
  </si>
  <si>
    <t>15.758</t>
  </si>
  <si>
    <t>225.18</t>
  </si>
  <si>
    <t>15.582</t>
  </si>
  <si>
    <t>231.75</t>
  </si>
  <si>
    <t>232.48</t>
  </si>
  <si>
    <t>15.634</t>
  </si>
  <si>
    <t>241.93</t>
  </si>
  <si>
    <t>15.524</t>
  </si>
  <si>
    <t>XB13+600</t>
  </si>
  <si>
    <t>1.9</t>
  </si>
  <si>
    <t>15.949</t>
  </si>
  <si>
    <t>4.94</t>
  </si>
  <si>
    <t>15.271</t>
  </si>
  <si>
    <t>51.38</t>
  </si>
  <si>
    <t>15.434</t>
  </si>
  <si>
    <t>71.91</t>
  </si>
  <si>
    <t>15.501</t>
  </si>
  <si>
    <t>90.07</t>
  </si>
  <si>
    <t>15.56</t>
  </si>
  <si>
    <t>90.77</t>
  </si>
  <si>
    <t>15.371</t>
  </si>
  <si>
    <t>93.63</t>
  </si>
  <si>
    <t>95.49</t>
  </si>
  <si>
    <t>98.88</t>
  </si>
  <si>
    <t>15.522</t>
  </si>
  <si>
    <t>122.58</t>
  </si>
  <si>
    <t>15.514</t>
  </si>
  <si>
    <t>154.12</t>
  </si>
  <si>
    <t>15.462</t>
  </si>
  <si>
    <t xml:space="preserve">"围墙"
</t>
  </si>
  <si>
    <t>178.4</t>
  </si>
  <si>
    <t>15.5145</t>
  </si>
  <si>
    <t>202.68</t>
  </si>
  <si>
    <t>15.567</t>
  </si>
  <si>
    <t>203.59</t>
  </si>
  <si>
    <t>15.073</t>
  </si>
  <si>
    <t>216.36</t>
  </si>
  <si>
    <t>15.081</t>
  </si>
  <si>
    <t>218.77</t>
  </si>
  <si>
    <t>15.137</t>
  </si>
  <si>
    <t>220.26</t>
  </si>
  <si>
    <t>223.07</t>
  </si>
  <si>
    <t>12.988</t>
  </si>
  <si>
    <t>225.08</t>
  </si>
  <si>
    <t>12.902</t>
  </si>
  <si>
    <t>225.4</t>
  </si>
  <si>
    <t>13.126</t>
  </si>
  <si>
    <t>225.88</t>
  </si>
  <si>
    <t>13.104</t>
  </si>
  <si>
    <t>226.66</t>
  </si>
  <si>
    <t>12.342</t>
  </si>
  <si>
    <t>227.97</t>
  </si>
  <si>
    <t>12.324</t>
  </si>
  <si>
    <t>237.18</t>
  </si>
  <si>
    <t>15.626</t>
  </si>
  <si>
    <t>261.79</t>
  </si>
  <si>
    <t>15.814</t>
  </si>
  <si>
    <t>XB13+800</t>
  </si>
  <si>
    <t>16.089</t>
  </si>
  <si>
    <t>1.21</t>
  </si>
  <si>
    <t>16.027</t>
  </si>
  <si>
    <t>15.205</t>
  </si>
  <si>
    <t>51.24</t>
  </si>
  <si>
    <t>15.264</t>
  </si>
  <si>
    <t>65.83</t>
  </si>
  <si>
    <t>15.237</t>
  </si>
  <si>
    <t>78.88</t>
  </si>
  <si>
    <t>15.178</t>
  </si>
  <si>
    <t>89.23</t>
  </si>
  <si>
    <t>15.288</t>
  </si>
  <si>
    <t>114.68</t>
  </si>
  <si>
    <t>142.71</t>
  </si>
  <si>
    <t>151.85</t>
  </si>
  <si>
    <t>15.223</t>
  </si>
  <si>
    <t xml:space="preserve">"铁丝网"
</t>
  </si>
  <si>
    <t>177.73</t>
  </si>
  <si>
    <t>14.9687</t>
  </si>
  <si>
    <t>203.6</t>
  </si>
  <si>
    <t>14.7143</t>
  </si>
  <si>
    <t>229.48</t>
  </si>
  <si>
    <t>14.46</t>
  </si>
  <si>
    <t>230.05</t>
  </si>
  <si>
    <t>14.67</t>
  </si>
  <si>
    <t>232.85</t>
  </si>
  <si>
    <t>14.632</t>
  </si>
  <si>
    <t>234.64</t>
  </si>
  <si>
    <t>14.517</t>
  </si>
  <si>
    <t>243.31</t>
  </si>
  <si>
    <t>9.927</t>
  </si>
  <si>
    <t>247.46</t>
  </si>
  <si>
    <t>9.869</t>
  </si>
  <si>
    <t>257.35</t>
  </si>
  <si>
    <t>15.253</t>
  </si>
  <si>
    <t>260.29</t>
  </si>
  <si>
    <t>278.2</t>
  </si>
  <si>
    <t>15.282</t>
  </si>
  <si>
    <t>XB14+000</t>
  </si>
  <si>
    <t>15.6</t>
  </si>
  <si>
    <t>15.537</t>
  </si>
  <si>
    <t>7.69</t>
  </si>
  <si>
    <t>14.77</t>
  </si>
  <si>
    <t>11.5</t>
  </si>
  <si>
    <t>18.48</t>
  </si>
  <si>
    <t>42.1</t>
  </si>
  <si>
    <t>15.14</t>
  </si>
  <si>
    <t>64.24</t>
  </si>
  <si>
    <t>15.224</t>
  </si>
  <si>
    <t>67.61</t>
  </si>
  <si>
    <t>92.71</t>
  </si>
  <si>
    <t>15.2394</t>
  </si>
  <si>
    <t>117.8</t>
  </si>
  <si>
    <t>15.2738</t>
  </si>
  <si>
    <t>142.9</t>
  </si>
  <si>
    <t>15.3082</t>
  </si>
  <si>
    <t>167.99</t>
  </si>
  <si>
    <t>15.3426</t>
  </si>
  <si>
    <t>193.08</t>
  </si>
  <si>
    <t>15.377</t>
  </si>
  <si>
    <t>204.97</t>
  </si>
  <si>
    <t>15.435</t>
  </si>
  <si>
    <t>209.32</t>
  </si>
  <si>
    <t>15.575</t>
  </si>
  <si>
    <t>214.17</t>
  </si>
  <si>
    <t>13.87</t>
  </si>
  <si>
    <t>217.09</t>
  </si>
  <si>
    <t>13.879</t>
  </si>
  <si>
    <t>219.79</t>
  </si>
  <si>
    <t>13.035</t>
  </si>
  <si>
    <t>226.84</t>
  </si>
  <si>
    <t>12.739</t>
  </si>
  <si>
    <t>227.24</t>
  </si>
  <si>
    <t>12.83</t>
  </si>
  <si>
    <t>230.73</t>
  </si>
  <si>
    <t>14.367</t>
  </si>
  <si>
    <t>233.75</t>
  </si>
  <si>
    <t>236.26</t>
  </si>
  <si>
    <t>15.306</t>
  </si>
  <si>
    <t>251.81</t>
  </si>
  <si>
    <t>15.319</t>
  </si>
  <si>
    <t>267.36</t>
  </si>
  <si>
    <t>15.332</t>
  </si>
  <si>
    <t>XB14+200</t>
  </si>
  <si>
    <t>3.42</t>
  </si>
  <si>
    <t>15.876</t>
  </si>
  <si>
    <t>46.52</t>
  </si>
  <si>
    <t>15.5645</t>
  </si>
  <si>
    <t>68.47</t>
  </si>
  <si>
    <t>75.43</t>
  </si>
  <si>
    <t>15.156</t>
  </si>
  <si>
    <t>95.69</t>
  </si>
  <si>
    <t>118.77</t>
  </si>
  <si>
    <t>15.1575</t>
  </si>
  <si>
    <t>141.85</t>
  </si>
  <si>
    <t>15.162</t>
  </si>
  <si>
    <t>171.04</t>
  </si>
  <si>
    <t>15.15</t>
  </si>
  <si>
    <t>195.2</t>
  </si>
  <si>
    <t>15.146</t>
  </si>
  <si>
    <t>220.82</t>
  </si>
  <si>
    <t>15.197</t>
  </si>
  <si>
    <t>236.6</t>
  </si>
  <si>
    <t>15.328</t>
  </si>
  <si>
    <t>239.89</t>
  </si>
  <si>
    <t>241.13</t>
  </si>
  <si>
    <t>16.377</t>
  </si>
  <si>
    <t>243.64</t>
  </si>
  <si>
    <t>246.14</t>
  </si>
  <si>
    <t>13.165</t>
  </si>
  <si>
    <t>253.29</t>
  </si>
  <si>
    <t>13.211</t>
  </si>
  <si>
    <t>257.28</t>
  </si>
  <si>
    <t>13.32</t>
  </si>
  <si>
    <t>262.33</t>
  </si>
  <si>
    <t>15.269</t>
  </si>
  <si>
    <t>265.05</t>
  </si>
  <si>
    <t>15.121</t>
  </si>
  <si>
    <t>284.98</t>
  </si>
  <si>
    <t>15.268</t>
  </si>
  <si>
    <t>XB14+400</t>
  </si>
  <si>
    <t>15.755</t>
  </si>
  <si>
    <t>2.63</t>
  </si>
  <si>
    <t>15.696</t>
  </si>
  <si>
    <t>5.2</t>
  </si>
  <si>
    <t>15.373</t>
  </si>
  <si>
    <t>15.105</t>
  </si>
  <si>
    <t>12.12</t>
  </si>
  <si>
    <t>14.29</t>
  </si>
  <si>
    <t>47.79</t>
  </si>
  <si>
    <t>14.893</t>
  </si>
  <si>
    <t>65.65</t>
  </si>
  <si>
    <t>81.23</t>
  </si>
  <si>
    <t>15.0345</t>
  </si>
  <si>
    <t>96.81</t>
  </si>
  <si>
    <t>15.009</t>
  </si>
  <si>
    <t>113.31</t>
  </si>
  <si>
    <t>14.9765</t>
  </si>
  <si>
    <t>129.82</t>
  </si>
  <si>
    <t>14.944</t>
  </si>
  <si>
    <t>141.95</t>
  </si>
  <si>
    <t>14.98</t>
  </si>
  <si>
    <t>14.926</t>
  </si>
  <si>
    <t>172.95</t>
  </si>
  <si>
    <t>14.974</t>
  </si>
  <si>
    <t>191.78</t>
  </si>
  <si>
    <t>15.022</t>
  </si>
  <si>
    <t>206.75</t>
  </si>
  <si>
    <t>15.236</t>
  </si>
  <si>
    <t>214.48</t>
  </si>
  <si>
    <t>15.228</t>
  </si>
  <si>
    <t>229.93</t>
  </si>
  <si>
    <t>15.011</t>
  </si>
  <si>
    <t>243.89</t>
  </si>
  <si>
    <t>15.195</t>
  </si>
  <si>
    <t>247.25</t>
  </si>
  <si>
    <t>15.201</t>
  </si>
  <si>
    <t>248.5</t>
  </si>
  <si>
    <t>15.183</t>
  </si>
  <si>
    <t>252.64</t>
  </si>
  <si>
    <t>12.903</t>
  </si>
  <si>
    <t>264.21</t>
  </si>
  <si>
    <t>13.056</t>
  </si>
  <si>
    <t>266.74</t>
  </si>
  <si>
    <t>14.983</t>
  </si>
  <si>
    <t>276.61</t>
  </si>
  <si>
    <t>14.938</t>
  </si>
  <si>
    <t>277.97</t>
  </si>
  <si>
    <t>14.952</t>
  </si>
  <si>
    <t>279.31</t>
  </si>
  <si>
    <t>15.191</t>
  </si>
  <si>
    <t>293.96</t>
  </si>
  <si>
    <t>15.071</t>
  </si>
  <si>
    <t>XB14+600</t>
  </si>
  <si>
    <t>15.356</t>
  </si>
  <si>
    <t>1.48</t>
  </si>
  <si>
    <t>15.265</t>
  </si>
  <si>
    <t>3.19</t>
  </si>
  <si>
    <t>14.876</t>
  </si>
  <si>
    <t>51.6</t>
  </si>
  <si>
    <t>14.815</t>
  </si>
  <si>
    <t>61.58</t>
  </si>
  <si>
    <t>14.954</t>
  </si>
  <si>
    <t>86.63</t>
  </si>
  <si>
    <t>14.96</t>
  </si>
  <si>
    <t>111.67</t>
  </si>
  <si>
    <t>14.966</t>
  </si>
  <si>
    <t>136.72</t>
  </si>
  <si>
    <t>14.972</t>
  </si>
  <si>
    <t>161.77</t>
  </si>
  <si>
    <t>14.978</t>
  </si>
  <si>
    <t>166.41</t>
  </si>
  <si>
    <t>14.886</t>
  </si>
  <si>
    <t>171.24</t>
  </si>
  <si>
    <t>14.921</t>
  </si>
  <si>
    <t>177.28</t>
  </si>
  <si>
    <t>14.803</t>
  </si>
  <si>
    <t>201.71</t>
  </si>
  <si>
    <t>14.722</t>
  </si>
  <si>
    <t>226.9</t>
  </si>
  <si>
    <t>14.789</t>
  </si>
  <si>
    <t>243.16</t>
  </si>
  <si>
    <t>15.069</t>
  </si>
  <si>
    <t>245.49</t>
  </si>
  <si>
    <t>16.735</t>
  </si>
  <si>
    <t>16.578</t>
  </si>
  <si>
    <t>248.2</t>
  </si>
  <si>
    <t>15.981</t>
  </si>
  <si>
    <t>248.92</t>
  </si>
  <si>
    <t>15.967</t>
  </si>
  <si>
    <t>258.29</t>
  </si>
  <si>
    <t>9.427</t>
  </si>
  <si>
    <t>269.51</t>
  </si>
  <si>
    <t>9.668</t>
  </si>
  <si>
    <t>275.3</t>
  </si>
  <si>
    <t>285.13</t>
  </si>
  <si>
    <t>15.127</t>
  </si>
  <si>
    <t>301.8</t>
  </si>
  <si>
    <t>XB14+800</t>
  </si>
  <si>
    <t>14.629</t>
  </si>
  <si>
    <t>2.79</t>
  </si>
  <si>
    <t>14.602</t>
  </si>
  <si>
    <t>3.45</t>
  </si>
  <si>
    <t>14.896</t>
  </si>
  <si>
    <t>4.5</t>
  </si>
  <si>
    <t>15.055</t>
  </si>
  <si>
    <t>10.07</t>
  </si>
  <si>
    <t>15.052</t>
  </si>
  <si>
    <t>19.29</t>
  </si>
  <si>
    <t>15.028</t>
  </si>
  <si>
    <t>40.53</t>
  </si>
  <si>
    <t>15.063</t>
  </si>
  <si>
    <t>54.72</t>
  </si>
  <si>
    <t>67.89</t>
  </si>
  <si>
    <t>14.976</t>
  </si>
  <si>
    <t>79.63</t>
  </si>
  <si>
    <t>14.62</t>
  </si>
  <si>
    <t>103.0</t>
  </si>
  <si>
    <t>128.8</t>
  </si>
  <si>
    <t>14.842</t>
  </si>
  <si>
    <t>151.11</t>
  </si>
  <si>
    <t>14.604</t>
  </si>
  <si>
    <t>156.62</t>
  </si>
  <si>
    <t>14.618</t>
  </si>
  <si>
    <t>159.2</t>
  </si>
  <si>
    <t>16.283</t>
  </si>
  <si>
    <t>160.17</t>
  </si>
  <si>
    <t>16.296</t>
  </si>
  <si>
    <t>172.61</t>
  </si>
  <si>
    <t>8.795</t>
  </si>
  <si>
    <t>183.49</t>
  </si>
  <si>
    <t>8.724</t>
  </si>
  <si>
    <t>190.12</t>
  </si>
  <si>
    <t>198.29</t>
  </si>
  <si>
    <t>12.671</t>
  </si>
  <si>
    <t>202.65</t>
  </si>
  <si>
    <t>15.133</t>
  </si>
  <si>
    <t>226.48</t>
  </si>
  <si>
    <t>15.058</t>
  </si>
  <si>
    <t>XB15+000</t>
  </si>
  <si>
    <t>14.804</t>
  </si>
  <si>
    <t>2.38</t>
  </si>
  <si>
    <t>14.727</t>
  </si>
  <si>
    <t>10.8</t>
  </si>
  <si>
    <t>14.528</t>
  </si>
  <si>
    <t>13.93</t>
  </si>
  <si>
    <t>50.4</t>
  </si>
  <si>
    <t>14.57</t>
  </si>
  <si>
    <t>67.25</t>
  </si>
  <si>
    <t>14.675</t>
  </si>
  <si>
    <t>70.28</t>
  </si>
  <si>
    <t>14.527</t>
  </si>
  <si>
    <t>73.86</t>
  </si>
  <si>
    <t>14.446</t>
  </si>
  <si>
    <t>74.78</t>
  </si>
  <si>
    <t>14.491</t>
  </si>
  <si>
    <t>77.13</t>
  </si>
  <si>
    <t>12.961</t>
  </si>
  <si>
    <t>81.47</t>
  </si>
  <si>
    <t>13.282</t>
  </si>
  <si>
    <t>81.94</t>
  </si>
  <si>
    <t>10.778</t>
  </si>
  <si>
    <t>87.65</t>
  </si>
  <si>
    <t>10.862</t>
  </si>
  <si>
    <t>88.29</t>
  </si>
  <si>
    <t>11.189</t>
  </si>
  <si>
    <t>97.77</t>
  </si>
  <si>
    <t>11.289</t>
  </si>
  <si>
    <t>98.74</t>
  </si>
  <si>
    <t>11.472</t>
  </si>
  <si>
    <t>99.9</t>
  </si>
  <si>
    <t>116.36</t>
  </si>
  <si>
    <t>14.9715</t>
  </si>
  <si>
    <t>132.83</t>
  </si>
  <si>
    <t>14.979</t>
  </si>
  <si>
    <t>XB15+200</t>
  </si>
  <si>
    <t>14.781</t>
  </si>
  <si>
    <t>20.6</t>
  </si>
  <si>
    <t>14.512</t>
  </si>
  <si>
    <t>24.46</t>
  </si>
  <si>
    <t>14.617</t>
  </si>
  <si>
    <t>26.4</t>
  </si>
  <si>
    <t>14.584</t>
  </si>
  <si>
    <t>29.11</t>
  </si>
  <si>
    <t>14.596</t>
  </si>
  <si>
    <t>65.23</t>
  </si>
  <si>
    <t>13.831</t>
  </si>
  <si>
    <t>66.46</t>
  </si>
  <si>
    <t>13.915</t>
  </si>
  <si>
    <t>69.64</t>
  </si>
  <si>
    <t>13.867</t>
  </si>
  <si>
    <t>73.02</t>
  </si>
  <si>
    <t>13.855</t>
  </si>
  <si>
    <t xml:space="preserve">"墓地"
</t>
  </si>
  <si>
    <t>74.21</t>
  </si>
  <si>
    <t>14.291</t>
  </si>
  <si>
    <t>87.47</t>
  </si>
  <si>
    <t>14.43</t>
  </si>
  <si>
    <t>90.97</t>
  </si>
  <si>
    <t>14.435</t>
  </si>
  <si>
    <t>XB15+400</t>
  </si>
  <si>
    <t>14.48</t>
  </si>
  <si>
    <t>3.82</t>
  </si>
  <si>
    <t>14.464</t>
  </si>
  <si>
    <t>13.15</t>
  </si>
  <si>
    <t>14.498</t>
  </si>
  <si>
    <t>22.2</t>
  </si>
  <si>
    <t>14.424</t>
  </si>
  <si>
    <t>55.87</t>
  </si>
  <si>
    <t>14.751</t>
  </si>
  <si>
    <t>57.08</t>
  </si>
  <si>
    <t>14.661</t>
  </si>
  <si>
    <t>57.64</t>
  </si>
  <si>
    <t>58.43</t>
  </si>
  <si>
    <t>60.83</t>
  </si>
  <si>
    <t>63.32</t>
  </si>
  <si>
    <t>15.584</t>
  </si>
  <si>
    <t>65.59</t>
  </si>
  <si>
    <t>14.518</t>
  </si>
  <si>
    <t>66.74</t>
  </si>
  <si>
    <t>14.484</t>
  </si>
  <si>
    <t>83.18</t>
  </si>
  <si>
    <t>14.469</t>
  </si>
  <si>
    <t>XB15+600</t>
  </si>
  <si>
    <t>14.776</t>
  </si>
  <si>
    <t>5.43</t>
  </si>
  <si>
    <t>14.465</t>
  </si>
  <si>
    <t>6.8</t>
  </si>
  <si>
    <t>14.055</t>
  </si>
  <si>
    <t>15.7</t>
  </si>
  <si>
    <t>13.741</t>
  </si>
  <si>
    <t>13.708</t>
  </si>
  <si>
    <t>31.14</t>
  </si>
  <si>
    <t>13.753</t>
  </si>
  <si>
    <t>34.73</t>
  </si>
  <si>
    <t>13.755</t>
  </si>
  <si>
    <t>45.45</t>
  </si>
  <si>
    <t>13.998</t>
  </si>
  <si>
    <t>60.56</t>
  </si>
  <si>
    <t>14.066</t>
  </si>
  <si>
    <t>67.8</t>
  </si>
  <si>
    <t>14.152</t>
  </si>
  <si>
    <t>70.29</t>
  </si>
  <si>
    <t>15.469</t>
  </si>
  <si>
    <t>72.7</t>
  </si>
  <si>
    <t>15.449</t>
  </si>
  <si>
    <t>93.41</t>
  </si>
  <si>
    <t>11.857</t>
  </si>
  <si>
    <t>95.41</t>
  </si>
  <si>
    <t>13.891</t>
  </si>
  <si>
    <t>96.32</t>
  </si>
  <si>
    <t>14.056</t>
  </si>
  <si>
    <t>98.37</t>
  </si>
  <si>
    <t>15.633</t>
  </si>
  <si>
    <t>99.33</t>
  </si>
  <si>
    <t>15.695</t>
  </si>
  <si>
    <t>99.67</t>
  </si>
  <si>
    <t>100.38</t>
  </si>
  <si>
    <t>15.983</t>
  </si>
  <si>
    <t>102.93</t>
  </si>
  <si>
    <t>104.52</t>
  </si>
  <si>
    <t>16.015</t>
  </si>
  <si>
    <t>106.02</t>
  </si>
  <si>
    <t>14.173</t>
  </si>
  <si>
    <t>109.35</t>
  </si>
  <si>
    <t>14.185</t>
  </si>
  <si>
    <t>110.76</t>
  </si>
  <si>
    <t>14.162</t>
  </si>
  <si>
    <t>122.23</t>
  </si>
  <si>
    <t>14.151</t>
  </si>
  <si>
    <t>XB15+800</t>
  </si>
  <si>
    <t>14.283</t>
  </si>
  <si>
    <t>14.239</t>
  </si>
  <si>
    <t>6.57</t>
  </si>
  <si>
    <t>14.037</t>
  </si>
  <si>
    <t>10.15</t>
  </si>
  <si>
    <t>13.36</t>
  </si>
  <si>
    <t>13.995</t>
  </si>
  <si>
    <t>21.55</t>
  </si>
  <si>
    <t>13.957</t>
  </si>
  <si>
    <t>27.63</t>
  </si>
  <si>
    <t>13.986</t>
  </si>
  <si>
    <t>42.78</t>
  </si>
  <si>
    <t>13.919</t>
  </si>
  <si>
    <t>55.14</t>
  </si>
  <si>
    <t>68.84</t>
  </si>
  <si>
    <t>80.11</t>
  </si>
  <si>
    <t>11.726</t>
  </si>
  <si>
    <t>81.27</t>
  </si>
  <si>
    <t>12.69</t>
  </si>
  <si>
    <t>81.81</t>
  </si>
  <si>
    <t>12.674</t>
  </si>
  <si>
    <t>85.15</t>
  </si>
  <si>
    <t>87.08</t>
  </si>
  <si>
    <t>15.62</t>
  </si>
  <si>
    <t>89.62</t>
  </si>
  <si>
    <t>15.594</t>
  </si>
  <si>
    <t>90.51</t>
  </si>
  <si>
    <t>92.57</t>
  </si>
  <si>
    <t>14.669</t>
  </si>
  <si>
    <t>96.23</t>
  </si>
  <si>
    <t>14.525</t>
  </si>
  <si>
    <t>97.33</t>
  </si>
  <si>
    <t>13.983</t>
  </si>
  <si>
    <t>101.13</t>
  </si>
  <si>
    <t>14.003</t>
  </si>
  <si>
    <t>106.18</t>
  </si>
  <si>
    <t>13.991</t>
  </si>
  <si>
    <t>XB16+000</t>
  </si>
  <si>
    <t>13.716</t>
  </si>
  <si>
    <t>5.89</t>
  </si>
  <si>
    <t>13.682</t>
  </si>
  <si>
    <t>9.76</t>
  </si>
  <si>
    <t>13.653</t>
  </si>
  <si>
    <t>17.58</t>
  </si>
  <si>
    <t>11.656</t>
  </si>
  <si>
    <t>21.94</t>
  </si>
  <si>
    <t>10.545</t>
  </si>
  <si>
    <t>23.92</t>
  </si>
  <si>
    <t>10.429</t>
  </si>
  <si>
    <t>10.476</t>
  </si>
  <si>
    <t>27.34</t>
  </si>
  <si>
    <t>11.861</t>
  </si>
  <si>
    <t>29.97</t>
  </si>
  <si>
    <t>13.097</t>
  </si>
  <si>
    <t>31.78</t>
  </si>
  <si>
    <t>13.844</t>
  </si>
  <si>
    <t>37.02</t>
  </si>
  <si>
    <t>13.94</t>
  </si>
  <si>
    <t>48.64</t>
  </si>
  <si>
    <t>13.845</t>
  </si>
  <si>
    <t>72.67</t>
  </si>
  <si>
    <t>14.063</t>
  </si>
  <si>
    <t>73.49</t>
  </si>
  <si>
    <t>14.441</t>
  </si>
  <si>
    <t>104.34</t>
  </si>
  <si>
    <t>104.89</t>
  </si>
  <si>
    <t>15.719</t>
  </si>
  <si>
    <t>107.6</t>
  </si>
  <si>
    <t>15.694</t>
  </si>
  <si>
    <t>108.54</t>
  </si>
  <si>
    <t>110.72</t>
  </si>
  <si>
    <t>14.216</t>
  </si>
  <si>
    <t>115.0</t>
  </si>
  <si>
    <t>14.085</t>
  </si>
  <si>
    <t>124.86</t>
  </si>
  <si>
    <t>13.934</t>
  </si>
  <si>
    <t>XB16+200</t>
  </si>
  <si>
    <t>13.519</t>
  </si>
  <si>
    <t>3.88</t>
  </si>
  <si>
    <t>13.528</t>
  </si>
  <si>
    <t>13.431</t>
  </si>
  <si>
    <t>11.54</t>
  </si>
  <si>
    <t>11.599</t>
  </si>
  <si>
    <t>16.81</t>
  </si>
  <si>
    <t>9.287</t>
  </si>
  <si>
    <t>29.48</t>
  </si>
  <si>
    <t>9.186</t>
  </si>
  <si>
    <t>34.21</t>
  </si>
  <si>
    <t>9.444</t>
  </si>
  <si>
    <t>14.009</t>
  </si>
  <si>
    <t>62.92</t>
  </si>
  <si>
    <t>11.774</t>
  </si>
  <si>
    <t>66.15</t>
  </si>
  <si>
    <t>13.504</t>
  </si>
  <si>
    <t>69.26</t>
  </si>
  <si>
    <t>72.24</t>
  </si>
  <si>
    <t>73.07</t>
  </si>
  <si>
    <t>14.816</t>
  </si>
  <si>
    <t>75.59</t>
  </si>
  <si>
    <t>13.874</t>
  </si>
  <si>
    <t>81.7</t>
  </si>
  <si>
    <t>13.793</t>
  </si>
  <si>
    <t>88.01</t>
  </si>
  <si>
    <t>13.922</t>
  </si>
  <si>
    <t>97.15</t>
  </si>
  <si>
    <t>XB16+400</t>
  </si>
  <si>
    <t>13.751</t>
  </si>
  <si>
    <t>4.04</t>
  </si>
  <si>
    <t>13.747</t>
  </si>
  <si>
    <t>13.446</t>
  </si>
  <si>
    <t>13.151</t>
  </si>
  <si>
    <t>20.06</t>
  </si>
  <si>
    <t>12.88</t>
  </si>
  <si>
    <t>13.088</t>
  </si>
  <si>
    <t>37.41</t>
  </si>
  <si>
    <t>13.399</t>
  </si>
  <si>
    <t>54.47</t>
  </si>
  <si>
    <t>14.237</t>
  </si>
  <si>
    <t>11.302</t>
  </si>
  <si>
    <t>68.33</t>
  </si>
  <si>
    <t>74.76</t>
  </si>
  <si>
    <t>14.348</t>
  </si>
  <si>
    <t>75.88</t>
  </si>
  <si>
    <t>76.62</t>
  </si>
  <si>
    <t>14.984</t>
  </si>
  <si>
    <t>77.1</t>
  </si>
  <si>
    <t>79.53</t>
  </si>
  <si>
    <t>80.6</t>
  </si>
  <si>
    <t>15.061</t>
  </si>
  <si>
    <t xml:space="preserve">"栅栏"
</t>
  </si>
  <si>
    <t>83.11</t>
  </si>
  <si>
    <t>88.02</t>
  </si>
  <si>
    <t>11.05</t>
  </si>
  <si>
    <t>98.57</t>
  </si>
  <si>
    <t>10.92</t>
  </si>
  <si>
    <t>XB16+600</t>
  </si>
  <si>
    <t>13.639</t>
  </si>
  <si>
    <t>7.85</t>
  </si>
  <si>
    <t>13.429</t>
  </si>
  <si>
    <t>12.985</t>
  </si>
  <si>
    <t>25.74</t>
  </si>
  <si>
    <t>12.831</t>
  </si>
  <si>
    <t>30.29</t>
  </si>
  <si>
    <t>12.787</t>
  </si>
  <si>
    <t>38.25</t>
  </si>
  <si>
    <t>12.872</t>
  </si>
  <si>
    <t>46.63</t>
  </si>
  <si>
    <t>12.998</t>
  </si>
  <si>
    <t>65.2</t>
  </si>
  <si>
    <t>13.467</t>
  </si>
  <si>
    <t>83.62</t>
  </si>
  <si>
    <t>11.519</t>
  </si>
  <si>
    <t>87.03</t>
  </si>
  <si>
    <t>12.945</t>
  </si>
  <si>
    <t>89.67</t>
  </si>
  <si>
    <t>14.549</t>
  </si>
  <si>
    <t>90.56</t>
  </si>
  <si>
    <t>14.677</t>
  </si>
  <si>
    <t>90.93</t>
  </si>
  <si>
    <t>15.185</t>
  </si>
  <si>
    <t>92.08</t>
  </si>
  <si>
    <t>94.59</t>
  </si>
  <si>
    <t>95.72</t>
  </si>
  <si>
    <t>97.51</t>
  </si>
  <si>
    <t>103.2</t>
  </si>
  <si>
    <t>10.87</t>
  </si>
  <si>
    <t>115.79</t>
  </si>
  <si>
    <t>XB16+800</t>
  </si>
  <si>
    <t>13.756</t>
  </si>
  <si>
    <t>4.47</t>
  </si>
  <si>
    <t>13.806</t>
  </si>
  <si>
    <t>9.74</t>
  </si>
  <si>
    <t>13.105</t>
  </si>
  <si>
    <t>19.08</t>
  </si>
  <si>
    <t>13.065</t>
  </si>
  <si>
    <t>26.62</t>
  </si>
  <si>
    <t>13.298</t>
  </si>
  <si>
    <t>37.26</t>
  </si>
  <si>
    <t>13.279</t>
  </si>
  <si>
    <t>47.25</t>
  </si>
  <si>
    <t>13.196</t>
  </si>
  <si>
    <t>56.67</t>
  </si>
  <si>
    <t>13.177</t>
  </si>
  <si>
    <t>65.47</t>
  </si>
  <si>
    <t>13.284</t>
  </si>
  <si>
    <t>69.14</t>
  </si>
  <si>
    <t>15.181</t>
  </si>
  <si>
    <t>70.94</t>
  </si>
  <si>
    <t>15.12</t>
  </si>
  <si>
    <t>77.87</t>
  </si>
  <si>
    <t>11.482</t>
  </si>
  <si>
    <t>79.35</t>
  </si>
  <si>
    <t>11.12</t>
  </si>
  <si>
    <t>84.46</t>
  </si>
  <si>
    <t>11.361</t>
  </si>
  <si>
    <t>88.17</t>
  </si>
  <si>
    <t>12.306</t>
  </si>
  <si>
    <t>90.7</t>
  </si>
  <si>
    <t>13.611</t>
  </si>
  <si>
    <t>91.93</t>
  </si>
  <si>
    <t>14.466</t>
  </si>
  <si>
    <t>95.76</t>
  </si>
  <si>
    <t>14.416</t>
  </si>
  <si>
    <t>99.58</t>
  </si>
  <si>
    <t>14.471</t>
  </si>
  <si>
    <t>102.23</t>
  </si>
  <si>
    <t>14.363</t>
  </si>
  <si>
    <t>115.32</t>
  </si>
  <si>
    <t>13.974</t>
  </si>
  <si>
    <t>XB17+000</t>
  </si>
  <si>
    <t>13.019</t>
  </si>
  <si>
    <t>2.96</t>
  </si>
  <si>
    <t>13.375</t>
  </si>
  <si>
    <t>9.57</t>
  </si>
  <si>
    <t>13.34</t>
  </si>
  <si>
    <t>18.71</t>
  </si>
  <si>
    <t>13.203</t>
  </si>
  <si>
    <t>13.433</t>
  </si>
  <si>
    <t>39.69</t>
  </si>
  <si>
    <t>51.86</t>
  </si>
  <si>
    <t>13.49</t>
  </si>
  <si>
    <t>76.08</t>
  </si>
  <si>
    <t>81.77</t>
  </si>
  <si>
    <t>82.69</t>
  </si>
  <si>
    <t>15.135</t>
  </si>
  <si>
    <t>84.26</t>
  </si>
  <si>
    <t>15.129</t>
  </si>
  <si>
    <t>86.99</t>
  </si>
  <si>
    <t>15.113</t>
  </si>
  <si>
    <t>87.71</t>
  </si>
  <si>
    <t>91.16</t>
  </si>
  <si>
    <t>13.889</t>
  </si>
  <si>
    <t>97.52</t>
  </si>
  <si>
    <t>13.417</t>
  </si>
  <si>
    <t>103.88</t>
  </si>
  <si>
    <t>13.531</t>
  </si>
  <si>
    <t>105.72</t>
  </si>
  <si>
    <t>13.534</t>
  </si>
  <si>
    <t>XB17+200</t>
  </si>
  <si>
    <t>13.199</t>
  </si>
  <si>
    <t>7.15</t>
  </si>
  <si>
    <t>13.244</t>
  </si>
  <si>
    <t>17.33</t>
  </si>
  <si>
    <t>13.215</t>
  </si>
  <si>
    <t>13.162</t>
  </si>
  <si>
    <t>37.94</t>
  </si>
  <si>
    <t>13.197</t>
  </si>
  <si>
    <t>47.96</t>
  </si>
  <si>
    <t>13.152</t>
  </si>
  <si>
    <t>56.58</t>
  </si>
  <si>
    <t>13.229</t>
  </si>
  <si>
    <t>62.8</t>
  </si>
  <si>
    <t>13.382</t>
  </si>
  <si>
    <t>64.89</t>
  </si>
  <si>
    <t>65.24</t>
  </si>
  <si>
    <t>14.898</t>
  </si>
  <si>
    <t>66.78</t>
  </si>
  <si>
    <t>14.203</t>
  </si>
  <si>
    <t>70.02</t>
  </si>
  <si>
    <t>14.368</t>
  </si>
  <si>
    <t>99.53</t>
  </si>
  <si>
    <t>14.277</t>
  </si>
  <si>
    <t>100.18</t>
  </si>
  <si>
    <t>13.489</t>
  </si>
  <si>
    <t>100.91</t>
  </si>
  <si>
    <t>111.61</t>
  </si>
  <si>
    <t>13.217</t>
  </si>
  <si>
    <t>119.87</t>
  </si>
  <si>
    <t>13.234</t>
  </si>
  <si>
    <t>XB17+400</t>
  </si>
  <si>
    <t>14.148</t>
  </si>
  <si>
    <t>7.04</t>
  </si>
  <si>
    <t>13.262</t>
  </si>
  <si>
    <t>15.5</t>
  </si>
  <si>
    <t>12.852</t>
  </si>
  <si>
    <t>24.29</t>
  </si>
  <si>
    <t>12.76</t>
  </si>
  <si>
    <t>30.15</t>
  </si>
  <si>
    <t>12.747</t>
  </si>
  <si>
    <t>39.0</t>
  </si>
  <si>
    <t>12.791</t>
  </si>
  <si>
    <t>51.88</t>
  </si>
  <si>
    <t>12.803</t>
  </si>
  <si>
    <t>59.23</t>
  </si>
  <si>
    <t>13.017</t>
  </si>
  <si>
    <t>67.81</t>
  </si>
  <si>
    <t>13.141</t>
  </si>
  <si>
    <t>70.82</t>
  </si>
  <si>
    <t>74.91</t>
  </si>
  <si>
    <t>15.095</t>
  </si>
  <si>
    <t>105.65</t>
  </si>
  <si>
    <t>14.69</t>
  </si>
  <si>
    <t>106.97</t>
  </si>
  <si>
    <t>14.757</t>
  </si>
  <si>
    <t>107.66</t>
  </si>
  <si>
    <t>13.352</t>
  </si>
  <si>
    <t>114.64</t>
  </si>
  <si>
    <t>13.218</t>
  </si>
  <si>
    <t>118.67</t>
  </si>
  <si>
    <t>18.69</t>
  </si>
  <si>
    <t>20.56</t>
  </si>
  <si>
    <t>20.85</t>
  </si>
  <si>
    <t>24.13</t>
  </si>
  <si>
    <t>24.44</t>
  </si>
  <si>
    <t>30.1</t>
  </si>
  <si>
    <t>34.93</t>
  </si>
  <si>
    <t>36.26</t>
  </si>
  <si>
    <t>42.22</t>
  </si>
  <si>
    <t>10.894</t>
  </si>
  <si>
    <t>13.037</t>
  </si>
  <si>
    <t>48.44</t>
  </si>
  <si>
    <t>14.542</t>
  </si>
  <si>
    <t>50.76</t>
  </si>
  <si>
    <t>14.764</t>
  </si>
  <si>
    <t>56.72</t>
  </si>
  <si>
    <t>63.78</t>
  </si>
  <si>
    <t>71.44</t>
  </si>
  <si>
    <t>XB17+800</t>
  </si>
  <si>
    <t>12.863</t>
  </si>
  <si>
    <t>1.93</t>
  </si>
  <si>
    <t>14.118</t>
  </si>
  <si>
    <t xml:space="preserve">"固坡顶"
</t>
  </si>
  <si>
    <t>32.91</t>
  </si>
  <si>
    <t>13.886</t>
  </si>
  <si>
    <t>34.71</t>
  </si>
  <si>
    <t>14.553</t>
  </si>
  <si>
    <t>35.55</t>
  </si>
  <si>
    <t>14.668</t>
  </si>
  <si>
    <t>38.39</t>
  </si>
  <si>
    <t>14.679</t>
  </si>
  <si>
    <t>40.54</t>
  </si>
  <si>
    <t>14.687</t>
  </si>
  <si>
    <t>44.18</t>
  </si>
  <si>
    <t>12.938</t>
  </si>
  <si>
    <t>45.23</t>
  </si>
  <si>
    <t>12.794</t>
  </si>
  <si>
    <t>XB18+000</t>
  </si>
  <si>
    <t>10.463</t>
  </si>
  <si>
    <t>4.16</t>
  </si>
  <si>
    <t>9.269</t>
  </si>
  <si>
    <t>4.89</t>
  </si>
  <si>
    <t>9.19</t>
  </si>
  <si>
    <t>7.5</t>
  </si>
  <si>
    <t>12.763</t>
  </si>
  <si>
    <t>18.11</t>
  </si>
  <si>
    <t>12.387</t>
  </si>
  <si>
    <t>12.333</t>
  </si>
  <si>
    <t>37.17</t>
  </si>
  <si>
    <t>12.505</t>
  </si>
  <si>
    <t>42.06</t>
  </si>
  <si>
    <t>12.528</t>
  </si>
  <si>
    <t>46.93</t>
  </si>
  <si>
    <t>14.327</t>
  </si>
  <si>
    <t>47.99</t>
  </si>
  <si>
    <t>14.318</t>
  </si>
  <si>
    <t>50.19</t>
  </si>
  <si>
    <t>14.192</t>
  </si>
  <si>
    <t>52.77</t>
  </si>
  <si>
    <t>14.187</t>
  </si>
  <si>
    <t>57.33</t>
  </si>
  <si>
    <t>10.744</t>
  </si>
  <si>
    <t>60.91</t>
  </si>
  <si>
    <t>65.05</t>
  </si>
  <si>
    <t>10.502</t>
  </si>
  <si>
    <t>68.79</t>
  </si>
  <si>
    <t>10.693</t>
  </si>
  <si>
    <t>73.51</t>
  </si>
  <si>
    <t>13.48</t>
  </si>
  <si>
    <t>75.76</t>
  </si>
  <si>
    <t>13.587</t>
  </si>
  <si>
    <t>78.47</t>
  </si>
  <si>
    <t>15.934</t>
  </si>
  <si>
    <t>78.98</t>
  </si>
  <si>
    <t>15.899</t>
  </si>
  <si>
    <t>84.2</t>
  </si>
  <si>
    <t>12.525</t>
  </si>
  <si>
    <t>91.47</t>
  </si>
  <si>
    <t>12.519</t>
  </si>
  <si>
    <t>XB18+200</t>
  </si>
  <si>
    <t>12.624</t>
  </si>
  <si>
    <t>12.63</t>
  </si>
  <si>
    <t>15.34</t>
  </si>
  <si>
    <t>12.643</t>
  </si>
  <si>
    <t>12.664</t>
  </si>
  <si>
    <t>12.614</t>
  </si>
  <si>
    <t>37.0</t>
  </si>
  <si>
    <t>12.595</t>
  </si>
  <si>
    <t>44.82</t>
  </si>
  <si>
    <t>12.557</t>
  </si>
  <si>
    <t>54.22</t>
  </si>
  <si>
    <t>12.536</t>
  </si>
  <si>
    <t>59.95</t>
  </si>
  <si>
    <t>12.66</t>
  </si>
  <si>
    <t>64.64</t>
  </si>
  <si>
    <t>65.53</t>
  </si>
  <si>
    <t>14.183</t>
  </si>
  <si>
    <t>67.47</t>
  </si>
  <si>
    <t>68.64</t>
  </si>
  <si>
    <t>99.06</t>
  </si>
  <si>
    <t>15.007</t>
  </si>
  <si>
    <t>99.78</t>
  </si>
  <si>
    <t>12.537</t>
  </si>
  <si>
    <t>121.21</t>
  </si>
  <si>
    <t>12.463</t>
  </si>
  <si>
    <t>XB18+400</t>
  </si>
  <si>
    <t>12.376</t>
  </si>
  <si>
    <t>12.429</t>
  </si>
  <si>
    <t>16.27</t>
  </si>
  <si>
    <t>12.409</t>
  </si>
  <si>
    <t>26.24</t>
  </si>
  <si>
    <t>12.321</t>
  </si>
  <si>
    <t>12.32</t>
  </si>
  <si>
    <t>39.13</t>
  </si>
  <si>
    <t>49.49</t>
  </si>
  <si>
    <t>12.254</t>
  </si>
  <si>
    <t>56.78</t>
  </si>
  <si>
    <t>12.349</t>
  </si>
  <si>
    <t>13.764</t>
  </si>
  <si>
    <t>62.03</t>
  </si>
  <si>
    <t>13.666</t>
  </si>
  <si>
    <t>10.16</t>
  </si>
  <si>
    <t>82.75</t>
  </si>
  <si>
    <t>10.233</t>
  </si>
  <si>
    <t>84.94</t>
  </si>
  <si>
    <t>11.453</t>
  </si>
  <si>
    <t>88.91</t>
  </si>
  <si>
    <t>11.741</t>
  </si>
  <si>
    <t>93.48</t>
  </si>
  <si>
    <t>12.127</t>
  </si>
  <si>
    <t>94.77</t>
  </si>
  <si>
    <t>13.738</t>
  </si>
  <si>
    <t>96.58</t>
  </si>
  <si>
    <t>97.56</t>
  </si>
  <si>
    <t>12.226</t>
  </si>
  <si>
    <t>106.47</t>
  </si>
  <si>
    <t>12.347</t>
  </si>
  <si>
    <t>114.17</t>
  </si>
  <si>
    <t>12.366</t>
  </si>
  <si>
    <t>XB18+600</t>
  </si>
  <si>
    <t>12.234</t>
  </si>
  <si>
    <t>12.209</t>
  </si>
  <si>
    <t>12.104</t>
  </si>
  <si>
    <t>41.76</t>
  </si>
  <si>
    <t>12.094</t>
  </si>
  <si>
    <t>48.27</t>
  </si>
  <si>
    <t>12.184</t>
  </si>
  <si>
    <t>50.26</t>
  </si>
  <si>
    <t>74.35</t>
  </si>
  <si>
    <t>78.54</t>
  </si>
  <si>
    <t>12.502</t>
  </si>
  <si>
    <t>79.39</t>
  </si>
  <si>
    <t>12.629</t>
  </si>
  <si>
    <t>82.63</t>
  </si>
  <si>
    <t>13.507</t>
  </si>
  <si>
    <t>85.23</t>
  </si>
  <si>
    <t>13.405</t>
  </si>
  <si>
    <t>89.2</t>
  </si>
  <si>
    <t>12.517</t>
  </si>
  <si>
    <t>96.55</t>
  </si>
  <si>
    <t>12.218</t>
  </si>
  <si>
    <t>107.13</t>
  </si>
  <si>
    <t>12.183</t>
  </si>
  <si>
    <t>XB18+800</t>
  </si>
  <si>
    <t>12.153</t>
  </si>
  <si>
    <t>12.145</t>
  </si>
  <si>
    <t>22.22</t>
  </si>
  <si>
    <t>12.078</t>
  </si>
  <si>
    <t>11.805</t>
  </si>
  <si>
    <t>38.72</t>
  </si>
  <si>
    <t>11.705</t>
  </si>
  <si>
    <t>47.28</t>
  </si>
  <si>
    <t>9.914</t>
  </si>
  <si>
    <t>71.03</t>
  </si>
  <si>
    <t>12.345</t>
  </si>
  <si>
    <t>74.02</t>
  </si>
  <si>
    <t>12.883</t>
  </si>
  <si>
    <t>78.87</t>
  </si>
  <si>
    <t>14.191</t>
  </si>
  <si>
    <t>83.68</t>
  </si>
  <si>
    <t>12.305</t>
  </si>
  <si>
    <t>85.48</t>
  </si>
  <si>
    <t>12.118</t>
  </si>
  <si>
    <t>87.87</t>
  </si>
  <si>
    <t>12.095</t>
  </si>
  <si>
    <t>95.86</t>
  </si>
  <si>
    <t>12.039</t>
  </si>
  <si>
    <t>100.08</t>
  </si>
  <si>
    <t>11.944</t>
  </si>
  <si>
    <t>XB19+000</t>
  </si>
  <si>
    <t>12.06</t>
  </si>
  <si>
    <t>7.6</t>
  </si>
  <si>
    <t>12.0</t>
  </si>
  <si>
    <t>12.019</t>
  </si>
  <si>
    <t>12.38</t>
  </si>
  <si>
    <t>11.08</t>
  </si>
  <si>
    <t>15.96</t>
  </si>
  <si>
    <t>10.36</t>
  </si>
  <si>
    <t>10.717</t>
  </si>
  <si>
    <t>38.97</t>
  </si>
  <si>
    <t>10.64</t>
  </si>
  <si>
    <t>42.66</t>
  </si>
  <si>
    <t>8.887</t>
  </si>
  <si>
    <t>8.91</t>
  </si>
  <si>
    <t>57.09</t>
  </si>
  <si>
    <t>9.199</t>
  </si>
  <si>
    <t>10.763</t>
  </si>
  <si>
    <t>65.77</t>
  </si>
  <si>
    <t>11.617</t>
  </si>
  <si>
    <t>66.89</t>
  </si>
  <si>
    <t>13.774</t>
  </si>
  <si>
    <t>67.95</t>
  </si>
  <si>
    <t>13.796</t>
  </si>
  <si>
    <t>70.05</t>
  </si>
  <si>
    <t>13.792</t>
  </si>
  <si>
    <t>70.67</t>
  </si>
  <si>
    <t>13.721</t>
  </si>
  <si>
    <t>88.69</t>
  </si>
  <si>
    <t>10.025</t>
  </si>
  <si>
    <t>94.17</t>
  </si>
  <si>
    <t>12.432</t>
  </si>
  <si>
    <t>99.18</t>
  </si>
  <si>
    <t>13.888</t>
  </si>
  <si>
    <t>102.86</t>
  </si>
  <si>
    <t>107.52</t>
  </si>
  <si>
    <t>11.77</t>
  </si>
  <si>
    <t>115.68</t>
  </si>
  <si>
    <t>11.61</t>
  </si>
  <si>
    <t>130.7</t>
  </si>
  <si>
    <t>11.67</t>
  </si>
  <si>
    <t>XB19+200</t>
  </si>
  <si>
    <t>11.9042</t>
  </si>
  <si>
    <t>3.46</t>
  </si>
  <si>
    <t>11.9237</t>
  </si>
  <si>
    <t>4.62</t>
  </si>
  <si>
    <t>11.3448</t>
  </si>
  <si>
    <t>9.93</t>
  </si>
  <si>
    <t>11.3109</t>
  </si>
  <si>
    <t>11.16</t>
  </si>
  <si>
    <t>11.922</t>
  </si>
  <si>
    <t>11.8457</t>
  </si>
  <si>
    <t>29.88</t>
  </si>
  <si>
    <t>11.87</t>
  </si>
  <si>
    <t>52.32</t>
  </si>
  <si>
    <t>11.676</t>
  </si>
  <si>
    <t>53.94</t>
  </si>
  <si>
    <t>10.901</t>
  </si>
  <si>
    <t>62.72</t>
  </si>
  <si>
    <t>10.795</t>
  </si>
  <si>
    <t>63.48</t>
  </si>
  <si>
    <t>11.091</t>
  </si>
  <si>
    <t>66.8</t>
  </si>
  <si>
    <t>11.221</t>
  </si>
  <si>
    <t>69.57</t>
  </si>
  <si>
    <t>13.418</t>
  </si>
  <si>
    <t>70.24</t>
  </si>
  <si>
    <t>13.456</t>
  </si>
  <si>
    <t>72.32</t>
  </si>
  <si>
    <t>13.472</t>
  </si>
  <si>
    <t>72.76</t>
  </si>
  <si>
    <t>75.01</t>
  </si>
  <si>
    <t>104.71</t>
  </si>
  <si>
    <t>10.392</t>
  </si>
  <si>
    <t>113.78</t>
  </si>
  <si>
    <t>12.944</t>
  </si>
  <si>
    <t>119.08</t>
  </si>
  <si>
    <t>12.386</t>
  </si>
  <si>
    <t>120.93</t>
  </si>
  <si>
    <t>11.616</t>
  </si>
  <si>
    <t>127.39</t>
  </si>
  <si>
    <t>11.722</t>
  </si>
  <si>
    <t>136.94</t>
  </si>
  <si>
    <t>XB19+400</t>
  </si>
  <si>
    <t>11.919</t>
  </si>
  <si>
    <t>11.909</t>
  </si>
  <si>
    <t>27.6</t>
  </si>
  <si>
    <t>11.874</t>
  </si>
  <si>
    <t>54.89</t>
  </si>
  <si>
    <t>11.352</t>
  </si>
  <si>
    <t>66.1</t>
  </si>
  <si>
    <t>12.963</t>
  </si>
  <si>
    <t>69.09</t>
  </si>
  <si>
    <t>13.096</t>
  </si>
  <si>
    <t>99.75</t>
  </si>
  <si>
    <t>13.376</t>
  </si>
  <si>
    <t>13.373</t>
  </si>
  <si>
    <t>103.97</t>
  </si>
  <si>
    <t>12.373</t>
  </si>
  <si>
    <t>104.13</t>
  </si>
  <si>
    <t>12.384</t>
  </si>
  <si>
    <t>106.43</t>
  </si>
  <si>
    <t>109.87</t>
  </si>
  <si>
    <t>13.782</t>
  </si>
  <si>
    <t>113.54</t>
  </si>
  <si>
    <t>12.147</t>
  </si>
  <si>
    <t>119.45</t>
  </si>
  <si>
    <t>11.872</t>
  </si>
  <si>
    <t>127.1</t>
  </si>
  <si>
    <t>15.068</t>
  </si>
  <si>
    <t>XB19+600</t>
  </si>
  <si>
    <t>7.11</t>
  </si>
  <si>
    <t>11.729</t>
  </si>
  <si>
    <t>9.94</t>
  </si>
  <si>
    <t>11.723</t>
  </si>
  <si>
    <t>13.5</t>
  </si>
  <si>
    <t>11.635</t>
  </si>
  <si>
    <t>9.462</t>
  </si>
  <si>
    <t>22.07</t>
  </si>
  <si>
    <t>9.541</t>
  </si>
  <si>
    <t>25.49</t>
  </si>
  <si>
    <t>11.313</t>
  </si>
  <si>
    <t>33.05</t>
  </si>
  <si>
    <t>11.292</t>
  </si>
  <si>
    <t>33.83</t>
  </si>
  <si>
    <t>11.732</t>
  </si>
  <si>
    <t>50.28</t>
  </si>
  <si>
    <t>11.758</t>
  </si>
  <si>
    <t xml:space="preserve">"果园"
</t>
  </si>
  <si>
    <t>62.49</t>
  </si>
  <si>
    <t>63.98</t>
  </si>
  <si>
    <t>10.534</t>
  </si>
  <si>
    <t>68.88</t>
  </si>
  <si>
    <t>10.461</t>
  </si>
  <si>
    <t>74.07</t>
  </si>
  <si>
    <t>10.551</t>
  </si>
  <si>
    <t>76.7</t>
  </si>
  <si>
    <t>12.959</t>
  </si>
  <si>
    <t>77.53</t>
  </si>
  <si>
    <t>13.008</t>
  </si>
  <si>
    <t>78.95</t>
  </si>
  <si>
    <t>12.994</t>
  </si>
  <si>
    <t>80.64</t>
  </si>
  <si>
    <t>12.841</t>
  </si>
  <si>
    <t>99.17</t>
  </si>
  <si>
    <t>8.696</t>
  </si>
  <si>
    <t>105.0</t>
  </si>
  <si>
    <t>11.476</t>
  </si>
  <si>
    <t>107.48</t>
  </si>
  <si>
    <t>11.796</t>
  </si>
  <si>
    <t>110.52</t>
  </si>
  <si>
    <t>13.546</t>
  </si>
  <si>
    <t>113.1</t>
  </si>
  <si>
    <t>13.471</t>
  </si>
  <si>
    <t>115.14</t>
  </si>
  <si>
    <t>11.851</t>
  </si>
  <si>
    <t>118.48</t>
  </si>
  <si>
    <t>11.837</t>
  </si>
  <si>
    <t>128.9</t>
  </si>
  <si>
    <t>XB19+800</t>
  </si>
  <si>
    <t>14.02</t>
  </si>
  <si>
    <t>6.34</t>
  </si>
  <si>
    <t>12.138</t>
  </si>
  <si>
    <t>9.3</t>
  </si>
  <si>
    <t>12.07</t>
  </si>
  <si>
    <t>12.04</t>
  </si>
  <si>
    <t>12.203</t>
  </si>
  <si>
    <t>11.529</t>
  </si>
  <si>
    <t>17.5</t>
  </si>
  <si>
    <t>11.545</t>
  </si>
  <si>
    <t>23.05</t>
  </si>
  <si>
    <t>11.567</t>
  </si>
  <si>
    <t>11.572</t>
  </si>
  <si>
    <t>31.92</t>
  </si>
  <si>
    <t>11.583</t>
  </si>
  <si>
    <t>42.65</t>
  </si>
  <si>
    <t>11.603</t>
  </si>
  <si>
    <t>54.63</t>
  </si>
  <si>
    <t>11.605</t>
  </si>
  <si>
    <t>57.42</t>
  </si>
  <si>
    <t>11.577</t>
  </si>
  <si>
    <t>60.16</t>
  </si>
  <si>
    <t>11.484</t>
  </si>
  <si>
    <t>9.851</t>
  </si>
  <si>
    <t>65.19</t>
  </si>
  <si>
    <t>9.781</t>
  </si>
  <si>
    <t>12.033</t>
  </si>
  <si>
    <t>70.57</t>
  </si>
  <si>
    <t>12.612</t>
  </si>
  <si>
    <t>75.09</t>
  </si>
  <si>
    <t>12.783</t>
  </si>
  <si>
    <t>102.25</t>
  </si>
  <si>
    <t>11.889</t>
  </si>
  <si>
    <t>105.12</t>
  </si>
  <si>
    <t>12.258</t>
  </si>
  <si>
    <t>109.76</t>
  </si>
  <si>
    <t>13.903</t>
  </si>
  <si>
    <t>111.49</t>
  </si>
  <si>
    <t>13.932</t>
  </si>
  <si>
    <t>113.96</t>
  </si>
  <si>
    <t>11.695</t>
  </si>
  <si>
    <t>128.99</t>
  </si>
  <si>
    <t>11.772</t>
  </si>
  <si>
    <t>XB20+000</t>
  </si>
  <si>
    <t>14.365</t>
  </si>
  <si>
    <t>6.55</t>
  </si>
  <si>
    <t>12.468</t>
  </si>
  <si>
    <t>11.737</t>
  </si>
  <si>
    <t>11.108</t>
  </si>
  <si>
    <t>10.608</t>
  </si>
  <si>
    <t>41.38</t>
  </si>
  <si>
    <t>10.785</t>
  </si>
  <si>
    <t>47.67</t>
  </si>
  <si>
    <t>12.137</t>
  </si>
  <si>
    <t>65.15</t>
  </si>
  <si>
    <t>12.806</t>
  </si>
  <si>
    <t>72.92</t>
  </si>
  <si>
    <t>12.895</t>
  </si>
  <si>
    <t>76.37</t>
  </si>
  <si>
    <t>12.801</t>
  </si>
  <si>
    <t>112.11</t>
  </si>
  <si>
    <t>124.64</t>
  </si>
  <si>
    <t>XB20+200</t>
  </si>
  <si>
    <t>11.381</t>
  </si>
  <si>
    <t>11.207</t>
  </si>
  <si>
    <t xml:space="preserve">"地类界"
</t>
  </si>
  <si>
    <t>11.232</t>
  </si>
  <si>
    <t>32.63</t>
  </si>
  <si>
    <t>11.371</t>
  </si>
  <si>
    <t>60.89</t>
  </si>
  <si>
    <t>12.2285</t>
  </si>
  <si>
    <t>110.46</t>
  </si>
  <si>
    <t>12.269</t>
  </si>
  <si>
    <t>115.34</t>
  </si>
  <si>
    <t>13.237</t>
  </si>
  <si>
    <t>117.5</t>
  </si>
  <si>
    <t>13.225</t>
  </si>
  <si>
    <t>118.6</t>
  </si>
  <si>
    <t>12.905</t>
  </si>
  <si>
    <t>119.97</t>
  </si>
  <si>
    <t>12.933</t>
  </si>
  <si>
    <t>122.43</t>
  </si>
  <si>
    <t>11.247</t>
  </si>
  <si>
    <t>124.49</t>
  </si>
  <si>
    <t>11.15</t>
  </si>
  <si>
    <t>125.55</t>
  </si>
  <si>
    <t>11.571</t>
  </si>
  <si>
    <t>134.34</t>
  </si>
  <si>
    <t>11.565</t>
  </si>
  <si>
    <t>138.56</t>
  </si>
  <si>
    <t>11.576</t>
  </si>
  <si>
    <t>XB20+400</t>
  </si>
  <si>
    <t>13.361</t>
  </si>
  <si>
    <t>9.75</t>
  </si>
  <si>
    <t>10.25</t>
  </si>
  <si>
    <t>15.43</t>
  </si>
  <si>
    <t>9.742</t>
  </si>
  <si>
    <t>20.76</t>
  </si>
  <si>
    <t>8.937</t>
  </si>
  <si>
    <t>8.544</t>
  </si>
  <si>
    <t>41.25</t>
  </si>
  <si>
    <t>8.663</t>
  </si>
  <si>
    <t>9.136</t>
  </si>
  <si>
    <t>54.56</t>
  </si>
  <si>
    <t>11.24</t>
  </si>
  <si>
    <t>11.223</t>
  </si>
  <si>
    <t>57.18</t>
  </si>
  <si>
    <t>12.354</t>
  </si>
  <si>
    <t>58.21</t>
  </si>
  <si>
    <t>12.365</t>
  </si>
  <si>
    <t>12.68</t>
  </si>
  <si>
    <t>62.87</t>
  </si>
  <si>
    <t>12.611</t>
  </si>
  <si>
    <t>63.57</t>
  </si>
  <si>
    <t>12.216</t>
  </si>
  <si>
    <t>64.68</t>
  </si>
  <si>
    <t>12.274</t>
  </si>
  <si>
    <t>66.73</t>
  </si>
  <si>
    <t>11.4</t>
  </si>
  <si>
    <t>70.98</t>
  </si>
  <si>
    <t>11.458</t>
  </si>
  <si>
    <t>79.11</t>
  </si>
  <si>
    <t>11.626</t>
  </si>
  <si>
    <t>99.62</t>
  </si>
  <si>
    <t>9.309</t>
  </si>
  <si>
    <t>106.06</t>
  </si>
  <si>
    <t>12.2</t>
  </si>
  <si>
    <t>108.64</t>
  </si>
  <si>
    <t>12.189</t>
  </si>
  <si>
    <t>109.62</t>
  </si>
  <si>
    <t>12.892</t>
  </si>
  <si>
    <t>110.79</t>
  </si>
  <si>
    <t>13.216</t>
  </si>
  <si>
    <t>112.84</t>
  </si>
  <si>
    <t>13.256</t>
  </si>
  <si>
    <t>115.25</t>
  </si>
  <si>
    <t>11.28</t>
  </si>
  <si>
    <t>120.05</t>
  </si>
  <si>
    <t>11.281</t>
  </si>
  <si>
    <t>130.62</t>
  </si>
  <si>
    <t>11.388</t>
  </si>
  <si>
    <t>XB20+600</t>
  </si>
  <si>
    <t>13.425</t>
  </si>
  <si>
    <t>5.9</t>
  </si>
  <si>
    <t>11.677</t>
  </si>
  <si>
    <t>11.43</t>
  </si>
  <si>
    <t>11.55</t>
  </si>
  <si>
    <t>12.47</t>
  </si>
  <si>
    <t>11.212</t>
  </si>
  <si>
    <t>14.79</t>
  </si>
  <si>
    <t>11.159</t>
  </si>
  <si>
    <t>23.7</t>
  </si>
  <si>
    <t>11.237</t>
  </si>
  <si>
    <t>11.173</t>
  </si>
  <si>
    <t>37.87</t>
  </si>
  <si>
    <t>11.249</t>
  </si>
  <si>
    <t>52.57</t>
  </si>
  <si>
    <t>10.956</t>
  </si>
  <si>
    <t>68.81</t>
  </si>
  <si>
    <t>10.967</t>
  </si>
  <si>
    <t>92.48</t>
  </si>
  <si>
    <t>10.882</t>
  </si>
  <si>
    <t>97.54</t>
  </si>
  <si>
    <t>12.352</t>
  </si>
  <si>
    <t>100.65</t>
  </si>
  <si>
    <t>12.405</t>
  </si>
  <si>
    <t>103.62</t>
  </si>
  <si>
    <t>12.458</t>
  </si>
  <si>
    <t>105.69</t>
  </si>
  <si>
    <t>130.22</t>
  </si>
  <si>
    <t>9.165</t>
  </si>
  <si>
    <t>134.99</t>
  </si>
  <si>
    <t>11.693</t>
  </si>
  <si>
    <t>138.19</t>
  </si>
  <si>
    <t>11.721</t>
  </si>
  <si>
    <t>139.31</t>
  </si>
  <si>
    <t>12.474</t>
  </si>
  <si>
    <t>141.4</t>
  </si>
  <si>
    <t>143.13</t>
  </si>
  <si>
    <t>12.866</t>
  </si>
  <si>
    <t>144.41</t>
  </si>
  <si>
    <t>12.77</t>
  </si>
  <si>
    <t>145.83</t>
  </si>
  <si>
    <t>11.272</t>
  </si>
  <si>
    <t>149.92</t>
  </si>
  <si>
    <t>11.274</t>
  </si>
  <si>
    <t>161.05</t>
  </si>
  <si>
    <t>11.392</t>
  </si>
  <si>
    <t>164.07</t>
  </si>
  <si>
    <t>11.366</t>
  </si>
  <si>
    <t>XB20+800</t>
  </si>
  <si>
    <t>8.04</t>
  </si>
  <si>
    <t>11.188</t>
  </si>
  <si>
    <t>10.11</t>
  </si>
  <si>
    <t>11.098</t>
  </si>
  <si>
    <t>11.117</t>
  </si>
  <si>
    <t>10.824</t>
  </si>
  <si>
    <t>18.47</t>
  </si>
  <si>
    <t>10.845</t>
  </si>
  <si>
    <t>11.204</t>
  </si>
  <si>
    <t>11.172</t>
  </si>
  <si>
    <t>43.72</t>
  </si>
  <si>
    <t>11.148</t>
  </si>
  <si>
    <t>51.78</t>
  </si>
  <si>
    <t>11.04</t>
  </si>
  <si>
    <t>55.39</t>
  </si>
  <si>
    <t>10.723</t>
  </si>
  <si>
    <t>63.31</t>
  </si>
  <si>
    <t>10.628</t>
  </si>
  <si>
    <t>65.14</t>
  </si>
  <si>
    <t>12.446</t>
  </si>
  <si>
    <t>71.27</t>
  </si>
  <si>
    <t>12.71</t>
  </si>
  <si>
    <t>12.73</t>
  </si>
  <si>
    <t>77.29</t>
  </si>
  <si>
    <t>12.707</t>
  </si>
  <si>
    <t>80.04</t>
  </si>
  <si>
    <t>12.65</t>
  </si>
  <si>
    <t>100.83</t>
  </si>
  <si>
    <t>9.272</t>
  </si>
  <si>
    <t>105.02</t>
  </si>
  <si>
    <t>11.819</t>
  </si>
  <si>
    <t>108.42</t>
  </si>
  <si>
    <t>11.844</t>
  </si>
  <si>
    <t>109.46</t>
  </si>
  <si>
    <t>12.596</t>
  </si>
  <si>
    <t>111.36</t>
  </si>
  <si>
    <t>12.766</t>
  </si>
  <si>
    <t>116.66</t>
  </si>
  <si>
    <t>120.21</t>
  </si>
  <si>
    <t>10.802</t>
  </si>
  <si>
    <t>127.33</t>
  </si>
  <si>
    <t>10.828</t>
  </si>
  <si>
    <t>XB21+000</t>
  </si>
  <si>
    <t>8.8</t>
  </si>
  <si>
    <t>10.907</t>
  </si>
  <si>
    <t>14.31</t>
  </si>
  <si>
    <t>10.834</t>
  </si>
  <si>
    <t>17.0</t>
  </si>
  <si>
    <t>10.735</t>
  </si>
  <si>
    <t>10.83</t>
  </si>
  <si>
    <t>10.959</t>
  </si>
  <si>
    <t>40.48</t>
  </si>
  <si>
    <t>10.941</t>
  </si>
  <si>
    <t>10.902</t>
  </si>
  <si>
    <t>54.78</t>
  </si>
  <si>
    <t>10.883</t>
  </si>
  <si>
    <t>10.871</t>
  </si>
  <si>
    <t>10.979</t>
  </si>
  <si>
    <t>12.417</t>
  </si>
  <si>
    <t>71.18</t>
  </si>
  <si>
    <t>12.515</t>
  </si>
  <si>
    <t>73.31</t>
  </si>
  <si>
    <t>12.542</t>
  </si>
  <si>
    <t>93.59</t>
  </si>
  <si>
    <t>8.945</t>
  </si>
  <si>
    <t>97.95</t>
  </si>
  <si>
    <t>11.358</t>
  </si>
  <si>
    <t>101.84</t>
  </si>
  <si>
    <t>11.469</t>
  </si>
  <si>
    <t>103.52</t>
  </si>
  <si>
    <t>12.248</t>
  </si>
  <si>
    <t>105.27</t>
  </si>
  <si>
    <t>12.442</t>
  </si>
  <si>
    <t>107.51</t>
  </si>
  <si>
    <t>12.473</t>
  </si>
  <si>
    <t>109.14</t>
  </si>
  <si>
    <t>112.29</t>
  </si>
  <si>
    <t>10.593</t>
  </si>
  <si>
    <t>116.33</t>
  </si>
  <si>
    <t>10.679</t>
  </si>
  <si>
    <t>127.25</t>
  </si>
  <si>
    <t>XB21+200</t>
  </si>
  <si>
    <t>10.841</t>
  </si>
  <si>
    <t>14.34</t>
  </si>
  <si>
    <t>10.672</t>
  </si>
  <si>
    <t>10.77</t>
  </si>
  <si>
    <t>10.772</t>
  </si>
  <si>
    <t>10.734</t>
  </si>
  <si>
    <t>10.716</t>
  </si>
  <si>
    <t>44.87</t>
  </si>
  <si>
    <t>10.755</t>
  </si>
  <si>
    <t>45.41</t>
  </si>
  <si>
    <t>10.685</t>
  </si>
  <si>
    <t>57.28</t>
  </si>
  <si>
    <t>10.552</t>
  </si>
  <si>
    <t>68.09</t>
  </si>
  <si>
    <t>10.435</t>
  </si>
  <si>
    <t>71.31</t>
  </si>
  <si>
    <t>100.81</t>
  </si>
  <si>
    <t>11.214</t>
  </si>
  <si>
    <t>104.74</t>
  </si>
  <si>
    <t>11.288</t>
  </si>
  <si>
    <t>12.193</t>
  </si>
  <si>
    <t>107.57</t>
  </si>
  <si>
    <t>108.84</t>
  </si>
  <si>
    <t>12.289</t>
  </si>
  <si>
    <t>111.16</t>
  </si>
  <si>
    <t>12.439</t>
  </si>
  <si>
    <t>112.5</t>
  </si>
  <si>
    <t>10.801</t>
  </si>
  <si>
    <t>117.4</t>
  </si>
  <si>
    <t>10.849</t>
  </si>
  <si>
    <t>121.53</t>
  </si>
  <si>
    <t>10.788</t>
  </si>
  <si>
    <t>XB21+400</t>
  </si>
  <si>
    <t>XB21+600</t>
  </si>
  <si>
    <t xml:space="preserve">"固坎"
</t>
  </si>
  <si>
    <t>109.95</t>
  </si>
  <si>
    <t>10.458</t>
  </si>
  <si>
    <t>XB21+800</t>
  </si>
  <si>
    <t>13.955</t>
  </si>
  <si>
    <t>11.27</t>
  </si>
  <si>
    <t>18.08</t>
  </si>
  <si>
    <t>11.043</t>
  </si>
  <si>
    <t>21.58</t>
  </si>
  <si>
    <t>25.85</t>
  </si>
  <si>
    <t>11.141</t>
  </si>
  <si>
    <t>29.06</t>
  </si>
  <si>
    <t>12.546</t>
  </si>
  <si>
    <t>12.476</t>
  </si>
  <si>
    <t>12.45</t>
  </si>
  <si>
    <t>35.16</t>
  </si>
  <si>
    <t>11.314</t>
  </si>
  <si>
    <t>37.75</t>
  </si>
  <si>
    <t>11.17</t>
  </si>
  <si>
    <t>38.45</t>
  </si>
  <si>
    <t>39.38</t>
  </si>
  <si>
    <t>54.03</t>
  </si>
  <si>
    <t>10.297</t>
  </si>
  <si>
    <t>92.93</t>
  </si>
  <si>
    <t>10.216</t>
  </si>
  <si>
    <t>93.39</t>
  </si>
  <si>
    <t>10.414</t>
  </si>
  <si>
    <t>102.28</t>
  </si>
  <si>
    <t>XB22+000</t>
  </si>
  <si>
    <t>XB22+173.89</t>
  </si>
  <si>
    <t>界沟末端</t>
    <phoneticPr fontId="1" type="noConversion"/>
  </si>
  <si>
    <t>临西北围堤</t>
    <phoneticPr fontId="1" type="noConversion"/>
  </si>
  <si>
    <t>加高</t>
    <phoneticPr fontId="1" type="noConversion"/>
  </si>
  <si>
    <t>延长</t>
    <phoneticPr fontId="1" type="noConversion"/>
  </si>
  <si>
    <t>河底保留</t>
    <phoneticPr fontId="1" type="noConversion"/>
  </si>
  <si>
    <t>桥涵直径1.5m</t>
    <phoneticPr fontId="1" type="noConversion"/>
  </si>
  <si>
    <t>3孔</t>
    <phoneticPr fontId="1" type="noConversion"/>
  </si>
  <si>
    <t>界沟左岸</t>
  </si>
  <si>
    <t>保留加高</t>
  </si>
  <si>
    <t>位置不垂直</t>
    <phoneticPr fontId="1" type="noConversion"/>
  </si>
  <si>
    <t>不垂直</t>
    <phoneticPr fontId="1" type="noConversion"/>
  </si>
  <si>
    <t>删除该断面 用差值</t>
    <phoneticPr fontId="1" type="noConversion"/>
  </si>
  <si>
    <t>相差不大 保留</t>
    <phoneticPr fontId="1" type="noConversion"/>
  </si>
  <si>
    <t>相差不大 保留</t>
    <phoneticPr fontId="1" type="noConversion"/>
  </si>
  <si>
    <t>不垂直</t>
    <phoneticPr fontId="1" type="noConversion"/>
  </si>
  <si>
    <t>相似 暂时删除</t>
    <phoneticPr fontId="1" type="noConversion"/>
  </si>
  <si>
    <t>位置不合适，且南侧有路 暂时删除</t>
    <phoneticPr fontId="1" type="noConversion"/>
  </si>
  <si>
    <t>XB1+300</t>
    <phoneticPr fontId="1" type="noConversion"/>
  </si>
  <si>
    <t>XB0+815.59</t>
    <phoneticPr fontId="1" type="noConversion"/>
  </si>
  <si>
    <t>界沟起点</t>
  </si>
  <si>
    <t>道路-3孔桥涵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</si>
</sst>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0_);[Red]\(0.00\)"/>
    <numFmt numFmtId="177" formatCode="0.00_ "/>
    <numFmt numFmtId="178" formatCode="0.00;[Red]0.00"/>
    <numFmt numFmtId="179" formatCode="0.00000_ "/>
    <numFmt numFmtId="180" formatCode="0.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177" fontId="0" fillId="0" borderId="0" xfId="0" applyNumberFormat="1"/>
    <xf numFmtId="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1" applyNumberFormat="1" applyFont="1" applyAlignment="1"/>
    <xf numFmtId="0" fontId="3" fillId="0" borderId="0" xfId="0" applyFont="1"/>
    <xf numFmtId="177" fontId="3" fillId="0" borderId="0" xfId="0" applyNumberFormat="1" applyFont="1"/>
    <xf numFmtId="180" fontId="0" fillId="0" borderId="0" xfId="0" applyNumberFormat="1"/>
    <xf numFmtId="2" fontId="3" fillId="0" borderId="0" xfId="0" applyNumberFormat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'XB22+173.89'!$A$2:$A$17</c:f>
              <c:numCache>
                <c:formatCode>General</c:formatCode>
                <c:ptCount val="16"/>
                <c:pt idx="0">
                  <c:v>0</c:v>
                </c:pt>
                <c:pt idx="1">
                  <c:v>13.94</c:v>
                </c:pt>
                <c:pt idx="2">
                  <c:v>26.22</c:v>
                </c:pt>
                <c:pt idx="3">
                  <c:v>30</c:v>
                </c:pt>
                <c:pt idx="4">
                  <c:v>47.31</c:v>
                </c:pt>
                <c:pt idx="5">
                  <c:v>60.57</c:v>
                </c:pt>
                <c:pt idx="6">
                  <c:v>72.400000000000006</c:v>
                </c:pt>
                <c:pt idx="7">
                  <c:v>72.400000000000006</c:v>
                </c:pt>
                <c:pt idx="8">
                  <c:v>72.55</c:v>
                </c:pt>
                <c:pt idx="9">
                  <c:v>75.02</c:v>
                </c:pt>
                <c:pt idx="10">
                  <c:v>80.349999999999994</c:v>
                </c:pt>
                <c:pt idx="11">
                  <c:v>85</c:v>
                </c:pt>
                <c:pt idx="12">
                  <c:v>88.04</c:v>
                </c:pt>
                <c:pt idx="13">
                  <c:v>88.04</c:v>
                </c:pt>
                <c:pt idx="14">
                  <c:v>88.8</c:v>
                </c:pt>
                <c:pt idx="15">
                  <c:v>90.69</c:v>
                </c:pt>
              </c:numCache>
            </c:numRef>
          </c:xVal>
          <c:yVal>
            <c:numRef>
              <c:f>'XB22+173.89'!$B$2:$B$17</c:f>
              <c:numCache>
                <c:formatCode>General</c:formatCode>
                <c:ptCount val="16"/>
                <c:pt idx="0">
                  <c:v>5.9279999999999999</c:v>
                </c:pt>
                <c:pt idx="1">
                  <c:v>5.8520000000000003</c:v>
                </c:pt>
                <c:pt idx="2">
                  <c:v>5.9029999999999996</c:v>
                </c:pt>
                <c:pt idx="3">
                  <c:v>5.9279999999999999</c:v>
                </c:pt>
                <c:pt idx="4">
                  <c:v>5.8579999999999997</c:v>
                </c:pt>
                <c:pt idx="5">
                  <c:v>6.0789999999999997</c:v>
                </c:pt>
                <c:pt idx="6">
                  <c:v>9.3290000000000006</c:v>
                </c:pt>
                <c:pt idx="7">
                  <c:v>14.075200000000001</c:v>
                </c:pt>
                <c:pt idx="8">
                  <c:v>9.3109999999999999</c:v>
                </c:pt>
                <c:pt idx="9">
                  <c:v>8.0229999999999997</c:v>
                </c:pt>
                <c:pt idx="10">
                  <c:v>8.1430000000000007</c:v>
                </c:pt>
                <c:pt idx="11">
                  <c:v>8.2469999999999999</c:v>
                </c:pt>
                <c:pt idx="12">
                  <c:v>9.9730000000000008</c:v>
                </c:pt>
                <c:pt idx="13">
                  <c:v>20</c:v>
                </c:pt>
                <c:pt idx="14">
                  <c:v>9.8670000000000009</c:v>
                </c:pt>
                <c:pt idx="15">
                  <c:v>9.5530000000000008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1-4B1A-8EB5-983546DB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07160"/>
        <c:axId val="790210400"/>
      </c:scatterChart>
      <c:valAx>
        <c:axId val="79020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210400"/>
        <c:crosses val="autoZero"/>
        <c:crossBetween val="midCat"/>
      </c:valAx>
      <c:valAx>
        <c:axId val="7902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20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0</xdr:rowOff>
    </xdr:from>
    <xdr:to>
      <xdr:col>16</xdr:col>
      <xdr:colOff>47625</xdr:colOff>
      <xdr:row>13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5117DF-6F13-6306-E63A-1045AC066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"/>
  <sheetViews>
    <sheetView workbookViewId="0">
      <selection activeCell="C23" sqref="C23"/>
    </sheetView>
  </sheetViews>
  <sheetFormatPr defaultRowHeight="14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  <c r="C4" t="s">
        <v>6</v>
      </c>
    </row>
    <row r="5" spans="1:3" x14ac:dyDescent="0.25">
      <c r="A5" t="s">
        <v>9</v>
      </c>
      <c r="B5" t="s">
        <v>10</v>
      </c>
      <c r="C5" t="s">
        <v>11</v>
      </c>
    </row>
    <row r="6" spans="1:3" x14ac:dyDescent="0.25">
      <c r="A6" t="s">
        <v>12</v>
      </c>
      <c r="B6" t="s">
        <v>13</v>
      </c>
      <c r="C6" t="s">
        <v>6</v>
      </c>
    </row>
    <row r="7" spans="1:3" x14ac:dyDescent="0.25">
      <c r="A7" t="s">
        <v>14</v>
      </c>
      <c r="B7" t="s">
        <v>15</v>
      </c>
      <c r="C7" t="s">
        <v>6</v>
      </c>
    </row>
    <row r="8" spans="1:3" x14ac:dyDescent="0.25">
      <c r="A8" t="s">
        <v>16</v>
      </c>
      <c r="B8" t="s">
        <v>17</v>
      </c>
      <c r="C8" t="s">
        <v>6</v>
      </c>
    </row>
    <row r="9" spans="1:3" x14ac:dyDescent="0.25">
      <c r="A9" t="s">
        <v>18</v>
      </c>
      <c r="B9" t="s">
        <v>19</v>
      </c>
      <c r="C9" t="s">
        <v>6</v>
      </c>
    </row>
    <row r="10" spans="1:3" x14ac:dyDescent="0.25">
      <c r="A10" t="s">
        <v>20</v>
      </c>
      <c r="B10" t="s">
        <v>21</v>
      </c>
      <c r="C10" t="s">
        <v>6</v>
      </c>
    </row>
    <row r="11" spans="1:3" x14ac:dyDescent="0.25">
      <c r="A11" t="s">
        <v>22</v>
      </c>
      <c r="B11" t="s">
        <v>23</v>
      </c>
      <c r="C11" t="s">
        <v>6</v>
      </c>
    </row>
    <row r="12" spans="1:3" x14ac:dyDescent="0.25">
      <c r="A12" t="s">
        <v>24</v>
      </c>
      <c r="B12" t="s">
        <v>25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14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198</v>
      </c>
    </row>
    <row r="2" spans="1:3" x14ac:dyDescent="0.25">
      <c r="A2" t="s">
        <v>1</v>
      </c>
      <c r="B2" t="s">
        <v>199</v>
      </c>
      <c r="C2" t="s">
        <v>3</v>
      </c>
    </row>
    <row r="3" spans="1:3" x14ac:dyDescent="0.25">
      <c r="A3" t="s">
        <v>200</v>
      </c>
      <c r="B3" t="s">
        <v>201</v>
      </c>
      <c r="C3" t="s">
        <v>31</v>
      </c>
    </row>
    <row r="4" spans="1:3" x14ac:dyDescent="0.25">
      <c r="A4" t="s">
        <v>54</v>
      </c>
      <c r="B4" t="s">
        <v>202</v>
      </c>
      <c r="C4" t="s">
        <v>34</v>
      </c>
    </row>
    <row r="5" spans="1:3" x14ac:dyDescent="0.25">
      <c r="A5" t="s">
        <v>203</v>
      </c>
      <c r="B5" t="s">
        <v>204</v>
      </c>
      <c r="C5" t="s">
        <v>6</v>
      </c>
    </row>
    <row r="6" spans="1:3" x14ac:dyDescent="0.25">
      <c r="A6" t="s">
        <v>205</v>
      </c>
      <c r="B6" t="s">
        <v>206</v>
      </c>
      <c r="C6" t="s">
        <v>6</v>
      </c>
    </row>
    <row r="7" spans="1:3" x14ac:dyDescent="0.25">
      <c r="A7">
        <f>A6+1.85</f>
        <v>12.51</v>
      </c>
      <c r="B7">
        <f>B6+0.12</f>
        <v>16.463000000000001</v>
      </c>
    </row>
    <row r="8" spans="1:3" x14ac:dyDescent="0.25">
      <c r="A8">
        <f>A7+2.28</f>
        <v>14.79</v>
      </c>
      <c r="B8">
        <f>B7</f>
        <v>16.463000000000001</v>
      </c>
    </row>
    <row r="9" spans="1:3" x14ac:dyDescent="0.25">
      <c r="A9">
        <f>A8+7.27</f>
        <v>22.06</v>
      </c>
      <c r="B9">
        <f>14.04</f>
        <v>14.04</v>
      </c>
    </row>
    <row r="10" spans="1:3" x14ac:dyDescent="0.25">
      <c r="A10">
        <f>A9+6</f>
        <v>28.06</v>
      </c>
      <c r="B10">
        <f>B9</f>
        <v>14.04</v>
      </c>
    </row>
    <row r="11" spans="1:3" x14ac:dyDescent="0.25">
      <c r="A11">
        <f>A10+7.16</f>
        <v>35.22</v>
      </c>
      <c r="B11">
        <f>B10+2.39</f>
        <v>16.43</v>
      </c>
    </row>
    <row r="12" spans="1:3" x14ac:dyDescent="0.25">
      <c r="A12" t="s">
        <v>207</v>
      </c>
      <c r="B12" t="s">
        <v>208</v>
      </c>
      <c r="C12" t="s">
        <v>6</v>
      </c>
    </row>
    <row r="13" spans="1:3" x14ac:dyDescent="0.25">
      <c r="A13" t="s">
        <v>209</v>
      </c>
      <c r="B13" t="s">
        <v>210</v>
      </c>
      <c r="C13" t="s">
        <v>6</v>
      </c>
    </row>
    <row r="14" spans="1:3" x14ac:dyDescent="0.25">
      <c r="A14" t="s">
        <v>24</v>
      </c>
      <c r="B14" t="s">
        <v>211</v>
      </c>
      <c r="C14" t="s">
        <v>26</v>
      </c>
    </row>
  </sheetData>
  <phoneticPr fontId="1" type="noConversion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5"/>
  <dimension ref="A1:C32"/>
  <sheetViews>
    <sheetView workbookViewId="0"/>
  </sheetViews>
  <sheetFormatPr defaultRowHeight="14" x14ac:dyDescent="0.25"/>
  <sheetData>
    <row r="1" spans="1:3" x14ac:dyDescent="0.25">
      <c r="A1" t="s">
        <v>2206</v>
      </c>
    </row>
    <row r="2" spans="1:3" x14ac:dyDescent="0.25">
      <c r="A2" t="s">
        <v>1</v>
      </c>
      <c r="B2" t="s">
        <v>1482</v>
      </c>
      <c r="C2" t="s">
        <v>3</v>
      </c>
    </row>
    <row r="3" spans="1:3" x14ac:dyDescent="0.25">
      <c r="A3" t="s">
        <v>2207</v>
      </c>
      <c r="B3" t="s">
        <v>2208</v>
      </c>
      <c r="C3" t="s">
        <v>240</v>
      </c>
    </row>
    <row r="4" spans="1:3" x14ac:dyDescent="0.25">
      <c r="A4" t="s">
        <v>2209</v>
      </c>
      <c r="B4" t="s">
        <v>2210</v>
      </c>
      <c r="C4" t="s">
        <v>240</v>
      </c>
    </row>
    <row r="5" spans="1:3" x14ac:dyDescent="0.25">
      <c r="A5" t="s">
        <v>2211</v>
      </c>
      <c r="B5" t="s">
        <v>2212</v>
      </c>
      <c r="C5" t="s">
        <v>409</v>
      </c>
    </row>
    <row r="6" spans="1:3" x14ac:dyDescent="0.25">
      <c r="A6" t="s">
        <v>837</v>
      </c>
      <c r="B6" t="s">
        <v>2213</v>
      </c>
      <c r="C6" t="s">
        <v>411</v>
      </c>
    </row>
    <row r="7" spans="1:3" x14ac:dyDescent="0.25">
      <c r="A7" t="s">
        <v>2214</v>
      </c>
      <c r="B7" t="s">
        <v>2215</v>
      </c>
      <c r="C7" t="s">
        <v>411</v>
      </c>
    </row>
    <row r="8" spans="1:3" x14ac:dyDescent="0.25">
      <c r="A8" t="s">
        <v>2216</v>
      </c>
      <c r="B8" t="s">
        <v>2217</v>
      </c>
      <c r="C8" t="s">
        <v>409</v>
      </c>
    </row>
    <row r="9" spans="1:3" x14ac:dyDescent="0.25">
      <c r="A9" t="s">
        <v>667</v>
      </c>
      <c r="B9" t="s">
        <v>1726</v>
      </c>
      <c r="C9" t="s">
        <v>11</v>
      </c>
    </row>
    <row r="10" spans="1:3" x14ac:dyDescent="0.25">
      <c r="A10" t="s">
        <v>2218</v>
      </c>
      <c r="B10" t="s">
        <v>2219</v>
      </c>
      <c r="C10" t="s">
        <v>34</v>
      </c>
    </row>
    <row r="11" spans="1:3" x14ac:dyDescent="0.25">
      <c r="A11" t="s">
        <v>2220</v>
      </c>
      <c r="B11" t="s">
        <v>2221</v>
      </c>
      <c r="C11" t="s">
        <v>31</v>
      </c>
    </row>
    <row r="12" spans="1:3" x14ac:dyDescent="0.25">
      <c r="A12" t="s">
        <v>2222</v>
      </c>
      <c r="B12" t="s">
        <v>2223</v>
      </c>
      <c r="C12" t="s">
        <v>2224</v>
      </c>
    </row>
    <row r="13" spans="1:3" x14ac:dyDescent="0.25">
      <c r="A13" t="s">
        <v>2225</v>
      </c>
      <c r="B13" t="s">
        <v>2208</v>
      </c>
      <c r="C13" t="s">
        <v>31</v>
      </c>
    </row>
    <row r="14" spans="1:3" x14ac:dyDescent="0.25">
      <c r="A14" t="s">
        <v>2226</v>
      </c>
      <c r="B14" t="s">
        <v>2227</v>
      </c>
      <c r="C14" t="s">
        <v>34</v>
      </c>
    </row>
    <row r="15" spans="1:3" x14ac:dyDescent="0.25">
      <c r="A15" t="s">
        <v>2228</v>
      </c>
      <c r="B15" t="s">
        <v>2229</v>
      </c>
      <c r="C15" t="s">
        <v>6</v>
      </c>
    </row>
    <row r="16" spans="1:3" x14ac:dyDescent="0.25">
      <c r="A16" t="s">
        <v>2230</v>
      </c>
      <c r="B16" t="s">
        <v>2231</v>
      </c>
      <c r="C16" t="s">
        <v>34</v>
      </c>
    </row>
    <row r="17" spans="1:3" x14ac:dyDescent="0.25">
      <c r="A17" t="s">
        <v>2232</v>
      </c>
      <c r="B17" t="s">
        <v>2233</v>
      </c>
      <c r="C17" t="s">
        <v>31</v>
      </c>
    </row>
    <row r="18" spans="1:3" x14ac:dyDescent="0.25">
      <c r="A18" t="s">
        <v>2234</v>
      </c>
      <c r="B18" t="s">
        <v>2235</v>
      </c>
      <c r="C18" t="s">
        <v>240</v>
      </c>
    </row>
    <row r="19" spans="1:3" x14ac:dyDescent="0.25">
      <c r="A19" t="s">
        <v>2236</v>
      </c>
      <c r="B19" t="s">
        <v>2237</v>
      </c>
      <c r="C19" t="s">
        <v>240</v>
      </c>
    </row>
    <row r="20" spans="1:3" x14ac:dyDescent="0.25">
      <c r="A20" t="s">
        <v>2238</v>
      </c>
      <c r="B20" t="s">
        <v>2239</v>
      </c>
      <c r="C20" t="s">
        <v>409</v>
      </c>
    </row>
    <row r="21" spans="1:3" x14ac:dyDescent="0.25">
      <c r="A21">
        <v>80.66</v>
      </c>
      <c r="B21">
        <v>12.33</v>
      </c>
    </row>
    <row r="22" spans="1:3" x14ac:dyDescent="0.25">
      <c r="A22">
        <v>82.22</v>
      </c>
      <c r="B22">
        <v>12.5</v>
      </c>
    </row>
    <row r="23" spans="1:3" x14ac:dyDescent="0.25">
      <c r="A23">
        <f>A22+9</f>
        <v>91.22</v>
      </c>
      <c r="B23">
        <f>B22-3</f>
        <v>9.5</v>
      </c>
    </row>
    <row r="24" spans="1:3" x14ac:dyDescent="0.25">
      <c r="A24">
        <f>A23+6</f>
        <v>97.22</v>
      </c>
      <c r="B24">
        <v>9.5</v>
      </c>
    </row>
    <row r="25" spans="1:3" x14ac:dyDescent="0.25">
      <c r="A25" t="s">
        <v>2240</v>
      </c>
      <c r="B25" t="s">
        <v>2241</v>
      </c>
      <c r="C25" t="s">
        <v>411</v>
      </c>
    </row>
    <row r="26" spans="1:3" x14ac:dyDescent="0.25">
      <c r="A26" t="s">
        <v>2242</v>
      </c>
      <c r="B26" t="s">
        <v>2243</v>
      </c>
      <c r="C26" t="s">
        <v>409</v>
      </c>
    </row>
    <row r="27" spans="1:3" x14ac:dyDescent="0.25">
      <c r="A27" t="s">
        <v>2244</v>
      </c>
      <c r="B27" t="s">
        <v>2245</v>
      </c>
      <c r="C27" t="s">
        <v>34</v>
      </c>
    </row>
    <row r="28" spans="1:3" x14ac:dyDescent="0.25">
      <c r="A28" t="s">
        <v>2246</v>
      </c>
      <c r="B28" t="s">
        <v>2247</v>
      </c>
      <c r="C28" t="s">
        <v>31</v>
      </c>
    </row>
    <row r="29" spans="1:3" x14ac:dyDescent="0.25">
      <c r="A29" t="s">
        <v>2248</v>
      </c>
      <c r="B29" t="s">
        <v>2249</v>
      </c>
      <c r="C29" t="s">
        <v>31</v>
      </c>
    </row>
    <row r="30" spans="1:3" x14ac:dyDescent="0.25">
      <c r="A30" t="s">
        <v>2250</v>
      </c>
      <c r="B30" t="s">
        <v>2251</v>
      </c>
      <c r="C30" t="s">
        <v>34</v>
      </c>
    </row>
    <row r="31" spans="1:3" x14ac:dyDescent="0.25">
      <c r="A31" t="s">
        <v>2252</v>
      </c>
      <c r="B31" t="s">
        <v>2253</v>
      </c>
      <c r="C31" t="s">
        <v>357</v>
      </c>
    </row>
    <row r="32" spans="1:3" x14ac:dyDescent="0.25">
      <c r="A32" t="s">
        <v>2254</v>
      </c>
      <c r="B32" t="s">
        <v>220</v>
      </c>
      <c r="C32" t="s">
        <v>26</v>
      </c>
    </row>
  </sheetData>
  <phoneticPr fontId="1" type="noConversion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6"/>
  <dimension ref="A1:C30"/>
  <sheetViews>
    <sheetView workbookViewId="0"/>
  </sheetViews>
  <sheetFormatPr defaultRowHeight="14" x14ac:dyDescent="0.25"/>
  <sheetData>
    <row r="1" spans="1:3" x14ac:dyDescent="0.25">
      <c r="A1" t="s">
        <v>2255</v>
      </c>
    </row>
    <row r="2" spans="1:3" x14ac:dyDescent="0.25">
      <c r="A2" t="s">
        <v>1</v>
      </c>
      <c r="B2" t="s">
        <v>2256</v>
      </c>
      <c r="C2" t="s">
        <v>3</v>
      </c>
    </row>
    <row r="3" spans="1:3" x14ac:dyDescent="0.25">
      <c r="A3" t="s">
        <v>2257</v>
      </c>
      <c r="B3" t="s">
        <v>2258</v>
      </c>
      <c r="C3" t="s">
        <v>240</v>
      </c>
    </row>
    <row r="4" spans="1:3" x14ac:dyDescent="0.25">
      <c r="A4" t="s">
        <v>2259</v>
      </c>
      <c r="B4" t="s">
        <v>2260</v>
      </c>
      <c r="C4" t="s">
        <v>240</v>
      </c>
    </row>
    <row r="5" spans="1:3" x14ac:dyDescent="0.25">
      <c r="A5" t="s">
        <v>2261</v>
      </c>
      <c r="B5" t="s">
        <v>2262</v>
      </c>
      <c r="C5" t="s">
        <v>6</v>
      </c>
    </row>
    <row r="6" spans="1:3" x14ac:dyDescent="0.25">
      <c r="A6" t="s">
        <v>1613</v>
      </c>
      <c r="B6" t="s">
        <v>2263</v>
      </c>
      <c r="C6" t="s">
        <v>6</v>
      </c>
    </row>
    <row r="7" spans="1:3" x14ac:dyDescent="0.25">
      <c r="A7" t="s">
        <v>2264</v>
      </c>
      <c r="B7" t="s">
        <v>2265</v>
      </c>
      <c r="C7" t="s">
        <v>6</v>
      </c>
    </row>
    <row r="8" spans="1:3" x14ac:dyDescent="0.25">
      <c r="A8" t="s">
        <v>2266</v>
      </c>
      <c r="B8" t="s">
        <v>2267</v>
      </c>
      <c r="C8" t="s">
        <v>6</v>
      </c>
    </row>
    <row r="9" spans="1:3" x14ac:dyDescent="0.25">
      <c r="A9" t="s">
        <v>667</v>
      </c>
      <c r="B9" t="s">
        <v>2268</v>
      </c>
      <c r="C9" t="s">
        <v>11</v>
      </c>
    </row>
    <row r="10" spans="1:3" x14ac:dyDescent="0.25">
      <c r="A10" t="s">
        <v>2269</v>
      </c>
      <c r="B10" t="s">
        <v>2270</v>
      </c>
      <c r="C10" t="s">
        <v>6</v>
      </c>
    </row>
    <row r="11" spans="1:3" x14ac:dyDescent="0.25">
      <c r="A11" t="s">
        <v>2271</v>
      </c>
      <c r="B11" t="s">
        <v>2272</v>
      </c>
      <c r="C11" t="s">
        <v>6</v>
      </c>
    </row>
    <row r="12" spans="1:3" x14ac:dyDescent="0.25">
      <c r="A12" t="s">
        <v>2273</v>
      </c>
      <c r="B12" t="s">
        <v>2274</v>
      </c>
      <c r="C12" t="s">
        <v>240</v>
      </c>
    </row>
    <row r="13" spans="1:3" x14ac:dyDescent="0.25">
      <c r="A13" t="s">
        <v>2275</v>
      </c>
      <c r="B13" t="s">
        <v>2276</v>
      </c>
      <c r="C13" t="s">
        <v>240</v>
      </c>
    </row>
    <row r="14" spans="1:3" x14ac:dyDescent="0.25">
      <c r="A14" t="s">
        <v>2277</v>
      </c>
      <c r="B14" t="s">
        <v>2278</v>
      </c>
      <c r="C14" t="s">
        <v>409</v>
      </c>
    </row>
    <row r="15" spans="1:3" x14ac:dyDescent="0.25">
      <c r="A15" t="s">
        <v>1552</v>
      </c>
      <c r="B15" t="s">
        <v>2279</v>
      </c>
      <c r="C15" t="s">
        <v>411</v>
      </c>
    </row>
    <row r="16" spans="1:3" x14ac:dyDescent="0.25">
      <c r="A16" t="s">
        <v>2280</v>
      </c>
      <c r="B16" t="s">
        <v>2281</v>
      </c>
      <c r="C16" t="s">
        <v>411</v>
      </c>
    </row>
    <row r="17" spans="1:3" x14ac:dyDescent="0.25">
      <c r="A17" t="s">
        <v>1727</v>
      </c>
      <c r="B17" t="s">
        <v>2282</v>
      </c>
      <c r="C17" t="s">
        <v>409</v>
      </c>
    </row>
    <row r="18" spans="1:3" x14ac:dyDescent="0.25">
      <c r="A18" t="s">
        <v>2283</v>
      </c>
      <c r="B18" t="s">
        <v>2284</v>
      </c>
      <c r="C18" t="s">
        <v>6</v>
      </c>
    </row>
    <row r="19" spans="1:3" x14ac:dyDescent="0.25">
      <c r="A19" t="s">
        <v>2285</v>
      </c>
      <c r="B19" t="s">
        <v>2286</v>
      </c>
      <c r="C19" t="s">
        <v>240</v>
      </c>
    </row>
    <row r="20" spans="1:3" x14ac:dyDescent="0.25">
      <c r="A20" t="str">
        <f>A19</f>
        <v>75.09</v>
      </c>
      <c r="B20">
        <v>12.28</v>
      </c>
    </row>
    <row r="21" spans="1:3" x14ac:dyDescent="0.25">
      <c r="A21">
        <f>A19+2.32</f>
        <v>77.41</v>
      </c>
      <c r="B21">
        <v>12.42</v>
      </c>
    </row>
    <row r="22" spans="1:3" x14ac:dyDescent="0.25">
      <c r="A22">
        <f>A21+9</f>
        <v>86.41</v>
      </c>
      <c r="B22">
        <f>B21-3</f>
        <v>9.42</v>
      </c>
    </row>
    <row r="23" spans="1:3" x14ac:dyDescent="0.25">
      <c r="A23">
        <f>A22+13.02</f>
        <v>99.429999999999993</v>
      </c>
      <c r="B23">
        <f>B22</f>
        <v>9.42</v>
      </c>
    </row>
    <row r="24" spans="1:3" x14ac:dyDescent="0.25">
      <c r="A24" t="s">
        <v>2287</v>
      </c>
      <c r="B24" t="s">
        <v>2288</v>
      </c>
      <c r="C24" t="s">
        <v>409</v>
      </c>
    </row>
    <row r="25" spans="1:3" x14ac:dyDescent="0.25">
      <c r="A25" t="s">
        <v>2289</v>
      </c>
      <c r="B25" t="s">
        <v>2290</v>
      </c>
      <c r="C25" t="s">
        <v>6</v>
      </c>
    </row>
    <row r="26" spans="1:3" x14ac:dyDescent="0.25">
      <c r="A26" t="s">
        <v>2291</v>
      </c>
      <c r="B26" t="s">
        <v>2292</v>
      </c>
      <c r="C26" t="s">
        <v>6</v>
      </c>
    </row>
    <row r="27" spans="1:3" x14ac:dyDescent="0.25">
      <c r="A27" t="s">
        <v>2293</v>
      </c>
      <c r="B27" t="s">
        <v>2294</v>
      </c>
      <c r="C27" t="s">
        <v>6</v>
      </c>
    </row>
    <row r="28" spans="1:3" x14ac:dyDescent="0.25">
      <c r="A28" t="s">
        <v>2295</v>
      </c>
      <c r="B28" t="s">
        <v>2296</v>
      </c>
      <c r="C28" t="s">
        <v>6</v>
      </c>
    </row>
    <row r="29" spans="1:3" x14ac:dyDescent="0.25">
      <c r="A29" t="s">
        <v>2297</v>
      </c>
      <c r="B29" t="s">
        <v>2298</v>
      </c>
      <c r="C29" t="s">
        <v>26</v>
      </c>
    </row>
    <row r="30" spans="1:3" x14ac:dyDescent="0.25">
      <c r="C30" t="s">
        <v>2595</v>
      </c>
    </row>
  </sheetData>
  <phoneticPr fontId="1" type="noConversion"/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8"/>
  <dimension ref="A1:C20"/>
  <sheetViews>
    <sheetView workbookViewId="0">
      <selection activeCell="G26" sqref="G26"/>
    </sheetView>
  </sheetViews>
  <sheetFormatPr defaultRowHeight="14" x14ac:dyDescent="0.25"/>
  <sheetData>
    <row r="1" spans="1:3" x14ac:dyDescent="0.25">
      <c r="A1" t="s">
        <v>2299</v>
      </c>
    </row>
    <row r="2" spans="1:3" x14ac:dyDescent="0.25">
      <c r="A2" t="s">
        <v>1</v>
      </c>
      <c r="B2" t="s">
        <v>2300</v>
      </c>
      <c r="C2" t="s">
        <v>3</v>
      </c>
    </row>
    <row r="3" spans="1:3" x14ac:dyDescent="0.25">
      <c r="A3" t="s">
        <v>2301</v>
      </c>
      <c r="B3" t="s">
        <v>2302</v>
      </c>
      <c r="C3" t="s">
        <v>411</v>
      </c>
    </row>
    <row r="4" spans="1:3" x14ac:dyDescent="0.25">
      <c r="A4" t="s">
        <v>1282</v>
      </c>
      <c r="B4" t="s">
        <v>2303</v>
      </c>
      <c r="C4" t="s">
        <v>6</v>
      </c>
    </row>
    <row r="5" spans="1:3" x14ac:dyDescent="0.25">
      <c r="A5" t="s">
        <v>667</v>
      </c>
      <c r="B5" t="s">
        <v>2304</v>
      </c>
      <c r="C5" t="s">
        <v>11</v>
      </c>
    </row>
    <row r="6" spans="1:3" x14ac:dyDescent="0.25">
      <c r="A6" t="s">
        <v>91</v>
      </c>
      <c r="B6" t="s">
        <v>2305</v>
      </c>
      <c r="C6" t="s">
        <v>6</v>
      </c>
    </row>
    <row r="7" spans="1:3" x14ac:dyDescent="0.25">
      <c r="A7" t="s">
        <v>2306</v>
      </c>
      <c r="B7" t="s">
        <v>2307</v>
      </c>
      <c r="C7" t="s">
        <v>6</v>
      </c>
    </row>
    <row r="8" spans="1:3" x14ac:dyDescent="0.25">
      <c r="A8" t="s">
        <v>2308</v>
      </c>
      <c r="B8" t="s">
        <v>2309</v>
      </c>
      <c r="C8" t="s">
        <v>6</v>
      </c>
    </row>
    <row r="9" spans="1:3" x14ac:dyDescent="0.25">
      <c r="A9" t="s">
        <v>2310</v>
      </c>
      <c r="B9" t="s">
        <v>2311</v>
      </c>
      <c r="C9" t="s">
        <v>240</v>
      </c>
    </row>
    <row r="10" spans="1:3" x14ac:dyDescent="0.25">
      <c r="A10" t="s">
        <v>2312</v>
      </c>
      <c r="B10" t="s">
        <v>2313</v>
      </c>
      <c r="C10" t="s">
        <v>240</v>
      </c>
    </row>
    <row r="11" spans="1:3" x14ac:dyDescent="0.25">
      <c r="A11" t="s">
        <v>2314</v>
      </c>
      <c r="B11" t="s">
        <v>2315</v>
      </c>
      <c r="C11" t="s">
        <v>6</v>
      </c>
    </row>
    <row r="12" spans="1:3" x14ac:dyDescent="0.25">
      <c r="A12">
        <f>75+1.41</f>
        <v>76.41</v>
      </c>
      <c r="B12">
        <v>12.3</v>
      </c>
    </row>
    <row r="13" spans="1:3" x14ac:dyDescent="0.25">
      <c r="A13">
        <f>A12+2.76</f>
        <v>79.17</v>
      </c>
      <c r="B13">
        <v>12.34</v>
      </c>
    </row>
    <row r="14" spans="1:3" x14ac:dyDescent="0.25">
      <c r="A14">
        <f>A13+9</f>
        <v>88.17</v>
      </c>
      <c r="B14">
        <v>9.34</v>
      </c>
    </row>
    <row r="15" spans="1:3" x14ac:dyDescent="0.25">
      <c r="A15">
        <f>A14+6</f>
        <v>94.17</v>
      </c>
      <c r="B15">
        <f>B14</f>
        <v>9.34</v>
      </c>
    </row>
    <row r="16" spans="1:3" x14ac:dyDescent="0.25">
      <c r="A16">
        <f>A15+9.91</f>
        <v>104.08</v>
      </c>
      <c r="B16">
        <f>B15+3.3</f>
        <v>12.64</v>
      </c>
    </row>
    <row r="17" spans="1:3" x14ac:dyDescent="0.25">
      <c r="A17">
        <v>105</v>
      </c>
      <c r="B17">
        <f>B16</f>
        <v>12.64</v>
      </c>
    </row>
    <row r="18" spans="1:3" x14ac:dyDescent="0.25">
      <c r="A18">
        <v>105</v>
      </c>
      <c r="B18">
        <v>13.15</v>
      </c>
    </row>
    <row r="19" spans="1:3" x14ac:dyDescent="0.25">
      <c r="A19" t="s">
        <v>2316</v>
      </c>
      <c r="B19" t="s">
        <v>1847</v>
      </c>
      <c r="C19" t="s">
        <v>6</v>
      </c>
    </row>
    <row r="20" spans="1:3" x14ac:dyDescent="0.25">
      <c r="A20" t="s">
        <v>2317</v>
      </c>
      <c r="B20" t="s">
        <v>1905</v>
      </c>
      <c r="C20" t="s">
        <v>26</v>
      </c>
    </row>
  </sheetData>
  <phoneticPr fontId="1" type="noConversion"/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9"/>
  <dimension ref="A1:C21"/>
  <sheetViews>
    <sheetView workbookViewId="0"/>
  </sheetViews>
  <sheetFormatPr defaultRowHeight="14" x14ac:dyDescent="0.25"/>
  <sheetData>
    <row r="1" spans="1:3" x14ac:dyDescent="0.25">
      <c r="A1" t="s">
        <v>2318</v>
      </c>
    </row>
    <row r="2" spans="1:3" x14ac:dyDescent="0.25">
      <c r="A2" t="s">
        <v>1</v>
      </c>
      <c r="B2" t="s">
        <v>587</v>
      </c>
      <c r="C2" t="s">
        <v>3</v>
      </c>
    </row>
    <row r="3" spans="1:3" x14ac:dyDescent="0.25">
      <c r="A3" t="s">
        <v>476</v>
      </c>
      <c r="B3" t="s">
        <v>2319</v>
      </c>
      <c r="C3" t="s">
        <v>411</v>
      </c>
    </row>
    <row r="4" spans="1:3" x14ac:dyDescent="0.25">
      <c r="A4" t="s">
        <v>789</v>
      </c>
      <c r="B4" t="s">
        <v>2320</v>
      </c>
      <c r="C4" t="s">
        <v>2321</v>
      </c>
    </row>
    <row r="5" spans="1:3" x14ac:dyDescent="0.25">
      <c r="A5" t="s">
        <v>869</v>
      </c>
      <c r="B5" t="s">
        <v>2145</v>
      </c>
      <c r="C5" t="s">
        <v>2224</v>
      </c>
    </row>
    <row r="6" spans="1:3" x14ac:dyDescent="0.25">
      <c r="A6" t="s">
        <v>667</v>
      </c>
      <c r="B6" t="s">
        <v>2322</v>
      </c>
      <c r="C6" t="s">
        <v>11</v>
      </c>
    </row>
    <row r="7" spans="1:3" x14ac:dyDescent="0.25">
      <c r="A7" t="s">
        <v>2323</v>
      </c>
      <c r="B7" t="s">
        <v>2324</v>
      </c>
      <c r="C7" t="s">
        <v>1233</v>
      </c>
    </row>
    <row r="8" spans="1:3" x14ac:dyDescent="0.25">
      <c r="A8" t="s">
        <v>2325</v>
      </c>
      <c r="B8" t="s">
        <v>2326</v>
      </c>
      <c r="C8" t="s">
        <v>6</v>
      </c>
    </row>
    <row r="9" spans="1:3" x14ac:dyDescent="0.25">
      <c r="A9">
        <v>83.15</v>
      </c>
      <c r="B9">
        <v>12.9</v>
      </c>
    </row>
    <row r="10" spans="1:3" x14ac:dyDescent="0.25">
      <c r="A10">
        <f>A9+10.93</f>
        <v>94.080000000000013</v>
      </c>
      <c r="B10">
        <v>9.26</v>
      </c>
    </row>
    <row r="11" spans="1:3" x14ac:dyDescent="0.25">
      <c r="A11">
        <f>A10+13.37</f>
        <v>107.45000000000002</v>
      </c>
      <c r="B11">
        <v>11.26</v>
      </c>
    </row>
    <row r="12" spans="1:3" x14ac:dyDescent="0.25">
      <c r="A12" t="s">
        <v>2327</v>
      </c>
      <c r="B12" t="s">
        <v>2328</v>
      </c>
      <c r="C12" t="s">
        <v>409</v>
      </c>
    </row>
    <row r="13" spans="1:3" x14ac:dyDescent="0.25">
      <c r="A13" t="s">
        <v>2329</v>
      </c>
      <c r="B13" t="s">
        <v>2330</v>
      </c>
      <c r="C13" t="s">
        <v>6</v>
      </c>
    </row>
    <row r="14" spans="1:3" x14ac:dyDescent="0.25">
      <c r="A14" t="s">
        <v>2331</v>
      </c>
      <c r="B14" t="s">
        <v>2332</v>
      </c>
      <c r="C14" t="s">
        <v>6</v>
      </c>
    </row>
    <row r="15" spans="1:3" x14ac:dyDescent="0.25">
      <c r="A15" t="s">
        <v>2333</v>
      </c>
      <c r="B15" t="s">
        <v>2334</v>
      </c>
      <c r="C15" t="s">
        <v>6</v>
      </c>
    </row>
    <row r="16" spans="1:3" x14ac:dyDescent="0.25">
      <c r="A16" t="s">
        <v>2335</v>
      </c>
      <c r="B16" t="s">
        <v>2336</v>
      </c>
      <c r="C16" t="s">
        <v>31</v>
      </c>
    </row>
    <row r="17" spans="1:3" x14ac:dyDescent="0.25">
      <c r="A17" t="s">
        <v>2337</v>
      </c>
      <c r="B17" t="s">
        <v>2338</v>
      </c>
      <c r="C17" t="s">
        <v>34</v>
      </c>
    </row>
    <row r="18" spans="1:3" x14ac:dyDescent="0.25">
      <c r="A18" t="s">
        <v>2339</v>
      </c>
      <c r="B18" t="s">
        <v>2340</v>
      </c>
      <c r="C18" t="s">
        <v>34</v>
      </c>
    </row>
    <row r="19" spans="1:3" x14ac:dyDescent="0.25">
      <c r="A19" t="s">
        <v>2341</v>
      </c>
      <c r="B19" t="s">
        <v>2342</v>
      </c>
      <c r="C19" t="s">
        <v>31</v>
      </c>
    </row>
    <row r="20" spans="1:3" x14ac:dyDescent="0.25">
      <c r="A20" t="s">
        <v>2343</v>
      </c>
      <c r="B20" t="s">
        <v>2344</v>
      </c>
      <c r="C20" t="s">
        <v>357</v>
      </c>
    </row>
    <row r="21" spans="1:3" x14ac:dyDescent="0.25">
      <c r="A21" t="s">
        <v>2345</v>
      </c>
      <c r="B21" t="s">
        <v>2346</v>
      </c>
      <c r="C21" t="s">
        <v>26</v>
      </c>
    </row>
  </sheetData>
  <phoneticPr fontId="1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10"/>
  <dimension ref="A1:C33"/>
  <sheetViews>
    <sheetView workbookViewId="0"/>
  </sheetViews>
  <sheetFormatPr defaultRowHeight="14" x14ac:dyDescent="0.25"/>
  <sheetData>
    <row r="1" spans="1:3" x14ac:dyDescent="0.25">
      <c r="A1" t="s">
        <v>2347</v>
      </c>
    </row>
    <row r="2" spans="1:3" x14ac:dyDescent="0.25">
      <c r="A2" t="s">
        <v>1</v>
      </c>
      <c r="B2" t="s">
        <v>2348</v>
      </c>
      <c r="C2" t="s">
        <v>3</v>
      </c>
    </row>
    <row r="3" spans="1:3" x14ac:dyDescent="0.25">
      <c r="A3" t="s">
        <v>2349</v>
      </c>
      <c r="B3" t="s">
        <v>2350</v>
      </c>
      <c r="C3" t="s">
        <v>411</v>
      </c>
    </row>
    <row r="4" spans="1:3" x14ac:dyDescent="0.25">
      <c r="A4" t="s">
        <v>2351</v>
      </c>
      <c r="B4" t="s">
        <v>2352</v>
      </c>
      <c r="C4" t="s">
        <v>6</v>
      </c>
    </row>
    <row r="5" spans="1:3" x14ac:dyDescent="0.25">
      <c r="A5" t="s">
        <v>2353</v>
      </c>
      <c r="B5" t="s">
        <v>2354</v>
      </c>
      <c r="C5" t="s">
        <v>6</v>
      </c>
    </row>
    <row r="6" spans="1:3" x14ac:dyDescent="0.25">
      <c r="A6" t="s">
        <v>667</v>
      </c>
      <c r="B6" t="s">
        <v>2355</v>
      </c>
      <c r="C6" t="s">
        <v>11</v>
      </c>
    </row>
    <row r="7" spans="1:3" x14ac:dyDescent="0.25">
      <c r="A7" t="s">
        <v>2356</v>
      </c>
      <c r="B7" t="s">
        <v>2357</v>
      </c>
      <c r="C7" t="s">
        <v>68</v>
      </c>
    </row>
    <row r="8" spans="1:3" x14ac:dyDescent="0.25">
      <c r="A8" t="s">
        <v>795</v>
      </c>
      <c r="B8" t="s">
        <v>2358</v>
      </c>
      <c r="C8" t="s">
        <v>411</v>
      </c>
    </row>
    <row r="9" spans="1:3" x14ac:dyDescent="0.25">
      <c r="A9" t="s">
        <v>2359</v>
      </c>
      <c r="B9" t="s">
        <v>2360</v>
      </c>
      <c r="C9" t="s">
        <v>409</v>
      </c>
    </row>
    <row r="10" spans="1:3" x14ac:dyDescent="0.25">
      <c r="A10" t="s">
        <v>249</v>
      </c>
      <c r="B10" t="s">
        <v>2361</v>
      </c>
      <c r="C10" t="s">
        <v>34</v>
      </c>
    </row>
    <row r="11" spans="1:3" x14ac:dyDescent="0.25">
      <c r="A11" t="s">
        <v>2362</v>
      </c>
      <c r="B11" t="s">
        <v>2363</v>
      </c>
      <c r="C11" t="s">
        <v>31</v>
      </c>
    </row>
    <row r="12" spans="1:3" x14ac:dyDescent="0.25">
      <c r="A12" t="s">
        <v>2364</v>
      </c>
      <c r="B12" t="s">
        <v>2365</v>
      </c>
      <c r="C12" t="s">
        <v>34</v>
      </c>
    </row>
    <row r="13" spans="1:3" x14ac:dyDescent="0.25">
      <c r="A13" t="s">
        <v>932</v>
      </c>
      <c r="B13" t="s">
        <v>2366</v>
      </c>
      <c r="C13" t="s">
        <v>31</v>
      </c>
    </row>
    <row r="14" spans="1:3" x14ac:dyDescent="0.25">
      <c r="A14" t="s">
        <v>2367</v>
      </c>
      <c r="B14" t="s">
        <v>2368</v>
      </c>
      <c r="C14" t="s">
        <v>31</v>
      </c>
    </row>
    <row r="15" spans="1:3" x14ac:dyDescent="0.25">
      <c r="A15" t="s">
        <v>2369</v>
      </c>
      <c r="B15" t="s">
        <v>2370</v>
      </c>
      <c r="C15" t="s">
        <v>34</v>
      </c>
    </row>
    <row r="16" spans="1:3" x14ac:dyDescent="0.25">
      <c r="A16" t="s">
        <v>2371</v>
      </c>
      <c r="B16" t="s">
        <v>2372</v>
      </c>
      <c r="C16" t="s">
        <v>31</v>
      </c>
    </row>
    <row r="17" spans="1:3" x14ac:dyDescent="0.25">
      <c r="A17" t="s">
        <v>2373</v>
      </c>
      <c r="B17" t="s">
        <v>2374</v>
      </c>
      <c r="C17" t="s">
        <v>34</v>
      </c>
    </row>
    <row r="18" spans="1:3" x14ac:dyDescent="0.25">
      <c r="A18" t="s">
        <v>2375</v>
      </c>
      <c r="B18" t="s">
        <v>2376</v>
      </c>
      <c r="C18" t="s">
        <v>68</v>
      </c>
    </row>
    <row r="19" spans="1:3" x14ac:dyDescent="0.25">
      <c r="A19" t="s">
        <v>2377</v>
      </c>
      <c r="B19" t="s">
        <v>2378</v>
      </c>
      <c r="C19" t="s">
        <v>68</v>
      </c>
    </row>
    <row r="20" spans="1:3" x14ac:dyDescent="0.25">
      <c r="A20">
        <f>A21-0.87</f>
        <v>80.05</v>
      </c>
      <c r="B20">
        <f>B21-0.52</f>
        <v>11.66</v>
      </c>
    </row>
    <row r="21" spans="1:3" x14ac:dyDescent="0.25">
      <c r="A21">
        <f>A22-3.23</f>
        <v>80.92</v>
      </c>
      <c r="B21">
        <f>B22</f>
        <v>12.18</v>
      </c>
    </row>
    <row r="22" spans="1:3" x14ac:dyDescent="0.25">
      <c r="A22">
        <f>A23-9</f>
        <v>84.15</v>
      </c>
      <c r="B22">
        <f>B23+3</f>
        <v>12.18</v>
      </c>
    </row>
    <row r="23" spans="1:3" x14ac:dyDescent="0.25">
      <c r="A23">
        <v>93.15</v>
      </c>
      <c r="B23">
        <v>9.18</v>
      </c>
    </row>
    <row r="24" spans="1:3" x14ac:dyDescent="0.25">
      <c r="A24" t="s">
        <v>2379</v>
      </c>
      <c r="B24">
        <f>B23</f>
        <v>9.18</v>
      </c>
      <c r="C24" t="s">
        <v>411</v>
      </c>
    </row>
    <row r="25" spans="1:3" x14ac:dyDescent="0.25">
      <c r="A25" t="s">
        <v>2379</v>
      </c>
      <c r="B25" t="s">
        <v>2380</v>
      </c>
      <c r="C25" t="s">
        <v>411</v>
      </c>
    </row>
    <row r="26" spans="1:3" x14ac:dyDescent="0.25">
      <c r="A26" t="s">
        <v>2381</v>
      </c>
      <c r="B26" t="s">
        <v>2382</v>
      </c>
      <c r="C26" t="s">
        <v>409</v>
      </c>
    </row>
    <row r="27" spans="1:3" x14ac:dyDescent="0.25">
      <c r="A27" t="s">
        <v>2383</v>
      </c>
      <c r="B27" t="s">
        <v>2384</v>
      </c>
      <c r="C27" t="s">
        <v>34</v>
      </c>
    </row>
    <row r="28" spans="1:3" x14ac:dyDescent="0.25">
      <c r="A28" t="s">
        <v>2385</v>
      </c>
      <c r="B28" t="s">
        <v>2386</v>
      </c>
      <c r="C28" t="s">
        <v>31</v>
      </c>
    </row>
    <row r="29" spans="1:3" x14ac:dyDescent="0.25">
      <c r="A29" t="s">
        <v>2387</v>
      </c>
      <c r="B29" t="s">
        <v>2388</v>
      </c>
      <c r="C29" t="s">
        <v>6</v>
      </c>
    </row>
    <row r="30" spans="1:3" x14ac:dyDescent="0.25">
      <c r="A30" t="s">
        <v>2389</v>
      </c>
      <c r="B30" t="s">
        <v>2390</v>
      </c>
      <c r="C30" t="s">
        <v>31</v>
      </c>
    </row>
    <row r="31" spans="1:3" x14ac:dyDescent="0.25">
      <c r="A31" t="s">
        <v>2391</v>
      </c>
      <c r="B31" t="s">
        <v>2392</v>
      </c>
      <c r="C31" t="s">
        <v>34</v>
      </c>
    </row>
    <row r="32" spans="1:3" x14ac:dyDescent="0.25">
      <c r="A32" t="s">
        <v>2393</v>
      </c>
      <c r="B32" t="s">
        <v>2394</v>
      </c>
      <c r="C32" t="s">
        <v>357</v>
      </c>
    </row>
    <row r="33" spans="1:3" x14ac:dyDescent="0.25">
      <c r="A33" t="s">
        <v>2395</v>
      </c>
      <c r="B33" t="s">
        <v>2396</v>
      </c>
      <c r="C33" t="s">
        <v>26</v>
      </c>
    </row>
  </sheetData>
  <phoneticPr fontId="1" type="noConversion"/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11">
    <tabColor theme="6"/>
  </sheetPr>
  <dimension ref="A1:C31"/>
  <sheetViews>
    <sheetView workbookViewId="0">
      <selection activeCell="L18" sqref="L18"/>
    </sheetView>
  </sheetViews>
  <sheetFormatPr defaultRowHeight="14" x14ac:dyDescent="0.25"/>
  <sheetData>
    <row r="1" spans="1:3" x14ac:dyDescent="0.25">
      <c r="A1" t="s">
        <v>2397</v>
      </c>
      <c r="B1" t="s">
        <v>2602</v>
      </c>
      <c r="C1" t="s">
        <v>2605</v>
      </c>
    </row>
    <row r="2" spans="1:3" x14ac:dyDescent="0.25">
      <c r="A2" t="s">
        <v>1</v>
      </c>
      <c r="B2" t="s">
        <v>2398</v>
      </c>
      <c r="C2" t="s">
        <v>3</v>
      </c>
    </row>
    <row r="3" spans="1:3" x14ac:dyDescent="0.25">
      <c r="A3" t="s">
        <v>2399</v>
      </c>
      <c r="B3" t="s">
        <v>2400</v>
      </c>
      <c r="C3" t="s">
        <v>411</v>
      </c>
    </row>
    <row r="4" spans="1:3" x14ac:dyDescent="0.25">
      <c r="A4" t="s">
        <v>2401</v>
      </c>
      <c r="B4" t="s">
        <v>2402</v>
      </c>
      <c r="C4" t="s">
        <v>6</v>
      </c>
    </row>
    <row r="5" spans="1:3" x14ac:dyDescent="0.25">
      <c r="A5" t="s">
        <v>2403</v>
      </c>
      <c r="B5" t="s">
        <v>2404</v>
      </c>
      <c r="C5" t="s">
        <v>240</v>
      </c>
    </row>
    <row r="6" spans="1:3" x14ac:dyDescent="0.25">
      <c r="A6" t="s">
        <v>2405</v>
      </c>
      <c r="B6" t="s">
        <v>2406</v>
      </c>
      <c r="C6" t="s">
        <v>240</v>
      </c>
    </row>
    <row r="7" spans="1:3" x14ac:dyDescent="0.25">
      <c r="A7" t="s">
        <v>2407</v>
      </c>
      <c r="B7" t="s">
        <v>2408</v>
      </c>
      <c r="C7" t="s">
        <v>6</v>
      </c>
    </row>
    <row r="8" spans="1:3" x14ac:dyDescent="0.25">
      <c r="A8" t="s">
        <v>667</v>
      </c>
      <c r="B8" t="s">
        <v>2409</v>
      </c>
      <c r="C8" t="s">
        <v>11</v>
      </c>
    </row>
    <row r="9" spans="1:3" x14ac:dyDescent="0.25">
      <c r="A9" t="s">
        <v>2410</v>
      </c>
      <c r="B9" t="s">
        <v>2411</v>
      </c>
      <c r="C9" t="s">
        <v>68</v>
      </c>
    </row>
    <row r="10" spans="1:3" x14ac:dyDescent="0.25">
      <c r="A10" t="s">
        <v>2412</v>
      </c>
      <c r="B10" t="s">
        <v>2413</v>
      </c>
      <c r="C10" t="s">
        <v>68</v>
      </c>
    </row>
    <row r="11" spans="1:3" x14ac:dyDescent="0.25">
      <c r="A11" t="s">
        <v>2414</v>
      </c>
      <c r="B11" t="s">
        <v>2415</v>
      </c>
      <c r="C11" t="s">
        <v>68</v>
      </c>
    </row>
    <row r="12" spans="1:3" x14ac:dyDescent="0.25">
      <c r="A12" t="s">
        <v>2416</v>
      </c>
      <c r="B12" t="s">
        <v>2417</v>
      </c>
      <c r="C12" t="s">
        <v>411</v>
      </c>
    </row>
    <row r="13" spans="1:3" x14ac:dyDescent="0.25">
      <c r="A13" t="s">
        <v>2418</v>
      </c>
      <c r="B13" t="s">
        <v>2419</v>
      </c>
      <c r="C13" t="s">
        <v>409</v>
      </c>
    </row>
    <row r="14" spans="1:3" x14ac:dyDescent="0.25">
      <c r="A14" t="s">
        <v>2420</v>
      </c>
      <c r="B14" t="s">
        <v>2421</v>
      </c>
      <c r="C14" t="s">
        <v>240</v>
      </c>
    </row>
    <row r="15" spans="1:3" x14ac:dyDescent="0.25">
      <c r="A15" t="s">
        <v>2422</v>
      </c>
      <c r="B15" t="s">
        <v>2423</v>
      </c>
      <c r="C15" t="s">
        <v>240</v>
      </c>
    </row>
    <row r="16" spans="1:3" x14ac:dyDescent="0.25">
      <c r="A16" t="s">
        <v>2424</v>
      </c>
      <c r="B16" t="s">
        <v>2009</v>
      </c>
      <c r="C16" t="s">
        <v>31</v>
      </c>
    </row>
    <row r="17" spans="1:3" x14ac:dyDescent="0.25">
      <c r="A17">
        <f>A18-2.82</f>
        <v>106.86000000000001</v>
      </c>
      <c r="B17">
        <f>B18</f>
        <v>12.1</v>
      </c>
    </row>
    <row r="18" spans="1:3" x14ac:dyDescent="0.25">
      <c r="A18">
        <f>A19-9</f>
        <v>109.68</v>
      </c>
      <c r="B18">
        <f>B19+3</f>
        <v>12.1</v>
      </c>
    </row>
    <row r="19" spans="1:3" x14ac:dyDescent="0.25">
      <c r="A19">
        <f>115+3.68</f>
        <v>118.68</v>
      </c>
      <c r="B19">
        <v>9.1</v>
      </c>
    </row>
    <row r="20" spans="1:3" x14ac:dyDescent="0.25">
      <c r="A20" t="s">
        <v>2425</v>
      </c>
      <c r="B20">
        <v>9.1</v>
      </c>
      <c r="C20" t="s">
        <v>411</v>
      </c>
    </row>
    <row r="21" spans="1:3" x14ac:dyDescent="0.25">
      <c r="A21" t="s">
        <v>2425</v>
      </c>
      <c r="B21" t="s">
        <v>2426</v>
      </c>
      <c r="C21" t="s">
        <v>411</v>
      </c>
    </row>
    <row r="22" spans="1:3" x14ac:dyDescent="0.25">
      <c r="A22" t="s">
        <v>2427</v>
      </c>
      <c r="B22" t="s">
        <v>2428</v>
      </c>
      <c r="C22" t="s">
        <v>409</v>
      </c>
    </row>
    <row r="23" spans="1:3" x14ac:dyDescent="0.25">
      <c r="A23" t="s">
        <v>2429</v>
      </c>
      <c r="B23" t="s">
        <v>2430</v>
      </c>
      <c r="C23" t="s">
        <v>34</v>
      </c>
    </row>
    <row r="24" spans="1:3" x14ac:dyDescent="0.25">
      <c r="A24" t="s">
        <v>2431</v>
      </c>
      <c r="B24" t="s">
        <v>2432</v>
      </c>
      <c r="C24" t="s">
        <v>31</v>
      </c>
    </row>
    <row r="25" spans="1:3" x14ac:dyDescent="0.25">
      <c r="A25" t="s">
        <v>2433</v>
      </c>
      <c r="B25" t="s">
        <v>2315</v>
      </c>
      <c r="C25" t="s">
        <v>357</v>
      </c>
    </row>
    <row r="26" spans="1:3" x14ac:dyDescent="0.25">
      <c r="A26" t="s">
        <v>2434</v>
      </c>
      <c r="B26" t="s">
        <v>2435</v>
      </c>
      <c r="C26" t="s">
        <v>357</v>
      </c>
    </row>
    <row r="27" spans="1:3" x14ac:dyDescent="0.25">
      <c r="A27" t="s">
        <v>2436</v>
      </c>
      <c r="B27" t="s">
        <v>2437</v>
      </c>
      <c r="C27" t="s">
        <v>31</v>
      </c>
    </row>
    <row r="28" spans="1:3" x14ac:dyDescent="0.25">
      <c r="A28" t="s">
        <v>2438</v>
      </c>
      <c r="B28" t="s">
        <v>2439</v>
      </c>
      <c r="C28" t="s">
        <v>34</v>
      </c>
    </row>
    <row r="29" spans="1:3" x14ac:dyDescent="0.25">
      <c r="A29" t="s">
        <v>2440</v>
      </c>
      <c r="B29" t="s">
        <v>2441</v>
      </c>
      <c r="C29" t="s">
        <v>68</v>
      </c>
    </row>
    <row r="30" spans="1:3" x14ac:dyDescent="0.25">
      <c r="A30" t="s">
        <v>2442</v>
      </c>
      <c r="B30" t="s">
        <v>2443</v>
      </c>
      <c r="C30" t="s">
        <v>68</v>
      </c>
    </row>
    <row r="31" spans="1:3" x14ac:dyDescent="0.25">
      <c r="A31" t="s">
        <v>2444</v>
      </c>
      <c r="B31" t="s">
        <v>2445</v>
      </c>
      <c r="C31" t="s">
        <v>26</v>
      </c>
    </row>
  </sheetData>
  <phoneticPr fontId="1" type="noConversion"/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2"/>
  <dimension ref="A1:C30"/>
  <sheetViews>
    <sheetView workbookViewId="0"/>
  </sheetViews>
  <sheetFormatPr defaultRowHeight="14" x14ac:dyDescent="0.25"/>
  <sheetData>
    <row r="1" spans="1:3" x14ac:dyDescent="0.25">
      <c r="A1" t="s">
        <v>2446</v>
      </c>
    </row>
    <row r="2" spans="1:3" x14ac:dyDescent="0.25">
      <c r="A2" t="s">
        <v>1</v>
      </c>
      <c r="B2" t="s">
        <v>1650</v>
      </c>
      <c r="C2" t="s">
        <v>3</v>
      </c>
    </row>
    <row r="3" spans="1:3" x14ac:dyDescent="0.25">
      <c r="A3" t="s">
        <v>2447</v>
      </c>
      <c r="B3" t="s">
        <v>2448</v>
      </c>
      <c r="C3" t="s">
        <v>411</v>
      </c>
    </row>
    <row r="4" spans="1:3" x14ac:dyDescent="0.25">
      <c r="A4" t="s">
        <v>2449</v>
      </c>
      <c r="B4" t="s">
        <v>2450</v>
      </c>
      <c r="C4" t="s">
        <v>240</v>
      </c>
    </row>
    <row r="5" spans="1:3" x14ac:dyDescent="0.25">
      <c r="A5" t="s">
        <v>1290</v>
      </c>
      <c r="B5" t="s">
        <v>2451</v>
      </c>
      <c r="C5" t="s">
        <v>240</v>
      </c>
    </row>
    <row r="6" spans="1:3" x14ac:dyDescent="0.25">
      <c r="A6" t="s">
        <v>648</v>
      </c>
      <c r="B6" t="s">
        <v>2452</v>
      </c>
      <c r="C6" t="s">
        <v>6</v>
      </c>
    </row>
    <row r="7" spans="1:3" x14ac:dyDescent="0.25">
      <c r="A7" t="s">
        <v>2453</v>
      </c>
      <c r="B7" t="s">
        <v>2454</v>
      </c>
      <c r="C7" t="s">
        <v>6</v>
      </c>
    </row>
    <row r="8" spans="1:3" x14ac:dyDescent="0.25">
      <c r="A8" t="s">
        <v>1615</v>
      </c>
      <c r="B8" t="s">
        <v>2455</v>
      </c>
      <c r="C8" t="s">
        <v>6</v>
      </c>
    </row>
    <row r="9" spans="1:3" x14ac:dyDescent="0.25">
      <c r="A9" t="s">
        <v>667</v>
      </c>
      <c r="B9" t="s">
        <v>2456</v>
      </c>
      <c r="C9" t="s">
        <v>11</v>
      </c>
    </row>
    <row r="10" spans="1:3" x14ac:dyDescent="0.25">
      <c r="A10" t="s">
        <v>2457</v>
      </c>
      <c r="B10" t="s">
        <v>2458</v>
      </c>
      <c r="C10" t="s">
        <v>68</v>
      </c>
    </row>
    <row r="11" spans="1:3" x14ac:dyDescent="0.25">
      <c r="A11" t="s">
        <v>2459</v>
      </c>
      <c r="B11" t="s">
        <v>2460</v>
      </c>
      <c r="C11" t="s">
        <v>68</v>
      </c>
    </row>
    <row r="12" spans="1:3" x14ac:dyDescent="0.25">
      <c r="A12" t="s">
        <v>2461</v>
      </c>
      <c r="B12" t="s">
        <v>2462</v>
      </c>
      <c r="C12" t="s">
        <v>68</v>
      </c>
    </row>
    <row r="13" spans="1:3" x14ac:dyDescent="0.25">
      <c r="A13" t="s">
        <v>2463</v>
      </c>
      <c r="B13" t="s">
        <v>2464</v>
      </c>
      <c r="C13" t="s">
        <v>34</v>
      </c>
    </row>
    <row r="14" spans="1:3" x14ac:dyDescent="0.25">
      <c r="A14" t="s">
        <v>2465</v>
      </c>
      <c r="B14" t="s">
        <v>2466</v>
      </c>
      <c r="C14" t="s">
        <v>31</v>
      </c>
    </row>
    <row r="15" spans="1:3" x14ac:dyDescent="0.25">
      <c r="A15" t="s">
        <v>2467</v>
      </c>
      <c r="B15" t="s">
        <v>2468</v>
      </c>
      <c r="C15" t="s">
        <v>6</v>
      </c>
    </row>
    <row r="16" spans="1:3" x14ac:dyDescent="0.25">
      <c r="A16" t="s">
        <v>2167</v>
      </c>
      <c r="B16" t="s">
        <v>2469</v>
      </c>
      <c r="C16" t="s">
        <v>240</v>
      </c>
    </row>
    <row r="17" spans="1:3" x14ac:dyDescent="0.25">
      <c r="A17" t="s">
        <v>2470</v>
      </c>
      <c r="B17" t="s">
        <v>2471</v>
      </c>
      <c r="C17" t="s">
        <v>240</v>
      </c>
    </row>
    <row r="18" spans="1:3" x14ac:dyDescent="0.25">
      <c r="A18" t="s">
        <v>2472</v>
      </c>
      <c r="B18" t="s">
        <v>2473</v>
      </c>
      <c r="C18" t="s">
        <v>31</v>
      </c>
    </row>
    <row r="19" spans="1:3" x14ac:dyDescent="0.25">
      <c r="A19">
        <f>A20-1.28</f>
        <v>81.25</v>
      </c>
      <c r="B19">
        <f>B20</f>
        <v>12.02</v>
      </c>
    </row>
    <row r="20" spans="1:3" x14ac:dyDescent="0.25">
      <c r="A20">
        <f>A21-9</f>
        <v>82.53</v>
      </c>
      <c r="B20">
        <f>B21+3</f>
        <v>12.02</v>
      </c>
    </row>
    <row r="21" spans="1:3" x14ac:dyDescent="0.25">
      <c r="A21">
        <v>91.53</v>
      </c>
      <c r="B21">
        <v>9.02</v>
      </c>
    </row>
    <row r="22" spans="1:3" x14ac:dyDescent="0.25">
      <c r="A22">
        <f>A21+9.3</f>
        <v>100.83</v>
      </c>
      <c r="B22">
        <f>B21</f>
        <v>9.02</v>
      </c>
    </row>
    <row r="23" spans="1:3" x14ac:dyDescent="0.25">
      <c r="A23" t="s">
        <v>2474</v>
      </c>
      <c r="B23" t="s">
        <v>2475</v>
      </c>
      <c r="C23" t="s">
        <v>411</v>
      </c>
    </row>
    <row r="24" spans="1:3" x14ac:dyDescent="0.25">
      <c r="A24" t="s">
        <v>2476</v>
      </c>
      <c r="B24" t="s">
        <v>2477</v>
      </c>
      <c r="C24" t="s">
        <v>409</v>
      </c>
    </row>
    <row r="25" spans="1:3" x14ac:dyDescent="0.25">
      <c r="A25" t="s">
        <v>2478</v>
      </c>
      <c r="B25" t="s">
        <v>2479</v>
      </c>
      <c r="C25" t="s">
        <v>34</v>
      </c>
    </row>
    <row r="26" spans="1:3" x14ac:dyDescent="0.25">
      <c r="A26" t="s">
        <v>2480</v>
      </c>
      <c r="B26" t="s">
        <v>2481</v>
      </c>
      <c r="C26" t="s">
        <v>31</v>
      </c>
    </row>
    <row r="27" spans="1:3" x14ac:dyDescent="0.25">
      <c r="A27" t="s">
        <v>2482</v>
      </c>
      <c r="B27" t="s">
        <v>2483</v>
      </c>
      <c r="C27" t="s">
        <v>6</v>
      </c>
    </row>
    <row r="28" spans="1:3" x14ac:dyDescent="0.25">
      <c r="A28" t="s">
        <v>2484</v>
      </c>
      <c r="B28" t="s">
        <v>1886</v>
      </c>
      <c r="C28" t="s">
        <v>409</v>
      </c>
    </row>
    <row r="29" spans="1:3" x14ac:dyDescent="0.25">
      <c r="A29" t="s">
        <v>2485</v>
      </c>
      <c r="B29" t="s">
        <v>2486</v>
      </c>
      <c r="C29" t="s">
        <v>411</v>
      </c>
    </row>
    <row r="30" spans="1:3" x14ac:dyDescent="0.25">
      <c r="A30" t="s">
        <v>2487</v>
      </c>
      <c r="B30" t="s">
        <v>2488</v>
      </c>
      <c r="C30" t="s">
        <v>26</v>
      </c>
    </row>
  </sheetData>
  <phoneticPr fontId="1" type="noConversion"/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3">
    <tabColor theme="9"/>
  </sheetPr>
  <dimension ref="A1:C31"/>
  <sheetViews>
    <sheetView workbookViewId="0">
      <selection activeCell="G29" sqref="G29"/>
    </sheetView>
  </sheetViews>
  <sheetFormatPr defaultRowHeight="14" x14ac:dyDescent="0.25"/>
  <sheetData>
    <row r="1" spans="1:3" x14ac:dyDescent="0.25">
      <c r="A1" t="s">
        <v>2489</v>
      </c>
    </row>
    <row r="2" spans="1:3" x14ac:dyDescent="0.25">
      <c r="A2">
        <v>-5.08</v>
      </c>
      <c r="B2">
        <v>15.1</v>
      </c>
    </row>
    <row r="3" spans="1:3" x14ac:dyDescent="0.25">
      <c r="A3" t="s">
        <v>1</v>
      </c>
      <c r="B3" t="s">
        <v>2027</v>
      </c>
      <c r="C3" t="s">
        <v>3</v>
      </c>
    </row>
    <row r="4" spans="1:3" x14ac:dyDescent="0.25">
      <c r="A4" t="s">
        <v>2490</v>
      </c>
      <c r="B4" t="s">
        <v>2491</v>
      </c>
      <c r="C4" t="s">
        <v>411</v>
      </c>
    </row>
    <row r="5" spans="1:3" x14ac:dyDescent="0.25">
      <c r="A5" t="s">
        <v>2492</v>
      </c>
      <c r="B5" t="s">
        <v>2493</v>
      </c>
      <c r="C5" t="s">
        <v>240</v>
      </c>
    </row>
    <row r="6" spans="1:3" x14ac:dyDescent="0.25">
      <c r="A6" t="s">
        <v>2494</v>
      </c>
      <c r="B6" t="s">
        <v>663</v>
      </c>
      <c r="C6" t="s">
        <v>240</v>
      </c>
    </row>
    <row r="7" spans="1:3" x14ac:dyDescent="0.25">
      <c r="A7" t="s">
        <v>727</v>
      </c>
      <c r="B7" t="s">
        <v>2495</v>
      </c>
      <c r="C7" t="s">
        <v>6</v>
      </c>
    </row>
    <row r="8" spans="1:3" x14ac:dyDescent="0.25">
      <c r="A8" t="s">
        <v>667</v>
      </c>
      <c r="B8" t="s">
        <v>2496</v>
      </c>
      <c r="C8" t="s">
        <v>11</v>
      </c>
    </row>
    <row r="9" spans="1:3" x14ac:dyDescent="0.25">
      <c r="A9" t="s">
        <v>815</v>
      </c>
      <c r="B9" t="s">
        <v>2497</v>
      </c>
      <c r="C9" t="s">
        <v>68</v>
      </c>
    </row>
    <row r="10" spans="1:3" x14ac:dyDescent="0.25">
      <c r="A10" t="s">
        <v>2498</v>
      </c>
      <c r="B10" t="s">
        <v>2499</v>
      </c>
      <c r="C10" t="s">
        <v>68</v>
      </c>
    </row>
    <row r="11" spans="1:3" x14ac:dyDescent="0.25">
      <c r="A11" t="s">
        <v>1057</v>
      </c>
      <c r="B11" t="s">
        <v>2500</v>
      </c>
      <c r="C11" t="s">
        <v>68</v>
      </c>
    </row>
    <row r="12" spans="1:3" x14ac:dyDescent="0.25">
      <c r="A12" t="s">
        <v>2501</v>
      </c>
      <c r="B12" t="s">
        <v>2502</v>
      </c>
      <c r="C12" t="s">
        <v>68</v>
      </c>
    </row>
    <row r="13" spans="1:3" x14ac:dyDescent="0.25">
      <c r="A13" t="s">
        <v>2026</v>
      </c>
      <c r="B13" t="s">
        <v>2503</v>
      </c>
      <c r="C13" t="s">
        <v>68</v>
      </c>
    </row>
    <row r="14" spans="1:3" x14ac:dyDescent="0.25">
      <c r="A14" t="s">
        <v>1756</v>
      </c>
      <c r="B14" t="s">
        <v>2504</v>
      </c>
      <c r="C14" t="s">
        <v>411</v>
      </c>
    </row>
    <row r="15" spans="1:3" x14ac:dyDescent="0.25">
      <c r="A15" t="s">
        <v>1450</v>
      </c>
      <c r="B15" t="s">
        <v>2505</v>
      </c>
      <c r="C15" t="s">
        <v>409</v>
      </c>
    </row>
    <row r="16" spans="1:3" x14ac:dyDescent="0.25">
      <c r="A16" t="s">
        <v>2506</v>
      </c>
      <c r="B16" t="s">
        <v>2507</v>
      </c>
      <c r="C16" t="s">
        <v>240</v>
      </c>
    </row>
    <row r="17" spans="1:3" x14ac:dyDescent="0.25">
      <c r="A17" t="s">
        <v>2508</v>
      </c>
      <c r="B17" t="s">
        <v>2509</v>
      </c>
      <c r="C17" t="s">
        <v>240</v>
      </c>
    </row>
    <row r="18" spans="1:3" x14ac:dyDescent="0.25">
      <c r="A18">
        <f>A17+0.73</f>
        <v>74.040000000000006</v>
      </c>
      <c r="B18">
        <v>12.53</v>
      </c>
    </row>
    <row r="19" spans="1:3" x14ac:dyDescent="0.25">
      <c r="A19">
        <v>84.4</v>
      </c>
      <c r="B19">
        <v>8.94</v>
      </c>
    </row>
    <row r="20" spans="1:3" x14ac:dyDescent="0.25">
      <c r="A20" t="s">
        <v>2510</v>
      </c>
      <c r="B20">
        <f>B19</f>
        <v>8.94</v>
      </c>
    </row>
    <row r="21" spans="1:3" x14ac:dyDescent="0.25">
      <c r="A21" t="s">
        <v>2510</v>
      </c>
      <c r="B21" t="s">
        <v>2511</v>
      </c>
      <c r="C21" t="s">
        <v>411</v>
      </c>
    </row>
    <row r="22" spans="1:3" x14ac:dyDescent="0.25">
      <c r="A22" t="s">
        <v>2512</v>
      </c>
      <c r="B22" t="s">
        <v>2513</v>
      </c>
      <c r="C22" t="s">
        <v>409</v>
      </c>
    </row>
    <row r="23" spans="1:3" x14ac:dyDescent="0.25">
      <c r="A23" t="s">
        <v>2514</v>
      </c>
      <c r="B23" t="s">
        <v>2515</v>
      </c>
      <c r="C23" t="s">
        <v>411</v>
      </c>
    </row>
    <row r="24" spans="1:3" x14ac:dyDescent="0.25">
      <c r="A24" t="s">
        <v>2516</v>
      </c>
      <c r="B24" t="s">
        <v>2517</v>
      </c>
      <c r="C24" t="s">
        <v>409</v>
      </c>
    </row>
    <row r="25" spans="1:3" x14ac:dyDescent="0.25">
      <c r="A25" t="s">
        <v>2518</v>
      </c>
      <c r="B25" t="s">
        <v>2519</v>
      </c>
      <c r="C25" t="s">
        <v>2224</v>
      </c>
    </row>
    <row r="26" spans="1:3" x14ac:dyDescent="0.25">
      <c r="A26" t="s">
        <v>2520</v>
      </c>
      <c r="B26" t="s">
        <v>2521</v>
      </c>
      <c r="C26" t="s">
        <v>2224</v>
      </c>
    </row>
    <row r="27" spans="1:3" x14ac:dyDescent="0.25">
      <c r="A27" t="s">
        <v>2522</v>
      </c>
      <c r="B27" t="s">
        <v>2018</v>
      </c>
      <c r="C27" t="s">
        <v>409</v>
      </c>
    </row>
    <row r="28" spans="1:3" x14ac:dyDescent="0.25">
      <c r="A28" t="s">
        <v>2523</v>
      </c>
      <c r="B28" t="s">
        <v>2524</v>
      </c>
      <c r="C28" t="s">
        <v>411</v>
      </c>
    </row>
    <row r="29" spans="1:3" x14ac:dyDescent="0.25">
      <c r="A29" t="s">
        <v>2525</v>
      </c>
      <c r="B29" t="s">
        <v>2526</v>
      </c>
      <c r="C29" t="s">
        <v>68</v>
      </c>
    </row>
    <row r="30" spans="1:3" x14ac:dyDescent="0.25">
      <c r="A30" t="s">
        <v>2527</v>
      </c>
      <c r="B30" t="s">
        <v>1498</v>
      </c>
      <c r="C30" t="s">
        <v>26</v>
      </c>
    </row>
    <row r="31" spans="1:3" x14ac:dyDescent="0.25">
      <c r="A31" t="s">
        <v>2527</v>
      </c>
      <c r="B31">
        <v>15</v>
      </c>
    </row>
  </sheetData>
  <phoneticPr fontId="1" type="noConversion"/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4"/>
  <dimension ref="A1:C28"/>
  <sheetViews>
    <sheetView workbookViewId="0"/>
  </sheetViews>
  <sheetFormatPr defaultRowHeight="14" x14ac:dyDescent="0.25"/>
  <sheetData>
    <row r="1" spans="1:3" x14ac:dyDescent="0.25">
      <c r="A1" t="s">
        <v>2528</v>
      </c>
    </row>
    <row r="2" spans="1:3" x14ac:dyDescent="0.25">
      <c r="A2" s="3">
        <v>-6.8</v>
      </c>
      <c r="B2" s="3">
        <v>15.28</v>
      </c>
    </row>
    <row r="3" spans="1:3" x14ac:dyDescent="0.25">
      <c r="A3" s="1" t="s">
        <v>1</v>
      </c>
      <c r="B3" s="1" t="s">
        <v>1720</v>
      </c>
      <c r="C3" t="s">
        <v>3</v>
      </c>
    </row>
    <row r="4" spans="1:3" x14ac:dyDescent="0.25">
      <c r="A4" s="1" t="s">
        <v>1950</v>
      </c>
      <c r="B4" s="1" t="s">
        <v>2529</v>
      </c>
      <c r="C4" t="s">
        <v>411</v>
      </c>
    </row>
    <row r="5" spans="1:3" x14ac:dyDescent="0.25">
      <c r="A5" s="1" t="s">
        <v>2530</v>
      </c>
      <c r="B5" s="1" t="s">
        <v>2531</v>
      </c>
      <c r="C5" t="s">
        <v>240</v>
      </c>
    </row>
    <row r="6" spans="1:3" x14ac:dyDescent="0.25">
      <c r="A6" s="1" t="s">
        <v>609</v>
      </c>
      <c r="B6" s="1" t="s">
        <v>2532</v>
      </c>
      <c r="C6" t="s">
        <v>240</v>
      </c>
    </row>
    <row r="7" spans="1:3" x14ac:dyDescent="0.25">
      <c r="A7" s="1" t="s">
        <v>169</v>
      </c>
      <c r="B7" s="1" t="s">
        <v>2533</v>
      </c>
      <c r="C7" t="s">
        <v>68</v>
      </c>
    </row>
    <row r="8" spans="1:3" x14ac:dyDescent="0.25">
      <c r="A8" s="1" t="s">
        <v>667</v>
      </c>
      <c r="B8" s="1" t="s">
        <v>2534</v>
      </c>
      <c r="C8" t="s">
        <v>11</v>
      </c>
    </row>
    <row r="9" spans="1:3" x14ac:dyDescent="0.25">
      <c r="A9" s="1" t="s">
        <v>481</v>
      </c>
      <c r="B9" s="1" t="s">
        <v>2535</v>
      </c>
      <c r="C9" t="s">
        <v>68</v>
      </c>
    </row>
    <row r="10" spans="1:3" x14ac:dyDescent="0.25">
      <c r="A10" s="1" t="s">
        <v>2536</v>
      </c>
      <c r="B10" s="1" t="s">
        <v>2537</v>
      </c>
      <c r="C10" t="s">
        <v>68</v>
      </c>
    </row>
    <row r="11" spans="1:3" x14ac:dyDescent="0.25">
      <c r="A11" s="1" t="s">
        <v>2538</v>
      </c>
      <c r="B11" s="1" t="s">
        <v>2539</v>
      </c>
      <c r="C11" t="s">
        <v>68</v>
      </c>
    </row>
    <row r="12" spans="1:3" x14ac:dyDescent="0.25">
      <c r="A12" s="1" t="s">
        <v>2540</v>
      </c>
      <c r="B12" s="1" t="s">
        <v>2541</v>
      </c>
      <c r="C12" t="s">
        <v>68</v>
      </c>
    </row>
    <row r="13" spans="1:3" x14ac:dyDescent="0.25">
      <c r="A13" s="1" t="s">
        <v>2542</v>
      </c>
      <c r="B13" s="1" t="s">
        <v>2543</v>
      </c>
      <c r="C13" t="s">
        <v>411</v>
      </c>
    </row>
    <row r="14" spans="1:3" x14ac:dyDescent="0.25">
      <c r="A14" s="1" t="s">
        <v>2544</v>
      </c>
      <c r="B14" s="1" t="s">
        <v>347</v>
      </c>
      <c r="C14" t="s">
        <v>409</v>
      </c>
    </row>
    <row r="15" spans="1:3" x14ac:dyDescent="0.25">
      <c r="A15" s="1" t="s">
        <v>2055</v>
      </c>
      <c r="B15" s="1" t="s">
        <v>234</v>
      </c>
      <c r="C15" t="s">
        <v>240</v>
      </c>
    </row>
    <row r="16" spans="1:3" x14ac:dyDescent="0.25">
      <c r="A16" s="1">
        <v>75</v>
      </c>
      <c r="B16" s="1">
        <v>12.43</v>
      </c>
    </row>
    <row r="17" spans="1:3" x14ac:dyDescent="0.25">
      <c r="A17" s="1">
        <f>A16+10.7</f>
        <v>85.7</v>
      </c>
      <c r="B17" s="1">
        <f>B16-3.57</f>
        <v>8.86</v>
      </c>
    </row>
    <row r="18" spans="1:3" x14ac:dyDescent="0.25">
      <c r="A18" s="1" t="s">
        <v>1809</v>
      </c>
      <c r="B18" s="1">
        <f>B17</f>
        <v>8.86</v>
      </c>
      <c r="C18" t="s">
        <v>411</v>
      </c>
    </row>
    <row r="19" spans="1:3" x14ac:dyDescent="0.25">
      <c r="A19" s="1" t="s">
        <v>2545</v>
      </c>
      <c r="B19" s="1" t="s">
        <v>2546</v>
      </c>
      <c r="C19" t="s">
        <v>409</v>
      </c>
    </row>
    <row r="20" spans="1:3" x14ac:dyDescent="0.25">
      <c r="A20" s="1" t="s">
        <v>2547</v>
      </c>
      <c r="B20" s="1" t="s">
        <v>2548</v>
      </c>
      <c r="C20" t="s">
        <v>34</v>
      </c>
    </row>
    <row r="21" spans="1:3" x14ac:dyDescent="0.25">
      <c r="A21" s="1" t="s">
        <v>1023</v>
      </c>
      <c r="B21" s="1" t="s">
        <v>2549</v>
      </c>
      <c r="C21" t="s">
        <v>31</v>
      </c>
    </row>
    <row r="22" spans="1:3" x14ac:dyDescent="0.25">
      <c r="A22" s="1" t="s">
        <v>2550</v>
      </c>
      <c r="B22" s="1" t="s">
        <v>2101</v>
      </c>
      <c r="C22" t="s">
        <v>240</v>
      </c>
    </row>
    <row r="23" spans="1:3" x14ac:dyDescent="0.25">
      <c r="A23" s="1" t="s">
        <v>2551</v>
      </c>
      <c r="B23" s="1" t="s">
        <v>2552</v>
      </c>
      <c r="C23" t="s">
        <v>240</v>
      </c>
    </row>
    <row r="24" spans="1:3" x14ac:dyDescent="0.25">
      <c r="A24" s="1" t="s">
        <v>2553</v>
      </c>
      <c r="B24" s="1" t="s">
        <v>2554</v>
      </c>
      <c r="C24" t="s">
        <v>31</v>
      </c>
    </row>
    <row r="25" spans="1:3" x14ac:dyDescent="0.25">
      <c r="A25" s="1" t="s">
        <v>2555</v>
      </c>
      <c r="B25" s="1" t="s">
        <v>2556</v>
      </c>
      <c r="C25" t="s">
        <v>34</v>
      </c>
    </row>
    <row r="26" spans="1:3" x14ac:dyDescent="0.25">
      <c r="A26" s="1" t="s">
        <v>2557</v>
      </c>
      <c r="B26" s="1" t="s">
        <v>2558</v>
      </c>
      <c r="C26" t="s">
        <v>357</v>
      </c>
    </row>
    <row r="27" spans="1:3" x14ac:dyDescent="0.25">
      <c r="A27" s="1" t="s">
        <v>2559</v>
      </c>
      <c r="B27" s="1" t="s">
        <v>2560</v>
      </c>
      <c r="C27" t="s">
        <v>26</v>
      </c>
    </row>
    <row r="28" spans="1:3" x14ac:dyDescent="0.25">
      <c r="A28" s="1" t="s">
        <v>2559</v>
      </c>
      <c r="B28" s="1">
        <v>15</v>
      </c>
    </row>
  </sheetData>
  <phoneticPr fontId="1" type="noConversion"/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5"/>
  <dimension ref="A1:C34"/>
  <sheetViews>
    <sheetView workbookViewId="0"/>
  </sheetViews>
  <sheetFormatPr defaultRowHeight="14" x14ac:dyDescent="0.25"/>
  <sheetData>
    <row r="1" spans="1:3" x14ac:dyDescent="0.25">
      <c r="A1" t="s">
        <v>2561</v>
      </c>
    </row>
    <row r="2" spans="1:3" x14ac:dyDescent="0.25">
      <c r="A2" s="3">
        <v>-8.3000000000000007</v>
      </c>
      <c r="B2" s="3">
        <v>15.2</v>
      </c>
    </row>
    <row r="3" spans="1:3" x14ac:dyDescent="0.25">
      <c r="A3" s="1">
        <v>0</v>
      </c>
      <c r="B3" s="1">
        <v>12.686</v>
      </c>
      <c r="C3" t="s">
        <v>3</v>
      </c>
    </row>
    <row r="4" spans="1:3" x14ac:dyDescent="0.25">
      <c r="A4" s="1">
        <v>6.39</v>
      </c>
      <c r="B4" s="1">
        <v>10.819000000000001</v>
      </c>
      <c r="C4" t="s">
        <v>411</v>
      </c>
    </row>
    <row r="5" spans="1:3" x14ac:dyDescent="0.25">
      <c r="A5" s="1">
        <v>8.08</v>
      </c>
      <c r="B5" s="1">
        <v>10.797000000000001</v>
      </c>
      <c r="C5" t="s">
        <v>240</v>
      </c>
    </row>
    <row r="6" spans="1:3" x14ac:dyDescent="0.25">
      <c r="A6" s="1">
        <v>11.31</v>
      </c>
      <c r="B6" s="1">
        <v>10.833</v>
      </c>
      <c r="C6" t="s">
        <v>240</v>
      </c>
    </row>
    <row r="7" spans="1:3" x14ac:dyDescent="0.25">
      <c r="A7" s="1">
        <v>16.29</v>
      </c>
      <c r="B7" s="1">
        <v>10.744999999999999</v>
      </c>
      <c r="C7" t="s">
        <v>6</v>
      </c>
    </row>
    <row r="8" spans="1:3" x14ac:dyDescent="0.25">
      <c r="A8" s="1">
        <v>23.64</v>
      </c>
      <c r="B8" s="1">
        <v>10.789</v>
      </c>
      <c r="C8" t="s">
        <v>6</v>
      </c>
    </row>
    <row r="9" spans="1:3" x14ac:dyDescent="0.25">
      <c r="A9" s="1">
        <v>30.02</v>
      </c>
      <c r="B9" s="1">
        <v>10.885999999999999</v>
      </c>
      <c r="C9" t="s">
        <v>11</v>
      </c>
    </row>
    <row r="10" spans="1:3" x14ac:dyDescent="0.25">
      <c r="A10" s="1">
        <v>34.65</v>
      </c>
      <c r="B10" s="1">
        <v>10.867000000000001</v>
      </c>
      <c r="C10" t="s">
        <v>68</v>
      </c>
    </row>
    <row r="11" spans="1:3" x14ac:dyDescent="0.25">
      <c r="A11" s="1">
        <v>42.15</v>
      </c>
      <c r="B11" s="1">
        <v>10.82</v>
      </c>
      <c r="C11" t="s">
        <v>68</v>
      </c>
    </row>
    <row r="12" spans="1:3" x14ac:dyDescent="0.25">
      <c r="A12" s="1">
        <v>50.39</v>
      </c>
      <c r="B12" s="1">
        <v>10.742000000000001</v>
      </c>
      <c r="C12" t="s">
        <v>68</v>
      </c>
    </row>
    <row r="13" spans="1:3" x14ac:dyDescent="0.25">
      <c r="A13" s="1">
        <v>58.36</v>
      </c>
      <c r="B13" s="1">
        <v>10.685</v>
      </c>
      <c r="C13" t="s">
        <v>68</v>
      </c>
    </row>
    <row r="14" spans="1:3" x14ac:dyDescent="0.25">
      <c r="A14" s="1">
        <v>64.989999999999995</v>
      </c>
      <c r="B14" s="1">
        <v>10.472</v>
      </c>
      <c r="C14" t="s">
        <v>68</v>
      </c>
    </row>
    <row r="15" spans="1:3" x14ac:dyDescent="0.25">
      <c r="A15" s="1">
        <v>71.040000000000006</v>
      </c>
      <c r="B15" s="1">
        <v>10.43</v>
      </c>
      <c r="C15" t="s">
        <v>68</v>
      </c>
    </row>
    <row r="16" spans="1:3" x14ac:dyDescent="0.25">
      <c r="A16" s="1">
        <v>72.599999999999994</v>
      </c>
      <c r="B16" s="1">
        <v>10.532999999999999</v>
      </c>
      <c r="C16" t="s">
        <v>411</v>
      </c>
    </row>
    <row r="17" spans="1:3" x14ac:dyDescent="0.25">
      <c r="A17" s="1">
        <v>77.569999999999993</v>
      </c>
      <c r="B17" s="1">
        <v>12.361000000000001</v>
      </c>
      <c r="C17" t="s">
        <v>409</v>
      </c>
    </row>
    <row r="18" spans="1:3" x14ac:dyDescent="0.25">
      <c r="A18" s="1">
        <v>78.78</v>
      </c>
      <c r="B18" s="1">
        <v>12.334</v>
      </c>
      <c r="C18" t="s">
        <v>240</v>
      </c>
    </row>
    <row r="19" spans="1:3" x14ac:dyDescent="0.25">
      <c r="A19" s="1">
        <f>A18+0.85</f>
        <v>79.63</v>
      </c>
      <c r="B19" s="1">
        <v>12.35</v>
      </c>
    </row>
    <row r="20" spans="1:3" x14ac:dyDescent="0.25">
      <c r="A20" s="1">
        <f>A19+10.71</f>
        <v>90.34</v>
      </c>
      <c r="B20" s="1">
        <f>B19-3.57</f>
        <v>8.7799999999999994</v>
      </c>
    </row>
    <row r="21" spans="1:3" x14ac:dyDescent="0.25">
      <c r="A21" s="1">
        <f>A20+9.54</f>
        <v>99.88</v>
      </c>
      <c r="B21" s="1">
        <f>B20</f>
        <v>8.7799999999999994</v>
      </c>
    </row>
    <row r="22" spans="1:3" x14ac:dyDescent="0.25">
      <c r="A22" s="1">
        <v>99.89</v>
      </c>
      <c r="B22" s="1">
        <v>9.06</v>
      </c>
      <c r="C22" t="s">
        <v>411</v>
      </c>
    </row>
    <row r="23" spans="1:3" x14ac:dyDescent="0.25">
      <c r="A23" s="1">
        <v>104.04</v>
      </c>
      <c r="B23" s="1">
        <v>11.066000000000001</v>
      </c>
      <c r="C23" t="s">
        <v>409</v>
      </c>
    </row>
    <row r="24" spans="1:3" x14ac:dyDescent="0.25">
      <c r="A24" s="1">
        <v>106.64</v>
      </c>
      <c r="B24" s="1">
        <v>11</v>
      </c>
      <c r="C24" t="s">
        <v>2224</v>
      </c>
    </row>
    <row r="25" spans="1:3" x14ac:dyDescent="0.25">
      <c r="A25" s="1">
        <v>111.98</v>
      </c>
      <c r="B25" s="1">
        <v>11.196</v>
      </c>
      <c r="C25" t="s">
        <v>411</v>
      </c>
    </row>
    <row r="26" spans="1:3" x14ac:dyDescent="0.25">
      <c r="A26" s="1">
        <v>113.94</v>
      </c>
      <c r="B26" s="1">
        <v>12.317</v>
      </c>
      <c r="C26" t="s">
        <v>409</v>
      </c>
    </row>
    <row r="27" spans="1:3" x14ac:dyDescent="0.25">
      <c r="A27" s="1">
        <v>115.05</v>
      </c>
      <c r="B27" s="1">
        <v>12.351000000000001</v>
      </c>
      <c r="C27" t="s">
        <v>34</v>
      </c>
    </row>
    <row r="28" spans="1:3" x14ac:dyDescent="0.25">
      <c r="A28" s="1">
        <v>115.4</v>
      </c>
      <c r="B28" s="1">
        <v>12.622999999999999</v>
      </c>
      <c r="C28" t="s">
        <v>31</v>
      </c>
    </row>
    <row r="29" spans="1:3" x14ac:dyDescent="0.25">
      <c r="A29" s="1">
        <v>115.99</v>
      </c>
      <c r="B29" s="1">
        <v>12.643000000000001</v>
      </c>
      <c r="C29" t="s">
        <v>240</v>
      </c>
    </row>
    <row r="30" spans="1:3" x14ac:dyDescent="0.25">
      <c r="A30" s="1">
        <v>117.37</v>
      </c>
      <c r="B30" s="1">
        <v>12.605</v>
      </c>
      <c r="C30" t="s">
        <v>240</v>
      </c>
    </row>
    <row r="31" spans="1:3" x14ac:dyDescent="0.25">
      <c r="A31" s="1">
        <v>119.94</v>
      </c>
      <c r="B31" s="1">
        <v>12.468</v>
      </c>
      <c r="C31" t="s">
        <v>31</v>
      </c>
    </row>
    <row r="32" spans="1:3" x14ac:dyDescent="0.25">
      <c r="A32" s="1">
        <v>122.33</v>
      </c>
      <c r="B32" s="1">
        <v>10.595000000000001</v>
      </c>
      <c r="C32" t="s">
        <v>34</v>
      </c>
    </row>
    <row r="33" spans="1:3" x14ac:dyDescent="0.25">
      <c r="A33" s="1">
        <v>124.08</v>
      </c>
      <c r="B33" s="1">
        <v>10.593999999999999</v>
      </c>
      <c r="C33" t="s">
        <v>26</v>
      </c>
    </row>
    <row r="34" spans="1:3" x14ac:dyDescent="0.25">
      <c r="A34" s="1">
        <v>124.08</v>
      </c>
      <c r="B34" s="1">
        <v>15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13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212</v>
      </c>
    </row>
    <row r="2" spans="1:3" x14ac:dyDescent="0.25">
      <c r="A2" t="s">
        <v>1</v>
      </c>
      <c r="B2" t="s">
        <v>213</v>
      </c>
      <c r="C2" t="s">
        <v>3</v>
      </c>
    </row>
    <row r="3" spans="1:3" x14ac:dyDescent="0.25">
      <c r="A3" t="s">
        <v>214</v>
      </c>
      <c r="B3" t="s">
        <v>215</v>
      </c>
      <c r="C3" t="s">
        <v>31</v>
      </c>
    </row>
    <row r="4" spans="1:3" x14ac:dyDescent="0.25">
      <c r="A4" t="s">
        <v>216</v>
      </c>
      <c r="B4" t="s">
        <v>217</v>
      </c>
      <c r="C4" t="s">
        <v>34</v>
      </c>
    </row>
    <row r="5" spans="1:3" x14ac:dyDescent="0.25">
      <c r="A5" t="s">
        <v>218</v>
      </c>
      <c r="B5" t="s">
        <v>219</v>
      </c>
      <c r="C5" t="s">
        <v>31</v>
      </c>
    </row>
    <row r="6" spans="1:3" x14ac:dyDescent="0.25">
      <c r="A6">
        <v>9.25</v>
      </c>
      <c r="B6">
        <v>16.11</v>
      </c>
    </row>
    <row r="7" spans="1:3" x14ac:dyDescent="0.25">
      <c r="A7">
        <f>A6+5.12</f>
        <v>14.370000000000001</v>
      </c>
      <c r="B7">
        <f>B6</f>
        <v>16.11</v>
      </c>
    </row>
    <row r="8" spans="1:3" x14ac:dyDescent="0.25">
      <c r="A8">
        <f>A7+6.3</f>
        <v>20.67</v>
      </c>
      <c r="B8">
        <v>14.01</v>
      </c>
    </row>
    <row r="9" spans="1:3" x14ac:dyDescent="0.25">
      <c r="A9">
        <f>A8+6</f>
        <v>26.67</v>
      </c>
      <c r="B9">
        <f>B8</f>
        <v>14.01</v>
      </c>
    </row>
    <row r="10" spans="1:3" x14ac:dyDescent="0.25">
      <c r="A10">
        <f>A9+7.9</f>
        <v>34.57</v>
      </c>
      <c r="B10">
        <v>16.64</v>
      </c>
    </row>
    <row r="11" spans="1:3" x14ac:dyDescent="0.25">
      <c r="A11" t="s">
        <v>221</v>
      </c>
      <c r="B11" t="s">
        <v>222</v>
      </c>
      <c r="C11" t="s">
        <v>34</v>
      </c>
    </row>
    <row r="12" spans="1:3" x14ac:dyDescent="0.25">
      <c r="A12" t="s">
        <v>223</v>
      </c>
      <c r="B12" t="s">
        <v>224</v>
      </c>
      <c r="C12" t="s">
        <v>225</v>
      </c>
    </row>
    <row r="13" spans="1:3" x14ac:dyDescent="0.25">
      <c r="A13" t="s">
        <v>24</v>
      </c>
      <c r="B13" t="s">
        <v>226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6"/>
  <dimension ref="A1:F40"/>
  <sheetViews>
    <sheetView workbookViewId="0"/>
  </sheetViews>
  <sheetFormatPr defaultRowHeight="14" x14ac:dyDescent="0.25"/>
  <cols>
    <col min="6" max="6" width="10.54296875" bestFit="1" customWidth="1"/>
  </cols>
  <sheetData>
    <row r="1" spans="1:6" x14ac:dyDescent="0.25">
      <c r="A1" t="s">
        <v>2562</v>
      </c>
    </row>
    <row r="2" spans="1:6" x14ac:dyDescent="0.25">
      <c r="A2" s="3">
        <v>0</v>
      </c>
      <c r="B2" s="3">
        <v>15.101000000000001</v>
      </c>
      <c r="C2" t="s">
        <v>3</v>
      </c>
      <c r="E2" s="6"/>
      <c r="F2" s="6"/>
    </row>
    <row r="3" spans="1:6" x14ac:dyDescent="0.25">
      <c r="A3" s="3">
        <v>4.95</v>
      </c>
      <c r="B3" s="3">
        <v>15.048</v>
      </c>
      <c r="C3" t="s">
        <v>240</v>
      </c>
      <c r="E3" s="6"/>
      <c r="F3" s="6"/>
    </row>
    <row r="4" spans="1:6" x14ac:dyDescent="0.25">
      <c r="A4" s="3">
        <v>5.07</v>
      </c>
      <c r="B4" s="3">
        <v>15.25</v>
      </c>
      <c r="C4" t="s">
        <v>2563</v>
      </c>
      <c r="E4" s="6"/>
      <c r="F4" s="6"/>
    </row>
    <row r="5" spans="1:6" x14ac:dyDescent="0.25">
      <c r="A5" s="3">
        <v>8</v>
      </c>
      <c r="B5" s="3">
        <v>15.282999999999999</v>
      </c>
      <c r="C5" t="s">
        <v>2321</v>
      </c>
      <c r="E5" s="6"/>
      <c r="F5" s="6"/>
    </row>
    <row r="6" spans="1:6" x14ac:dyDescent="0.25">
      <c r="A6" s="3">
        <v>9.98</v>
      </c>
      <c r="B6" s="3">
        <v>15.25</v>
      </c>
      <c r="C6" t="s">
        <v>409</v>
      </c>
      <c r="E6" s="6"/>
      <c r="F6" s="6"/>
    </row>
    <row r="7" spans="1:6" x14ac:dyDescent="0.25">
      <c r="A7" s="3">
        <v>24.88</v>
      </c>
      <c r="B7" s="3">
        <v>10.573</v>
      </c>
      <c r="C7" t="s">
        <v>411</v>
      </c>
      <c r="E7" s="6"/>
      <c r="F7" s="6"/>
    </row>
    <row r="8" spans="1:6" x14ac:dyDescent="0.25">
      <c r="A8" s="3">
        <v>25.82</v>
      </c>
      <c r="B8" s="3">
        <v>10.569000000000001</v>
      </c>
      <c r="C8" t="s">
        <v>240</v>
      </c>
      <c r="E8" s="6"/>
      <c r="F8" s="6"/>
    </row>
    <row r="9" spans="1:6" x14ac:dyDescent="0.25">
      <c r="A9" s="3">
        <v>28.57</v>
      </c>
      <c r="B9" s="3">
        <v>10.744</v>
      </c>
      <c r="C9" t="s">
        <v>240</v>
      </c>
      <c r="E9" s="6"/>
      <c r="F9" s="6"/>
    </row>
    <row r="10" spans="1:6" x14ac:dyDescent="0.25">
      <c r="A10" s="3">
        <v>36.51</v>
      </c>
      <c r="B10" s="3">
        <v>10.867000000000001</v>
      </c>
      <c r="C10" t="s">
        <v>6</v>
      </c>
      <c r="E10" s="6"/>
      <c r="F10" s="6"/>
    </row>
    <row r="11" spans="1:6" x14ac:dyDescent="0.25">
      <c r="A11" s="3">
        <v>47</v>
      </c>
      <c r="B11" s="3">
        <v>10.858000000000001</v>
      </c>
      <c r="C11" t="s">
        <v>11</v>
      </c>
      <c r="E11" s="6"/>
      <c r="F11" s="6"/>
    </row>
    <row r="12" spans="1:6" x14ac:dyDescent="0.25">
      <c r="A12" s="3">
        <v>51.73</v>
      </c>
      <c r="B12" s="3">
        <v>10.83</v>
      </c>
      <c r="C12" t="s">
        <v>34</v>
      </c>
      <c r="E12" s="6"/>
      <c r="F12" s="6"/>
    </row>
    <row r="13" spans="1:6" x14ac:dyDescent="0.25">
      <c r="A13" s="3">
        <v>55.01</v>
      </c>
      <c r="B13" s="3">
        <v>12.035</v>
      </c>
      <c r="C13" t="s">
        <v>31</v>
      </c>
      <c r="E13" s="6"/>
      <c r="F13" s="6"/>
    </row>
    <row r="14" spans="1:6" x14ac:dyDescent="0.25">
      <c r="A14" s="3">
        <v>56.94</v>
      </c>
      <c r="B14" s="3">
        <v>12.164999999999999</v>
      </c>
      <c r="C14" t="s">
        <v>6</v>
      </c>
      <c r="E14" s="6"/>
      <c r="F14" s="6"/>
    </row>
    <row r="15" spans="1:6" x14ac:dyDescent="0.25">
      <c r="A15" s="3">
        <v>58.33</v>
      </c>
      <c r="B15" s="3">
        <v>12.301</v>
      </c>
      <c r="C15" t="s">
        <v>240</v>
      </c>
      <c r="E15" s="6"/>
      <c r="F15" s="6"/>
    </row>
    <row r="16" spans="1:6" x14ac:dyDescent="0.25">
      <c r="A16" s="8">
        <f>A15+0.75</f>
        <v>59.08</v>
      </c>
      <c r="B16" s="8">
        <f>B15</f>
        <v>12.301</v>
      </c>
      <c r="E16" s="6"/>
      <c r="F16" s="6"/>
    </row>
    <row r="17" spans="1:6" x14ac:dyDescent="0.25">
      <c r="A17" s="8">
        <f>A16+10.78</f>
        <v>69.86</v>
      </c>
      <c r="B17" s="8">
        <f>B16-3.6</f>
        <v>8.7010000000000005</v>
      </c>
      <c r="E17" s="6"/>
      <c r="F17" s="6"/>
    </row>
    <row r="18" spans="1:6" x14ac:dyDescent="0.25">
      <c r="A18" s="8">
        <f>A17+12.21</f>
        <v>82.07</v>
      </c>
      <c r="B18" s="8">
        <f>B17</f>
        <v>8.7010000000000005</v>
      </c>
      <c r="E18" s="6"/>
      <c r="F18" s="6"/>
    </row>
    <row r="19" spans="1:6" x14ac:dyDescent="0.25">
      <c r="A19" s="3">
        <v>82.08</v>
      </c>
      <c r="B19" s="3">
        <v>8.82</v>
      </c>
      <c r="C19" t="s">
        <v>34</v>
      </c>
      <c r="E19" s="6"/>
      <c r="F19" s="6"/>
    </row>
    <row r="20" spans="1:6" x14ac:dyDescent="0.25">
      <c r="A20" s="3">
        <v>82.45</v>
      </c>
      <c r="B20" s="3">
        <v>9.5250000000000004</v>
      </c>
      <c r="C20" t="s">
        <v>31</v>
      </c>
      <c r="E20" s="6"/>
      <c r="F20" s="6"/>
    </row>
    <row r="21" spans="1:6" x14ac:dyDescent="0.25">
      <c r="A21" s="3">
        <v>84.7</v>
      </c>
      <c r="B21" s="3">
        <v>10.933999999999999</v>
      </c>
      <c r="C21" t="s">
        <v>409</v>
      </c>
      <c r="E21" s="6"/>
      <c r="F21" s="6"/>
    </row>
    <row r="22" spans="1:6" x14ac:dyDescent="0.25">
      <c r="A22" s="3">
        <v>88</v>
      </c>
      <c r="B22" s="3">
        <v>11.146000000000001</v>
      </c>
      <c r="C22" t="s">
        <v>357</v>
      </c>
      <c r="E22" s="6"/>
      <c r="F22" s="6"/>
    </row>
    <row r="23" spans="1:6" x14ac:dyDescent="0.25">
      <c r="A23" s="3">
        <v>89.94</v>
      </c>
      <c r="B23" s="3">
        <v>11.225</v>
      </c>
      <c r="C23" t="s">
        <v>34</v>
      </c>
      <c r="E23" s="6"/>
      <c r="F23" s="6"/>
    </row>
    <row r="24" spans="1:6" x14ac:dyDescent="0.25">
      <c r="A24" s="3">
        <v>91.21</v>
      </c>
      <c r="B24" s="3">
        <v>12.234999999999999</v>
      </c>
      <c r="C24" t="s">
        <v>31</v>
      </c>
      <c r="E24" s="6"/>
      <c r="F24" s="6"/>
    </row>
    <row r="25" spans="1:6" x14ac:dyDescent="0.25">
      <c r="A25" s="3">
        <v>92.5</v>
      </c>
      <c r="B25" s="3">
        <v>12.289</v>
      </c>
      <c r="C25" t="s">
        <v>34</v>
      </c>
      <c r="E25" s="6"/>
      <c r="F25" s="6"/>
    </row>
    <row r="26" spans="1:6" x14ac:dyDescent="0.25">
      <c r="A26" s="3">
        <v>93.01</v>
      </c>
      <c r="B26" s="3">
        <v>12.654999999999999</v>
      </c>
      <c r="C26" t="s">
        <v>31</v>
      </c>
      <c r="E26" s="6"/>
      <c r="F26" s="6"/>
    </row>
    <row r="27" spans="1:6" x14ac:dyDescent="0.25">
      <c r="A27" s="3">
        <v>93.61</v>
      </c>
      <c r="B27" s="3">
        <v>12.693</v>
      </c>
      <c r="C27" t="s">
        <v>240</v>
      </c>
      <c r="E27" s="6"/>
      <c r="F27" s="6"/>
    </row>
    <row r="28" spans="1:6" x14ac:dyDescent="0.25">
      <c r="A28" s="3">
        <v>95</v>
      </c>
      <c r="B28" s="3">
        <v>12.726000000000001</v>
      </c>
      <c r="C28" t="s">
        <v>240</v>
      </c>
      <c r="E28" s="6"/>
      <c r="F28" s="6"/>
    </row>
    <row r="29" spans="1:6" x14ac:dyDescent="0.25">
      <c r="A29" s="3">
        <v>96.49</v>
      </c>
      <c r="B29" s="3">
        <v>12.693</v>
      </c>
      <c r="C29" t="s">
        <v>31</v>
      </c>
      <c r="E29" s="6"/>
      <c r="F29" s="6"/>
    </row>
    <row r="30" spans="1:6" x14ac:dyDescent="0.25">
      <c r="A30" s="3">
        <v>98.62</v>
      </c>
      <c r="B30" s="3">
        <v>10.144</v>
      </c>
      <c r="C30" t="s">
        <v>34</v>
      </c>
      <c r="E30" s="6"/>
      <c r="F30" s="6"/>
    </row>
    <row r="31" spans="1:6" x14ac:dyDescent="0.25">
      <c r="A31" s="3">
        <v>98.9</v>
      </c>
      <c r="B31" s="3">
        <v>10.162000000000001</v>
      </c>
      <c r="C31" t="s">
        <v>34</v>
      </c>
      <c r="E31" s="6"/>
      <c r="F31" s="6"/>
    </row>
    <row r="32" spans="1:6" x14ac:dyDescent="0.25">
      <c r="A32" s="3">
        <v>99.45</v>
      </c>
      <c r="B32" s="3">
        <v>10.587</v>
      </c>
      <c r="C32" t="s">
        <v>31</v>
      </c>
      <c r="E32" s="6"/>
      <c r="F32" s="6"/>
    </row>
    <row r="33" spans="1:6" x14ac:dyDescent="0.25">
      <c r="A33" s="3">
        <v>104.41</v>
      </c>
      <c r="B33" s="3">
        <v>10.538</v>
      </c>
      <c r="C33" t="s">
        <v>2224</v>
      </c>
      <c r="E33" s="6"/>
      <c r="F33" s="6"/>
    </row>
    <row r="34" spans="1:6" x14ac:dyDescent="0.25">
      <c r="A34" s="3">
        <v>109.95</v>
      </c>
      <c r="B34" s="3">
        <v>10.458</v>
      </c>
      <c r="C34" t="s">
        <v>26</v>
      </c>
      <c r="E34" s="6"/>
      <c r="F34" s="6"/>
    </row>
    <row r="35" spans="1:6" x14ac:dyDescent="0.25">
      <c r="A35" s="3" t="s">
        <v>2564</v>
      </c>
      <c r="B35" s="3">
        <v>15</v>
      </c>
      <c r="E35" s="6"/>
      <c r="F35" s="6"/>
    </row>
    <row r="36" spans="1:6" x14ac:dyDescent="0.25">
      <c r="E36" s="6"/>
      <c r="F36" s="6"/>
    </row>
    <row r="37" spans="1:6" x14ac:dyDescent="0.25">
      <c r="E37" s="6"/>
      <c r="F37" s="6"/>
    </row>
    <row r="38" spans="1:6" x14ac:dyDescent="0.25">
      <c r="E38" s="6"/>
      <c r="F38" s="6"/>
    </row>
    <row r="39" spans="1:6" x14ac:dyDescent="0.25">
      <c r="E39" s="6"/>
      <c r="F39" s="6"/>
    </row>
    <row r="40" spans="1:6" x14ac:dyDescent="0.25">
      <c r="E40" s="6"/>
      <c r="F40" s="6"/>
    </row>
  </sheetData>
  <phoneticPr fontId="1" type="noConversion"/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7"/>
  <dimension ref="A1:E26"/>
  <sheetViews>
    <sheetView workbookViewId="0">
      <selection activeCell="E21" sqref="E21"/>
    </sheetView>
  </sheetViews>
  <sheetFormatPr defaultRowHeight="14" x14ac:dyDescent="0.25"/>
  <sheetData>
    <row r="1" spans="1:3" x14ac:dyDescent="0.25">
      <c r="A1" t="s">
        <v>2566</v>
      </c>
    </row>
    <row r="2" spans="1:3" x14ac:dyDescent="0.25">
      <c r="A2" s="4">
        <v>-3.26</v>
      </c>
      <c r="B2" s="4">
        <v>15.44</v>
      </c>
    </row>
    <row r="3" spans="1:3" x14ac:dyDescent="0.25">
      <c r="A3" s="5" t="s">
        <v>1</v>
      </c>
      <c r="B3" s="4" t="s">
        <v>2567</v>
      </c>
      <c r="C3" t="s">
        <v>3</v>
      </c>
    </row>
    <row r="4" spans="1:3" x14ac:dyDescent="0.25">
      <c r="A4" s="4" t="s">
        <v>2568</v>
      </c>
      <c r="B4" s="4" t="s">
        <v>2535</v>
      </c>
      <c r="C4" t="s">
        <v>411</v>
      </c>
    </row>
    <row r="5" spans="1:3" x14ac:dyDescent="0.25">
      <c r="A5" s="4" t="s">
        <v>2569</v>
      </c>
      <c r="B5" s="4" t="s">
        <v>2570</v>
      </c>
      <c r="C5" t="s">
        <v>240</v>
      </c>
    </row>
    <row r="6" spans="1:3" x14ac:dyDescent="0.25">
      <c r="A6" s="4" t="s">
        <v>2571</v>
      </c>
      <c r="B6" s="4" t="s">
        <v>2450</v>
      </c>
      <c r="C6" t="s">
        <v>240</v>
      </c>
    </row>
    <row r="7" spans="1:3" x14ac:dyDescent="0.25">
      <c r="A7" s="4" t="s">
        <v>2572</v>
      </c>
      <c r="B7" s="4" t="s">
        <v>2573</v>
      </c>
      <c r="C7" t="s">
        <v>411</v>
      </c>
    </row>
    <row r="8" spans="1:3" x14ac:dyDescent="0.25">
      <c r="A8" s="4" t="s">
        <v>2574</v>
      </c>
      <c r="B8" s="4" t="s">
        <v>2575</v>
      </c>
      <c r="C8" t="s">
        <v>409</v>
      </c>
    </row>
    <row r="9" spans="1:3" x14ac:dyDescent="0.25">
      <c r="A9" s="4" t="s">
        <v>265</v>
      </c>
      <c r="B9" s="4" t="s">
        <v>2576</v>
      </c>
      <c r="C9" t="s">
        <v>11</v>
      </c>
    </row>
    <row r="10" spans="1:3" x14ac:dyDescent="0.25">
      <c r="A10" s="4" t="s">
        <v>235</v>
      </c>
      <c r="B10" s="4" t="s">
        <v>2577</v>
      </c>
      <c r="C10" t="s">
        <v>240</v>
      </c>
    </row>
    <row r="11" spans="1:3" x14ac:dyDescent="0.25">
      <c r="A11" s="4" t="s">
        <v>2578</v>
      </c>
      <c r="B11" s="4" t="s">
        <v>2579</v>
      </c>
      <c r="C11" t="s">
        <v>240</v>
      </c>
    </row>
    <row r="12" spans="1:3" x14ac:dyDescent="0.25">
      <c r="A12" s="4" t="s">
        <v>2580</v>
      </c>
      <c r="B12" s="4" t="s">
        <v>2581</v>
      </c>
      <c r="C12" t="s">
        <v>240</v>
      </c>
    </row>
    <row r="13" spans="1:3" x14ac:dyDescent="0.25">
      <c r="A13" s="4" t="s">
        <v>2582</v>
      </c>
      <c r="B13" s="4" t="s">
        <v>2460</v>
      </c>
      <c r="C13" t="s">
        <v>31</v>
      </c>
    </row>
    <row r="14" spans="1:3" x14ac:dyDescent="0.25">
      <c r="A14" s="4" t="s">
        <v>2583</v>
      </c>
      <c r="B14" s="4" t="s">
        <v>2464</v>
      </c>
      <c r="C14" t="s">
        <v>34</v>
      </c>
    </row>
    <row r="15" spans="1:3" x14ac:dyDescent="0.25">
      <c r="A15" s="4" t="s">
        <v>2584</v>
      </c>
      <c r="B15" s="4" t="s">
        <v>2585</v>
      </c>
      <c r="C15" t="s">
        <v>68</v>
      </c>
    </row>
    <row r="16" spans="1:3" x14ac:dyDescent="0.25">
      <c r="A16" s="10">
        <v>55</v>
      </c>
      <c r="B16" s="10" t="str">
        <f>B15</f>
        <v>10.297</v>
      </c>
    </row>
    <row r="17" spans="1:5" x14ac:dyDescent="0.25">
      <c r="A17" s="10">
        <f>A16+2.88</f>
        <v>57.88</v>
      </c>
      <c r="B17" s="10">
        <v>11.62</v>
      </c>
      <c r="D17" s="9"/>
    </row>
    <row r="18" spans="1:5" x14ac:dyDescent="0.25">
      <c r="A18" s="10">
        <f>A17+3.59</f>
        <v>61.47</v>
      </c>
      <c r="B18" s="10">
        <f>B17</f>
        <v>11.62</v>
      </c>
    </row>
    <row r="19" spans="1:5" x14ac:dyDescent="0.25">
      <c r="A19" s="10">
        <f>A18+9</f>
        <v>70.47</v>
      </c>
      <c r="B19" s="10">
        <f>B18-3</f>
        <v>8.6199999999999992</v>
      </c>
    </row>
    <row r="20" spans="1:5" x14ac:dyDescent="0.25">
      <c r="A20" s="10">
        <f>A19+6</f>
        <v>76.47</v>
      </c>
      <c r="B20" s="10">
        <f>B19</f>
        <v>8.6199999999999992</v>
      </c>
    </row>
    <row r="21" spans="1:5" x14ac:dyDescent="0.25">
      <c r="A21" s="10">
        <f>A20+9</f>
        <v>85.47</v>
      </c>
      <c r="B21" s="10">
        <f>B18</f>
        <v>11.62</v>
      </c>
      <c r="E21" s="3"/>
    </row>
    <row r="22" spans="1:5" x14ac:dyDescent="0.25">
      <c r="A22" s="10">
        <f>A21+3.38</f>
        <v>88.85</v>
      </c>
      <c r="B22" s="10">
        <f>B21</f>
        <v>11.62</v>
      </c>
    </row>
    <row r="23" spans="1:5" x14ac:dyDescent="0.25">
      <c r="A23" s="4" t="s">
        <v>2586</v>
      </c>
      <c r="B23" s="4" t="s">
        <v>2587</v>
      </c>
      <c r="C23" t="s">
        <v>240</v>
      </c>
    </row>
    <row r="24" spans="1:5" x14ac:dyDescent="0.25">
      <c r="A24" s="4" t="s">
        <v>2588</v>
      </c>
      <c r="B24" s="4" t="s">
        <v>2589</v>
      </c>
      <c r="C24" t="s">
        <v>31</v>
      </c>
    </row>
    <row r="25" spans="1:5" x14ac:dyDescent="0.25">
      <c r="A25" s="4" t="s">
        <v>2590</v>
      </c>
      <c r="B25" s="4" t="s">
        <v>2565</v>
      </c>
      <c r="C25" t="s">
        <v>26</v>
      </c>
    </row>
    <row r="26" spans="1:5" x14ac:dyDescent="0.25">
      <c r="A26" s="4" t="s">
        <v>2590</v>
      </c>
      <c r="B26" s="4">
        <v>20</v>
      </c>
      <c r="C26" t="s">
        <v>2595</v>
      </c>
    </row>
  </sheetData>
  <phoneticPr fontId="1" type="noConversion"/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8"/>
  <dimension ref="A1:C26"/>
  <sheetViews>
    <sheetView workbookViewId="0">
      <selection activeCell="D1" sqref="D1:I35"/>
    </sheetView>
  </sheetViews>
  <sheetFormatPr defaultRowHeight="14" x14ac:dyDescent="0.25"/>
  <sheetData>
    <row r="1" spans="1:3" x14ac:dyDescent="0.25">
      <c r="A1" t="s">
        <v>2591</v>
      </c>
    </row>
    <row r="2" spans="1:3" x14ac:dyDescent="0.25">
      <c r="A2" s="3">
        <f>A3-6.77</f>
        <v>-36.879999999999995</v>
      </c>
      <c r="B2" s="3">
        <v>13</v>
      </c>
    </row>
    <row r="3" spans="1:3" x14ac:dyDescent="0.25">
      <c r="A3" s="3">
        <f>A4-5.58</f>
        <v>-30.11</v>
      </c>
      <c r="B3" s="3">
        <v>12.6128</v>
      </c>
    </row>
    <row r="4" spans="1:3" x14ac:dyDescent="0.25">
      <c r="A4" s="3">
        <f>A5-11.99</f>
        <v>-24.53</v>
      </c>
      <c r="B4" s="3">
        <v>11</v>
      </c>
    </row>
    <row r="5" spans="1:3" x14ac:dyDescent="0.25">
      <c r="A5" s="3">
        <v>-12.54</v>
      </c>
      <c r="B5" s="3">
        <v>10.5</v>
      </c>
    </row>
    <row r="6" spans="1:3" x14ac:dyDescent="0.25">
      <c r="A6" s="3">
        <v>0</v>
      </c>
      <c r="B6" s="3">
        <v>10.375999999999999</v>
      </c>
      <c r="C6" t="s">
        <v>3</v>
      </c>
    </row>
    <row r="7" spans="1:3" x14ac:dyDescent="0.25">
      <c r="A7" s="3">
        <v>12.18</v>
      </c>
      <c r="B7" s="3">
        <v>10.352</v>
      </c>
      <c r="C7" t="s">
        <v>357</v>
      </c>
    </row>
    <row r="8" spans="1:3" x14ac:dyDescent="0.25">
      <c r="A8" s="3">
        <v>21.63</v>
      </c>
      <c r="B8" s="3">
        <v>10.465999999999999</v>
      </c>
      <c r="C8" t="s">
        <v>411</v>
      </c>
    </row>
    <row r="9" spans="1:3" x14ac:dyDescent="0.25">
      <c r="A9" s="3">
        <v>27.26</v>
      </c>
      <c r="B9" s="3">
        <v>12.651</v>
      </c>
      <c r="C9" t="s">
        <v>409</v>
      </c>
    </row>
    <row r="10" spans="1:3" x14ac:dyDescent="0.25">
      <c r="A10" s="3">
        <v>28.22</v>
      </c>
      <c r="B10" s="3">
        <v>12.65</v>
      </c>
      <c r="C10" t="s">
        <v>240</v>
      </c>
    </row>
    <row r="11" spans="1:3" x14ac:dyDescent="0.25">
      <c r="A11" s="3">
        <v>30</v>
      </c>
      <c r="B11" s="3">
        <v>12.612</v>
      </c>
      <c r="C11" t="s">
        <v>11</v>
      </c>
    </row>
    <row r="12" spans="1:3" x14ac:dyDescent="0.25">
      <c r="A12" s="3">
        <v>30.77</v>
      </c>
      <c r="B12" s="3">
        <v>12.628</v>
      </c>
      <c r="C12" t="s">
        <v>240</v>
      </c>
    </row>
    <row r="13" spans="1:3" x14ac:dyDescent="0.25">
      <c r="A13" s="3">
        <v>33.520000000000003</v>
      </c>
      <c r="B13" s="3">
        <v>12.616</v>
      </c>
      <c r="C13" t="s">
        <v>409</v>
      </c>
    </row>
    <row r="14" spans="1:3" x14ac:dyDescent="0.25">
      <c r="A14" s="3">
        <v>37.909999999999997</v>
      </c>
      <c r="B14" s="3">
        <v>10.452</v>
      </c>
      <c r="C14" t="s">
        <v>240</v>
      </c>
    </row>
    <row r="15" spans="1:3" x14ac:dyDescent="0.25">
      <c r="A15" s="3">
        <v>40.19</v>
      </c>
      <c r="B15" s="3">
        <v>10.381</v>
      </c>
      <c r="C15" t="s">
        <v>240</v>
      </c>
    </row>
    <row r="16" spans="1:3" x14ac:dyDescent="0.25">
      <c r="A16" s="3">
        <v>48.01</v>
      </c>
      <c r="B16" s="3">
        <v>10.223000000000001</v>
      </c>
      <c r="C16" t="s">
        <v>68</v>
      </c>
    </row>
    <row r="17" spans="1:3" x14ac:dyDescent="0.25">
      <c r="A17" s="3">
        <v>60.15</v>
      </c>
      <c r="B17" s="3">
        <v>10.143000000000001</v>
      </c>
      <c r="C17" t="s">
        <v>68</v>
      </c>
    </row>
    <row r="18" spans="1:3" x14ac:dyDescent="0.25">
      <c r="A18" s="8">
        <f>A17+1.61</f>
        <v>61.76</v>
      </c>
      <c r="B18" s="8">
        <v>11.5</v>
      </c>
    </row>
    <row r="19" spans="1:3" x14ac:dyDescent="0.25">
      <c r="A19" s="8">
        <f>A18+3.67</f>
        <v>65.429999999999993</v>
      </c>
      <c r="B19" s="8">
        <f>B18</f>
        <v>11.5</v>
      </c>
    </row>
    <row r="20" spans="1:3" x14ac:dyDescent="0.25">
      <c r="A20" s="8">
        <f>A19+9</f>
        <v>74.429999999999993</v>
      </c>
      <c r="B20" s="8">
        <v>8.5</v>
      </c>
    </row>
    <row r="21" spans="1:3" x14ac:dyDescent="0.25">
      <c r="A21" s="8">
        <f>A20+6</f>
        <v>80.429999999999993</v>
      </c>
      <c r="B21" s="8">
        <f>B20</f>
        <v>8.5</v>
      </c>
    </row>
    <row r="22" spans="1:3" x14ac:dyDescent="0.25">
      <c r="A22" s="8">
        <f>A21+9</f>
        <v>89.429999999999993</v>
      </c>
      <c r="B22" s="8">
        <f>B18</f>
        <v>11.5</v>
      </c>
    </row>
    <row r="23" spans="1:3" x14ac:dyDescent="0.25">
      <c r="A23" s="8">
        <f>A22+4.05</f>
        <v>93.47999999999999</v>
      </c>
      <c r="B23" s="8">
        <f>B22</f>
        <v>11.5</v>
      </c>
    </row>
    <row r="24" spans="1:3" x14ac:dyDescent="0.25">
      <c r="A24" s="8">
        <f>A23+2.02</f>
        <v>95.499999999999986</v>
      </c>
      <c r="B24" s="8">
        <f>B23-1.27</f>
        <v>10.23</v>
      </c>
    </row>
    <row r="25" spans="1:3" x14ac:dyDescent="0.25">
      <c r="A25" s="3">
        <v>97.72</v>
      </c>
      <c r="B25" s="3">
        <v>10.204000000000001</v>
      </c>
      <c r="C25" t="s">
        <v>26</v>
      </c>
    </row>
    <row r="26" spans="1:3" x14ac:dyDescent="0.25">
      <c r="A26" s="3">
        <v>97.72</v>
      </c>
      <c r="B26" s="3">
        <v>14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9"/>
  <dimension ref="A1:H17"/>
  <sheetViews>
    <sheetView tabSelected="1" workbookViewId="0">
      <selection activeCell="E19" sqref="E19"/>
    </sheetView>
  </sheetViews>
  <sheetFormatPr defaultRowHeight="14" x14ac:dyDescent="0.25"/>
  <sheetData>
    <row r="1" spans="1:8" x14ac:dyDescent="0.25">
      <c r="A1" t="s">
        <v>2592</v>
      </c>
    </row>
    <row r="2" spans="1:8" x14ac:dyDescent="0.25">
      <c r="A2">
        <v>0</v>
      </c>
      <c r="B2">
        <v>5.9279999999999999</v>
      </c>
      <c r="C2" t="s">
        <v>3</v>
      </c>
      <c r="D2" t="s">
        <v>2600</v>
      </c>
      <c r="E2" t="s">
        <v>2594</v>
      </c>
      <c r="G2" s="2"/>
      <c r="H2" s="2"/>
    </row>
    <row r="3" spans="1:8" x14ac:dyDescent="0.25">
      <c r="A3">
        <v>13.94</v>
      </c>
      <c r="B3">
        <v>5.8520000000000003</v>
      </c>
      <c r="C3" t="s">
        <v>6</v>
      </c>
      <c r="G3" s="2"/>
      <c r="H3" s="2"/>
    </row>
    <row r="4" spans="1:8" x14ac:dyDescent="0.25">
      <c r="A4">
        <v>26.22</v>
      </c>
      <c r="B4">
        <v>5.9029999999999996</v>
      </c>
      <c r="C4" t="s">
        <v>6</v>
      </c>
      <c r="G4" s="2"/>
      <c r="H4" s="2"/>
    </row>
    <row r="5" spans="1:8" x14ac:dyDescent="0.25">
      <c r="A5">
        <v>30</v>
      </c>
      <c r="B5">
        <v>5.9279999999999999</v>
      </c>
      <c r="C5" t="s">
        <v>11</v>
      </c>
      <c r="G5" s="2"/>
      <c r="H5" s="2"/>
    </row>
    <row r="6" spans="1:8" x14ac:dyDescent="0.25">
      <c r="A6">
        <v>47.31</v>
      </c>
      <c r="B6">
        <v>5.8579999999999997</v>
      </c>
      <c r="C6" t="s">
        <v>6</v>
      </c>
      <c r="G6" s="2"/>
      <c r="H6" s="2"/>
    </row>
    <row r="7" spans="1:8" x14ac:dyDescent="0.25">
      <c r="A7">
        <v>60.57</v>
      </c>
      <c r="B7">
        <v>6.0789999999999997</v>
      </c>
      <c r="C7" t="s">
        <v>411</v>
      </c>
    </row>
    <row r="8" spans="1:8" x14ac:dyDescent="0.25">
      <c r="A8">
        <v>72.400000000000006</v>
      </c>
      <c r="B8">
        <v>9.3290000000000006</v>
      </c>
      <c r="C8" t="s">
        <v>1929</v>
      </c>
      <c r="D8" t="s">
        <v>2595</v>
      </c>
    </row>
    <row r="9" spans="1:8" x14ac:dyDescent="0.25">
      <c r="A9">
        <v>72.400000000000006</v>
      </c>
      <c r="B9">
        <v>14.075200000000001</v>
      </c>
      <c r="D9" t="s">
        <v>2596</v>
      </c>
    </row>
    <row r="10" spans="1:8" x14ac:dyDescent="0.25">
      <c r="A10">
        <v>72.55</v>
      </c>
      <c r="B10">
        <v>9.3109999999999999</v>
      </c>
      <c r="C10" t="s">
        <v>1929</v>
      </c>
    </row>
    <row r="11" spans="1:8" x14ac:dyDescent="0.25">
      <c r="A11">
        <v>75.02</v>
      </c>
      <c r="B11">
        <v>8.0229999999999997</v>
      </c>
      <c r="C11" t="s">
        <v>411</v>
      </c>
    </row>
    <row r="12" spans="1:8" x14ac:dyDescent="0.25">
      <c r="A12">
        <v>80.349999999999994</v>
      </c>
      <c r="B12">
        <v>8.1430000000000007</v>
      </c>
      <c r="C12" t="s">
        <v>6</v>
      </c>
    </row>
    <row r="13" spans="1:8" x14ac:dyDescent="0.25">
      <c r="A13">
        <v>85</v>
      </c>
      <c r="B13">
        <v>8.2469999999999999</v>
      </c>
      <c r="C13" t="s">
        <v>411</v>
      </c>
    </row>
    <row r="14" spans="1:8" x14ac:dyDescent="0.25">
      <c r="A14">
        <v>88.04</v>
      </c>
      <c r="B14">
        <v>9.9730000000000008</v>
      </c>
      <c r="C14" t="s">
        <v>1929</v>
      </c>
      <c r="D14" t="s">
        <v>2601</v>
      </c>
    </row>
    <row r="15" spans="1:8" x14ac:dyDescent="0.25">
      <c r="A15">
        <v>88.04</v>
      </c>
      <c r="B15">
        <v>20</v>
      </c>
    </row>
    <row r="16" spans="1:8" x14ac:dyDescent="0.25">
      <c r="A16">
        <v>88.8</v>
      </c>
      <c r="B16">
        <v>9.8670000000000009</v>
      </c>
      <c r="C16" t="s">
        <v>6</v>
      </c>
    </row>
    <row r="17" spans="1:3" x14ac:dyDescent="0.25">
      <c r="A17">
        <v>90.69</v>
      </c>
      <c r="B17">
        <v>9.5530000000000008</v>
      </c>
      <c r="C17" t="s">
        <v>26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227</v>
      </c>
    </row>
    <row r="2" spans="1:3" x14ac:dyDescent="0.25">
      <c r="A2" t="s">
        <v>1</v>
      </c>
      <c r="B2" t="s">
        <v>228</v>
      </c>
      <c r="C2" t="s">
        <v>3</v>
      </c>
    </row>
    <row r="3" spans="1:3" x14ac:dyDescent="0.25">
      <c r="A3" t="s">
        <v>82</v>
      </c>
      <c r="B3" t="s">
        <v>229</v>
      </c>
      <c r="C3" t="s">
        <v>31</v>
      </c>
    </row>
    <row r="4" spans="1:3" x14ac:dyDescent="0.25">
      <c r="A4" t="s">
        <v>230</v>
      </c>
      <c r="B4" t="s">
        <v>231</v>
      </c>
      <c r="C4" t="s">
        <v>34</v>
      </c>
    </row>
    <row r="5" spans="1:3" x14ac:dyDescent="0.25">
      <c r="A5" t="s">
        <v>232</v>
      </c>
      <c r="B5" t="s">
        <v>233</v>
      </c>
      <c r="C5" t="s">
        <v>31</v>
      </c>
    </row>
    <row r="6" spans="1:3" x14ac:dyDescent="0.25">
      <c r="A6">
        <v>10.82</v>
      </c>
      <c r="B6">
        <v>15.63</v>
      </c>
    </row>
    <row r="7" spans="1:3" x14ac:dyDescent="0.25">
      <c r="A7">
        <f>A6+0.88</f>
        <v>11.700000000000001</v>
      </c>
      <c r="B7">
        <v>16.07</v>
      </c>
    </row>
    <row r="8" spans="1:3" x14ac:dyDescent="0.25">
      <c r="A8">
        <f>A7+3</f>
        <v>14.700000000000001</v>
      </c>
      <c r="B8">
        <f>B7</f>
        <v>16.07</v>
      </c>
    </row>
    <row r="9" spans="1:3" x14ac:dyDescent="0.25">
      <c r="A9">
        <f>A8+6.3</f>
        <v>21</v>
      </c>
      <c r="B9">
        <v>13.97</v>
      </c>
    </row>
    <row r="10" spans="1:3" x14ac:dyDescent="0.25">
      <c r="A10">
        <v>27</v>
      </c>
      <c r="B10">
        <f>B9</f>
        <v>13.97</v>
      </c>
    </row>
    <row r="11" spans="1:3" x14ac:dyDescent="0.25">
      <c r="A11">
        <f>A10+6.3</f>
        <v>33.299999999999997</v>
      </c>
      <c r="B11">
        <f>B8</f>
        <v>16.07</v>
      </c>
    </row>
    <row r="12" spans="1:3" x14ac:dyDescent="0.25">
      <c r="A12">
        <f>A11+3</f>
        <v>36.299999999999997</v>
      </c>
      <c r="B12">
        <v>16</v>
      </c>
    </row>
    <row r="13" spans="1:3" x14ac:dyDescent="0.25">
      <c r="A13" t="s">
        <v>236</v>
      </c>
      <c r="B13" t="s">
        <v>237</v>
      </c>
      <c r="C13" t="s">
        <v>6</v>
      </c>
    </row>
    <row r="14" spans="1:3" x14ac:dyDescent="0.25">
      <c r="A14" t="s">
        <v>238</v>
      </c>
      <c r="B14" t="s">
        <v>239</v>
      </c>
      <c r="C14" t="s">
        <v>240</v>
      </c>
    </row>
    <row r="15" spans="1:3" x14ac:dyDescent="0.25">
      <c r="A15" t="s">
        <v>241</v>
      </c>
      <c r="B15" t="s">
        <v>242</v>
      </c>
      <c r="C15" t="s">
        <v>240</v>
      </c>
    </row>
    <row r="16" spans="1:3" x14ac:dyDescent="0.25">
      <c r="A16" t="s">
        <v>243</v>
      </c>
      <c r="B16" t="s">
        <v>244</v>
      </c>
      <c r="C16" t="s">
        <v>31</v>
      </c>
    </row>
    <row r="17" spans="1:3" x14ac:dyDescent="0.25">
      <c r="A17" t="s">
        <v>245</v>
      </c>
      <c r="B17" t="s">
        <v>246</v>
      </c>
      <c r="C17" t="s">
        <v>31</v>
      </c>
    </row>
    <row r="18" spans="1:3" x14ac:dyDescent="0.25">
      <c r="A18" t="s">
        <v>247</v>
      </c>
      <c r="B18" t="s">
        <v>248</v>
      </c>
      <c r="C18" t="s">
        <v>34</v>
      </c>
    </row>
    <row r="19" spans="1:3" x14ac:dyDescent="0.25">
      <c r="A19" t="s">
        <v>249</v>
      </c>
      <c r="B19" t="s">
        <v>250</v>
      </c>
      <c r="C19" t="s">
        <v>31</v>
      </c>
    </row>
    <row r="20" spans="1:3" x14ac:dyDescent="0.25">
      <c r="A20" t="s">
        <v>251</v>
      </c>
      <c r="B20" t="s">
        <v>252</v>
      </c>
      <c r="C20" t="s">
        <v>34</v>
      </c>
    </row>
    <row r="21" spans="1:3" x14ac:dyDescent="0.25">
      <c r="A21" t="s">
        <v>24</v>
      </c>
      <c r="B21" t="s">
        <v>253</v>
      </c>
      <c r="C21" t="s">
        <v>26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13"/>
  <sheetViews>
    <sheetView workbookViewId="0">
      <selection activeCell="A17" sqref="A17"/>
    </sheetView>
  </sheetViews>
  <sheetFormatPr defaultRowHeight="14" x14ac:dyDescent="0.25"/>
  <sheetData>
    <row r="1" spans="1:3" x14ac:dyDescent="0.25">
      <c r="A1" t="s">
        <v>254</v>
      </c>
    </row>
    <row r="2" spans="1:3" x14ac:dyDescent="0.25">
      <c r="A2" t="s">
        <v>1</v>
      </c>
      <c r="B2" t="s">
        <v>255</v>
      </c>
      <c r="C2" t="s">
        <v>3</v>
      </c>
    </row>
    <row r="3" spans="1:3" x14ac:dyDescent="0.25">
      <c r="A3" t="s">
        <v>256</v>
      </c>
      <c r="B3" t="s">
        <v>257</v>
      </c>
      <c r="C3" t="s">
        <v>31</v>
      </c>
    </row>
    <row r="4" spans="1:3" x14ac:dyDescent="0.25">
      <c r="A4" t="s">
        <v>258</v>
      </c>
      <c r="B4" t="s">
        <v>259</v>
      </c>
      <c r="C4" t="s">
        <v>34</v>
      </c>
    </row>
    <row r="5" spans="1:3" x14ac:dyDescent="0.25">
      <c r="A5" t="s">
        <v>260</v>
      </c>
      <c r="B5" t="s">
        <v>261</v>
      </c>
      <c r="C5" t="s">
        <v>31</v>
      </c>
    </row>
    <row r="6" spans="1:3" x14ac:dyDescent="0.25">
      <c r="A6">
        <v>8.58</v>
      </c>
      <c r="B6">
        <v>16</v>
      </c>
    </row>
    <row r="7" spans="1:3" x14ac:dyDescent="0.25">
      <c r="A7">
        <f>A6+7.19</f>
        <v>15.77</v>
      </c>
      <c r="B7">
        <f>B6</f>
        <v>16</v>
      </c>
    </row>
    <row r="8" spans="1:3" x14ac:dyDescent="0.25">
      <c r="A8">
        <f>A7+6.3</f>
        <v>22.07</v>
      </c>
      <c r="B8">
        <v>13.94</v>
      </c>
    </row>
    <row r="9" spans="1:3" x14ac:dyDescent="0.25">
      <c r="A9">
        <f>A8+6</f>
        <v>28.07</v>
      </c>
      <c r="B9">
        <f>B8</f>
        <v>13.94</v>
      </c>
    </row>
    <row r="10" spans="1:3" x14ac:dyDescent="0.25">
      <c r="A10">
        <f>A9+6.3</f>
        <v>34.369999999999997</v>
      </c>
      <c r="B10">
        <f>B6</f>
        <v>16</v>
      </c>
    </row>
    <row r="11" spans="1:3" x14ac:dyDescent="0.25">
      <c r="A11">
        <f>A10+4.18</f>
        <v>38.549999999999997</v>
      </c>
      <c r="B11">
        <f>B10-0.25</f>
        <v>15.75</v>
      </c>
    </row>
    <row r="12" spans="1:3" x14ac:dyDescent="0.25">
      <c r="A12" t="s">
        <v>267</v>
      </c>
      <c r="B12" t="s">
        <v>268</v>
      </c>
      <c r="C12" t="s">
        <v>6</v>
      </c>
    </row>
    <row r="13" spans="1:3" x14ac:dyDescent="0.25">
      <c r="A13" t="s">
        <v>24</v>
      </c>
      <c r="B13" t="s">
        <v>242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16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269</v>
      </c>
    </row>
    <row r="2" spans="1:3" x14ac:dyDescent="0.25">
      <c r="A2" t="s">
        <v>1</v>
      </c>
      <c r="B2" t="s">
        <v>270</v>
      </c>
      <c r="C2" t="s">
        <v>3</v>
      </c>
    </row>
    <row r="3" spans="1:3" x14ac:dyDescent="0.25">
      <c r="A3" t="s">
        <v>271</v>
      </c>
      <c r="B3" t="s">
        <v>272</v>
      </c>
      <c r="C3" t="s">
        <v>31</v>
      </c>
    </row>
    <row r="4" spans="1:3" x14ac:dyDescent="0.25">
      <c r="A4" t="s">
        <v>273</v>
      </c>
      <c r="B4" t="s">
        <v>274</v>
      </c>
      <c r="C4" t="s">
        <v>34</v>
      </c>
    </row>
    <row r="5" spans="1:3" x14ac:dyDescent="0.25">
      <c r="A5" t="s">
        <v>275</v>
      </c>
      <c r="B5" t="s">
        <v>276</v>
      </c>
      <c r="C5" t="s">
        <v>31</v>
      </c>
    </row>
    <row r="6" spans="1:3" x14ac:dyDescent="0.25">
      <c r="A6" t="s">
        <v>277</v>
      </c>
      <c r="B6" t="s">
        <v>278</v>
      </c>
      <c r="C6" t="s">
        <v>34</v>
      </c>
    </row>
    <row r="7" spans="1:3" x14ac:dyDescent="0.25">
      <c r="A7">
        <v>13.07</v>
      </c>
      <c r="B7">
        <v>16.48</v>
      </c>
    </row>
    <row r="8" spans="1:3" x14ac:dyDescent="0.25">
      <c r="A8">
        <v>14.23</v>
      </c>
      <c r="B8">
        <f>B7</f>
        <v>16.48</v>
      </c>
    </row>
    <row r="9" spans="1:3" x14ac:dyDescent="0.25">
      <c r="A9">
        <f>A8+7.76</f>
        <v>21.990000000000002</v>
      </c>
      <c r="B9">
        <v>13.91</v>
      </c>
    </row>
    <row r="10" spans="1:3" x14ac:dyDescent="0.25">
      <c r="A10">
        <f>A9+6</f>
        <v>27.990000000000002</v>
      </c>
      <c r="B10">
        <f>B9</f>
        <v>13.91</v>
      </c>
    </row>
    <row r="11" spans="1:3" x14ac:dyDescent="0.25">
      <c r="A11">
        <f>A10+6.3</f>
        <v>34.29</v>
      </c>
      <c r="B11">
        <v>16</v>
      </c>
    </row>
    <row r="12" spans="1:3" x14ac:dyDescent="0.25">
      <c r="A12">
        <f>A11+3</f>
        <v>37.29</v>
      </c>
      <c r="B12">
        <f>B11</f>
        <v>16</v>
      </c>
    </row>
    <row r="13" spans="1:3" x14ac:dyDescent="0.25">
      <c r="A13">
        <f>A12+3.81</f>
        <v>41.1</v>
      </c>
      <c r="B13">
        <f>B12-0.14</f>
        <v>15.86</v>
      </c>
    </row>
    <row r="14" spans="1:3" x14ac:dyDescent="0.25">
      <c r="A14" t="s">
        <v>284</v>
      </c>
      <c r="B14" t="s">
        <v>285</v>
      </c>
      <c r="C14" t="s">
        <v>31</v>
      </c>
    </row>
    <row r="15" spans="1:3" x14ac:dyDescent="0.25">
      <c r="A15" t="s">
        <v>286</v>
      </c>
      <c r="B15" t="s">
        <v>287</v>
      </c>
      <c r="C15" t="s">
        <v>225</v>
      </c>
    </row>
    <row r="16" spans="1:3" x14ac:dyDescent="0.25">
      <c r="A16" t="s">
        <v>24</v>
      </c>
      <c r="B16" t="s">
        <v>288</v>
      </c>
      <c r="C16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14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289</v>
      </c>
    </row>
    <row r="2" spans="1:3" x14ac:dyDescent="0.25">
      <c r="A2" t="s">
        <v>1</v>
      </c>
      <c r="B2" t="s">
        <v>290</v>
      </c>
      <c r="C2" t="s">
        <v>3</v>
      </c>
    </row>
    <row r="3" spans="1:3" x14ac:dyDescent="0.25">
      <c r="A3" t="s">
        <v>291</v>
      </c>
      <c r="B3" t="s">
        <v>292</v>
      </c>
      <c r="C3" t="s">
        <v>31</v>
      </c>
    </row>
    <row r="4" spans="1:3" x14ac:dyDescent="0.25">
      <c r="A4" t="s">
        <v>293</v>
      </c>
      <c r="B4" t="s">
        <v>294</v>
      </c>
      <c r="C4" t="s">
        <v>34</v>
      </c>
    </row>
    <row r="5" spans="1:3" x14ac:dyDescent="0.25">
      <c r="A5" t="s">
        <v>295</v>
      </c>
      <c r="B5" t="s">
        <v>296</v>
      </c>
      <c r="C5" t="s">
        <v>31</v>
      </c>
    </row>
    <row r="6" spans="1:3" x14ac:dyDescent="0.25">
      <c r="A6">
        <v>8.09</v>
      </c>
      <c r="B6">
        <v>15.98</v>
      </c>
    </row>
    <row r="7" spans="1:3" x14ac:dyDescent="0.25">
      <c r="A7">
        <f>A6+7.61</f>
        <v>15.7</v>
      </c>
      <c r="B7">
        <f>B6</f>
        <v>15.98</v>
      </c>
    </row>
    <row r="8" spans="1:3" x14ac:dyDescent="0.25">
      <c r="A8">
        <v>22</v>
      </c>
      <c r="B8">
        <v>13.88</v>
      </c>
    </row>
    <row r="9" spans="1:3" x14ac:dyDescent="0.25">
      <c r="A9">
        <v>28</v>
      </c>
      <c r="B9">
        <f>B8</f>
        <v>13.88</v>
      </c>
    </row>
    <row r="10" spans="1:3" x14ac:dyDescent="0.25">
      <c r="A10">
        <f>A9+6.74</f>
        <v>34.74</v>
      </c>
      <c r="B10" t="str">
        <f>B11</f>
        <v>16.171</v>
      </c>
    </row>
    <row r="11" spans="1:3" x14ac:dyDescent="0.25">
      <c r="A11" t="s">
        <v>300</v>
      </c>
      <c r="B11" t="s">
        <v>301</v>
      </c>
      <c r="C11" t="s">
        <v>31</v>
      </c>
    </row>
    <row r="12" spans="1:3" x14ac:dyDescent="0.25">
      <c r="A12" t="s">
        <v>302</v>
      </c>
      <c r="B12" t="s">
        <v>303</v>
      </c>
      <c r="C12" t="s">
        <v>31</v>
      </c>
    </row>
    <row r="13" spans="1:3" x14ac:dyDescent="0.25">
      <c r="A13" t="s">
        <v>304</v>
      </c>
      <c r="B13" t="s">
        <v>305</v>
      </c>
      <c r="C13" t="s">
        <v>34</v>
      </c>
    </row>
    <row r="14" spans="1:3" x14ac:dyDescent="0.25">
      <c r="A14" t="s">
        <v>24</v>
      </c>
      <c r="B14" t="s">
        <v>306</v>
      </c>
      <c r="C14" t="s">
        <v>26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12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307</v>
      </c>
    </row>
    <row r="2" spans="1:3" x14ac:dyDescent="0.25">
      <c r="A2" t="s">
        <v>1</v>
      </c>
      <c r="B2" t="s">
        <v>308</v>
      </c>
      <c r="C2" t="s">
        <v>3</v>
      </c>
    </row>
    <row r="3" spans="1:3" x14ac:dyDescent="0.25">
      <c r="A3" t="s">
        <v>309</v>
      </c>
      <c r="B3" t="s">
        <v>310</v>
      </c>
      <c r="C3" t="s">
        <v>31</v>
      </c>
    </row>
    <row r="4" spans="1:3" x14ac:dyDescent="0.25">
      <c r="A4">
        <f>A3+1.09</f>
        <v>7.01</v>
      </c>
      <c r="B4" t="str">
        <f>B3</f>
        <v>16.816</v>
      </c>
    </row>
    <row r="5" spans="1:3" x14ac:dyDescent="0.25">
      <c r="A5">
        <f>A4+8.99</f>
        <v>16</v>
      </c>
      <c r="B5">
        <v>13.84</v>
      </c>
    </row>
    <row r="6" spans="1:3" x14ac:dyDescent="0.25">
      <c r="A6">
        <v>22</v>
      </c>
      <c r="B6">
        <f>B5</f>
        <v>13.84</v>
      </c>
    </row>
    <row r="7" spans="1:3" x14ac:dyDescent="0.25">
      <c r="A7">
        <f>A6+7.17</f>
        <v>29.17</v>
      </c>
      <c r="B7" t="str">
        <f>B8</f>
        <v>16.248</v>
      </c>
    </row>
    <row r="8" spans="1:3" x14ac:dyDescent="0.25">
      <c r="A8" t="s">
        <v>315</v>
      </c>
      <c r="B8" t="s">
        <v>316</v>
      </c>
      <c r="C8" t="s">
        <v>11</v>
      </c>
    </row>
    <row r="9" spans="1:3" x14ac:dyDescent="0.25">
      <c r="A9" t="s">
        <v>317</v>
      </c>
      <c r="B9" t="s">
        <v>318</v>
      </c>
      <c r="C9" t="s">
        <v>68</v>
      </c>
    </row>
    <row r="10" spans="1:3" x14ac:dyDescent="0.25">
      <c r="A10" t="s">
        <v>319</v>
      </c>
      <c r="B10" t="s">
        <v>320</v>
      </c>
      <c r="C10" t="s">
        <v>68</v>
      </c>
    </row>
    <row r="11" spans="1:3" x14ac:dyDescent="0.25">
      <c r="A11" t="s">
        <v>321</v>
      </c>
      <c r="B11" t="s">
        <v>322</v>
      </c>
      <c r="C11" t="s">
        <v>68</v>
      </c>
    </row>
    <row r="12" spans="1:3" x14ac:dyDescent="0.25">
      <c r="A12" t="s">
        <v>24</v>
      </c>
      <c r="B12" t="s">
        <v>85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323</v>
      </c>
    </row>
    <row r="2" spans="1:3" x14ac:dyDescent="0.25">
      <c r="A2" t="s">
        <v>1</v>
      </c>
      <c r="B2" t="s">
        <v>93</v>
      </c>
      <c r="C2" t="s">
        <v>3</v>
      </c>
    </row>
    <row r="3" spans="1:3" x14ac:dyDescent="0.25">
      <c r="A3" t="s">
        <v>271</v>
      </c>
      <c r="B3" t="s">
        <v>324</v>
      </c>
      <c r="C3" t="s">
        <v>240</v>
      </c>
    </row>
    <row r="4" spans="1:3" x14ac:dyDescent="0.25">
      <c r="A4" t="s">
        <v>325</v>
      </c>
      <c r="B4" t="s">
        <v>326</v>
      </c>
      <c r="C4" t="s">
        <v>31</v>
      </c>
    </row>
    <row r="5" spans="1:3" x14ac:dyDescent="0.25">
      <c r="A5">
        <v>6.43</v>
      </c>
      <c r="B5">
        <v>15.91</v>
      </c>
    </row>
    <row r="6" spans="1:3" x14ac:dyDescent="0.25">
      <c r="A6">
        <f>A5+9.27</f>
        <v>15.7</v>
      </c>
      <c r="B6">
        <f>B5</f>
        <v>15.91</v>
      </c>
    </row>
    <row r="7" spans="1:3" x14ac:dyDescent="0.25">
      <c r="A7">
        <v>22</v>
      </c>
      <c r="B7">
        <v>13.81</v>
      </c>
    </row>
    <row r="8" spans="1:3" x14ac:dyDescent="0.25">
      <c r="A8">
        <v>28</v>
      </c>
      <c r="B8">
        <f>B7</f>
        <v>13.81</v>
      </c>
    </row>
    <row r="9" spans="1:3" x14ac:dyDescent="0.25">
      <c r="A9">
        <f>A8+6.4</f>
        <v>34.4</v>
      </c>
      <c r="B9">
        <f>B6</f>
        <v>15.91</v>
      </c>
    </row>
    <row r="10" spans="1:3" x14ac:dyDescent="0.25">
      <c r="A10" t="s">
        <v>328</v>
      </c>
      <c r="B10" t="s">
        <v>329</v>
      </c>
      <c r="C10" t="s">
        <v>68</v>
      </c>
    </row>
    <row r="11" spans="1:3" x14ac:dyDescent="0.25">
      <c r="A11" t="s">
        <v>24</v>
      </c>
      <c r="B11" t="s">
        <v>330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13"/>
  <sheetViews>
    <sheetView workbookViewId="0">
      <selection activeCell="B16" sqref="B16"/>
    </sheetView>
  </sheetViews>
  <sheetFormatPr defaultRowHeight="14" x14ac:dyDescent="0.25"/>
  <sheetData>
    <row r="1" spans="1:3" x14ac:dyDescent="0.25">
      <c r="A1" t="s">
        <v>331</v>
      </c>
    </row>
    <row r="2" spans="1:3" x14ac:dyDescent="0.25">
      <c r="A2" t="s">
        <v>1</v>
      </c>
      <c r="B2" t="s">
        <v>332</v>
      </c>
      <c r="C2" t="s">
        <v>3</v>
      </c>
    </row>
    <row r="3" spans="1:3" x14ac:dyDescent="0.25">
      <c r="A3" t="s">
        <v>333</v>
      </c>
      <c r="B3" t="s">
        <v>334</v>
      </c>
      <c r="C3" t="s">
        <v>240</v>
      </c>
    </row>
    <row r="4" spans="1:3" x14ac:dyDescent="0.25">
      <c r="A4" t="s">
        <v>335</v>
      </c>
      <c r="B4" t="s">
        <v>336</v>
      </c>
      <c r="C4" t="s">
        <v>31</v>
      </c>
    </row>
    <row r="5" spans="1:3" x14ac:dyDescent="0.25">
      <c r="A5" t="s">
        <v>337</v>
      </c>
      <c r="B5" t="s">
        <v>338</v>
      </c>
      <c r="C5" t="s">
        <v>34</v>
      </c>
    </row>
    <row r="6" spans="1:3" x14ac:dyDescent="0.25">
      <c r="A6" t="s">
        <v>339</v>
      </c>
      <c r="B6" t="s">
        <v>340</v>
      </c>
      <c r="C6" t="s">
        <v>6</v>
      </c>
    </row>
    <row r="7" spans="1:3" x14ac:dyDescent="0.25">
      <c r="A7">
        <v>13.82</v>
      </c>
      <c r="B7">
        <v>15.88</v>
      </c>
    </row>
    <row r="8" spans="1:3" x14ac:dyDescent="0.25">
      <c r="A8">
        <f>A7+1.88</f>
        <v>15.7</v>
      </c>
      <c r="B8">
        <f>B7</f>
        <v>15.88</v>
      </c>
    </row>
    <row r="9" spans="1:3" x14ac:dyDescent="0.25">
      <c r="A9">
        <f>A8+6.3</f>
        <v>22</v>
      </c>
      <c r="B9">
        <v>13.78</v>
      </c>
    </row>
    <row r="10" spans="1:3" x14ac:dyDescent="0.25">
      <c r="A10">
        <v>28</v>
      </c>
      <c r="B10">
        <f>B9</f>
        <v>13.78</v>
      </c>
    </row>
    <row r="11" spans="1:3" x14ac:dyDescent="0.25">
      <c r="A11">
        <f>A10+7.4</f>
        <v>35.4</v>
      </c>
      <c r="B11">
        <f>B8</f>
        <v>15.88</v>
      </c>
    </row>
    <row r="12" spans="1:3" x14ac:dyDescent="0.25">
      <c r="A12" t="s">
        <v>341</v>
      </c>
      <c r="B12" t="s">
        <v>342</v>
      </c>
      <c r="C12" t="s">
        <v>68</v>
      </c>
    </row>
    <row r="13" spans="1:3" x14ac:dyDescent="0.25">
      <c r="A13" t="s">
        <v>24</v>
      </c>
      <c r="B13" t="s">
        <v>115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343</v>
      </c>
    </row>
    <row r="2" spans="1:3" x14ac:dyDescent="0.25">
      <c r="A2" t="s">
        <v>1</v>
      </c>
      <c r="B2" t="s">
        <v>344</v>
      </c>
      <c r="C2" t="s">
        <v>3</v>
      </c>
    </row>
    <row r="3" spans="1:3" x14ac:dyDescent="0.25">
      <c r="A3" t="s">
        <v>345</v>
      </c>
      <c r="B3" t="s">
        <v>346</v>
      </c>
      <c r="C3" t="s">
        <v>31</v>
      </c>
    </row>
    <row r="4" spans="1:3" x14ac:dyDescent="0.25">
      <c r="A4">
        <v>7.12</v>
      </c>
      <c r="B4">
        <v>15.94</v>
      </c>
    </row>
    <row r="5" spans="1:3" x14ac:dyDescent="0.25">
      <c r="A5">
        <f>A4+8.58</f>
        <v>15.7</v>
      </c>
      <c r="B5">
        <f>B4-0.09</f>
        <v>15.85</v>
      </c>
    </row>
    <row r="6" spans="1:3" x14ac:dyDescent="0.25">
      <c r="A6">
        <v>22</v>
      </c>
      <c r="B6">
        <v>13.75</v>
      </c>
    </row>
    <row r="7" spans="1:3" x14ac:dyDescent="0.25">
      <c r="A7">
        <v>28</v>
      </c>
      <c r="B7">
        <f>B6</f>
        <v>13.75</v>
      </c>
    </row>
    <row r="8" spans="1:3" x14ac:dyDescent="0.25">
      <c r="A8">
        <f>A7+6.3</f>
        <v>34.299999999999997</v>
      </c>
      <c r="B8">
        <f>B7+2.1</f>
        <v>15.85</v>
      </c>
    </row>
    <row r="9" spans="1:3" x14ac:dyDescent="0.25">
      <c r="A9">
        <f>A8+12.98</f>
        <v>47.28</v>
      </c>
      <c r="B9">
        <f>B8+0.09</f>
        <v>15.94</v>
      </c>
    </row>
    <row r="10" spans="1:3" x14ac:dyDescent="0.25">
      <c r="A10" t="s">
        <v>350</v>
      </c>
      <c r="B10" t="s">
        <v>351</v>
      </c>
      <c r="C10" t="s">
        <v>31</v>
      </c>
    </row>
    <row r="11" spans="1:3" x14ac:dyDescent="0.25">
      <c r="A11" t="s">
        <v>24</v>
      </c>
      <c r="B11" t="s">
        <v>352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27</v>
      </c>
    </row>
    <row r="2" spans="1:3" x14ac:dyDescent="0.25">
      <c r="A2" t="s">
        <v>1</v>
      </c>
      <c r="B2" t="s">
        <v>28</v>
      </c>
      <c r="C2" t="s">
        <v>3</v>
      </c>
    </row>
    <row r="3" spans="1:3" x14ac:dyDescent="0.25">
      <c r="A3" t="s">
        <v>29</v>
      </c>
      <c r="B3" t="s">
        <v>30</v>
      </c>
      <c r="C3" t="s">
        <v>31</v>
      </c>
    </row>
    <row r="4" spans="1:3" x14ac:dyDescent="0.25">
      <c r="A4" t="s">
        <v>32</v>
      </c>
      <c r="B4" t="s">
        <v>33</v>
      </c>
      <c r="C4" t="s">
        <v>34</v>
      </c>
    </row>
    <row r="5" spans="1:3" x14ac:dyDescent="0.25">
      <c r="A5">
        <v>16.98</v>
      </c>
      <c r="B5">
        <v>14.91</v>
      </c>
    </row>
    <row r="6" spans="1:3" x14ac:dyDescent="0.25">
      <c r="A6">
        <f>A5+2.17</f>
        <v>19.149999999999999</v>
      </c>
      <c r="B6">
        <f>B5+2.17/2</f>
        <v>15.995000000000001</v>
      </c>
    </row>
    <row r="7" spans="1:3" x14ac:dyDescent="0.25">
      <c r="A7">
        <f>A6+3</f>
        <v>22.15</v>
      </c>
      <c r="B7">
        <f>B6</f>
        <v>15.995000000000001</v>
      </c>
    </row>
    <row r="8" spans="1:3" x14ac:dyDescent="0.25">
      <c r="A8">
        <f>A7+5.1</f>
        <v>27.25</v>
      </c>
      <c r="B8">
        <v>14.3</v>
      </c>
    </row>
    <row r="9" spans="1:3" x14ac:dyDescent="0.25">
      <c r="A9">
        <f>A8+2.5</f>
        <v>29.75</v>
      </c>
      <c r="B9">
        <f>B8</f>
        <v>14.3</v>
      </c>
    </row>
    <row r="10" spans="1:3" x14ac:dyDescent="0.25">
      <c r="A10">
        <f>A9+5.1</f>
        <v>34.85</v>
      </c>
      <c r="B10">
        <f>B9+1.7</f>
        <v>16</v>
      </c>
    </row>
    <row r="11" spans="1:3" x14ac:dyDescent="0.25">
      <c r="A11">
        <f>A10+3</f>
        <v>37.85</v>
      </c>
      <c r="B11">
        <f>B10</f>
        <v>16</v>
      </c>
    </row>
    <row r="12" spans="1:3" x14ac:dyDescent="0.25">
      <c r="A12">
        <f>A11+2.33</f>
        <v>40.18</v>
      </c>
      <c r="B12">
        <f>B11-2.33/2</f>
        <v>14.835000000000001</v>
      </c>
    </row>
    <row r="13" spans="1:3" x14ac:dyDescent="0.25">
      <c r="A13" t="s">
        <v>36</v>
      </c>
      <c r="B13" t="s">
        <v>37</v>
      </c>
      <c r="C13" t="s">
        <v>6</v>
      </c>
    </row>
    <row r="14" spans="1:3" x14ac:dyDescent="0.25">
      <c r="A14" t="s">
        <v>38</v>
      </c>
      <c r="B14" t="s">
        <v>39</v>
      </c>
      <c r="C14" t="s">
        <v>6</v>
      </c>
    </row>
    <row r="15" spans="1:3" x14ac:dyDescent="0.25">
      <c r="A15" t="s">
        <v>40</v>
      </c>
      <c r="B15" t="s">
        <v>41</v>
      </c>
      <c r="C15" t="s">
        <v>6</v>
      </c>
    </row>
    <row r="16" spans="1:3" x14ac:dyDescent="0.25">
      <c r="A16" t="s">
        <v>42</v>
      </c>
      <c r="B16" t="s">
        <v>43</v>
      </c>
      <c r="C16" t="s">
        <v>6</v>
      </c>
    </row>
    <row r="17" spans="1:3" x14ac:dyDescent="0.25">
      <c r="A17" t="s">
        <v>44</v>
      </c>
      <c r="B17" t="s">
        <v>45</v>
      </c>
      <c r="C17" t="s">
        <v>6</v>
      </c>
    </row>
    <row r="18" spans="1:3" x14ac:dyDescent="0.25">
      <c r="A18" t="s">
        <v>46</v>
      </c>
      <c r="B18" t="s">
        <v>41</v>
      </c>
      <c r="C18" t="s">
        <v>6</v>
      </c>
    </row>
    <row r="19" spans="1:3" x14ac:dyDescent="0.25">
      <c r="A19" t="s">
        <v>47</v>
      </c>
      <c r="B19" t="s">
        <v>48</v>
      </c>
      <c r="C19" t="s">
        <v>6</v>
      </c>
    </row>
    <row r="20" spans="1:3" x14ac:dyDescent="0.25">
      <c r="A20" t="s">
        <v>24</v>
      </c>
      <c r="B20" t="s">
        <v>49</v>
      </c>
      <c r="C20" t="s">
        <v>26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13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353</v>
      </c>
    </row>
    <row r="2" spans="1:3" x14ac:dyDescent="0.25">
      <c r="A2" t="s">
        <v>1</v>
      </c>
      <c r="B2" t="s">
        <v>354</v>
      </c>
      <c r="C2" t="s">
        <v>3</v>
      </c>
    </row>
    <row r="3" spans="1:3" x14ac:dyDescent="0.25">
      <c r="A3" t="s">
        <v>355</v>
      </c>
      <c r="B3" t="s">
        <v>356</v>
      </c>
      <c r="C3" t="s">
        <v>357</v>
      </c>
    </row>
    <row r="4" spans="1:3" x14ac:dyDescent="0.25">
      <c r="A4">
        <v>12.31</v>
      </c>
      <c r="B4">
        <v>15.61</v>
      </c>
    </row>
    <row r="5" spans="1:3" x14ac:dyDescent="0.25">
      <c r="A5">
        <f>A4+0.39</f>
        <v>12.700000000000001</v>
      </c>
      <c r="B5">
        <f>B4+0.2</f>
        <v>15.809999999999999</v>
      </c>
    </row>
    <row r="6" spans="1:3" x14ac:dyDescent="0.25">
      <c r="A6">
        <f>A5+3</f>
        <v>15.700000000000001</v>
      </c>
      <c r="B6">
        <f>B5</f>
        <v>15.809999999999999</v>
      </c>
    </row>
    <row r="7" spans="1:3" x14ac:dyDescent="0.25">
      <c r="A7">
        <f>A6+6.3</f>
        <v>22</v>
      </c>
      <c r="B7">
        <v>13.71</v>
      </c>
    </row>
    <row r="8" spans="1:3" x14ac:dyDescent="0.25">
      <c r="A8">
        <f>28</f>
        <v>28</v>
      </c>
      <c r="B8">
        <f>B7</f>
        <v>13.71</v>
      </c>
    </row>
    <row r="9" spans="1:3" x14ac:dyDescent="0.25">
      <c r="A9">
        <f>A8+6.3</f>
        <v>34.299999999999997</v>
      </c>
      <c r="B9">
        <f>B8+2.1</f>
        <v>15.81</v>
      </c>
    </row>
    <row r="10" spans="1:3" x14ac:dyDescent="0.25">
      <c r="A10">
        <f>A9+3</f>
        <v>37.299999999999997</v>
      </c>
      <c r="B10">
        <f>B9</f>
        <v>15.81</v>
      </c>
    </row>
    <row r="11" spans="1:3" x14ac:dyDescent="0.25">
      <c r="A11">
        <f>A10+0.4</f>
        <v>37.699999999999996</v>
      </c>
      <c r="B11">
        <v>15.6</v>
      </c>
    </row>
    <row r="12" spans="1:3" x14ac:dyDescent="0.25">
      <c r="A12" t="s">
        <v>360</v>
      </c>
      <c r="B12" t="s">
        <v>361</v>
      </c>
      <c r="C12" t="s">
        <v>357</v>
      </c>
    </row>
    <row r="13" spans="1:3" x14ac:dyDescent="0.25">
      <c r="A13" t="s">
        <v>24</v>
      </c>
      <c r="B13" t="s">
        <v>362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C9"/>
  <sheetViews>
    <sheetView workbookViewId="0">
      <selection activeCell="B8" sqref="B8"/>
    </sheetView>
  </sheetViews>
  <sheetFormatPr defaultRowHeight="14" x14ac:dyDescent="0.25"/>
  <sheetData>
    <row r="1" spans="1:3" x14ac:dyDescent="0.25">
      <c r="A1" t="s">
        <v>363</v>
      </c>
    </row>
    <row r="2" spans="1:3" x14ac:dyDescent="0.25">
      <c r="A2" t="s">
        <v>1</v>
      </c>
      <c r="B2" t="s">
        <v>364</v>
      </c>
      <c r="C2" t="s">
        <v>3</v>
      </c>
    </row>
    <row r="3" spans="1:3" x14ac:dyDescent="0.25">
      <c r="A3" t="s">
        <v>365</v>
      </c>
      <c r="B3" t="s">
        <v>366</v>
      </c>
      <c r="C3" t="s">
        <v>357</v>
      </c>
    </row>
    <row r="4" spans="1:3" x14ac:dyDescent="0.25">
      <c r="A4">
        <v>15.7</v>
      </c>
      <c r="B4">
        <v>15.78</v>
      </c>
    </row>
    <row r="5" spans="1:3" x14ac:dyDescent="0.25">
      <c r="A5">
        <f>A4+6.3</f>
        <v>22</v>
      </c>
      <c r="B5">
        <v>13.68</v>
      </c>
    </row>
    <row r="6" spans="1:3" x14ac:dyDescent="0.25">
      <c r="A6">
        <v>28</v>
      </c>
      <c r="B6">
        <f>B5</f>
        <v>13.68</v>
      </c>
    </row>
    <row r="7" spans="1:3" x14ac:dyDescent="0.25">
      <c r="A7">
        <f>A6+6.51</f>
        <v>34.51</v>
      </c>
      <c r="B7">
        <v>15.85</v>
      </c>
    </row>
    <row r="8" spans="1:3" x14ac:dyDescent="0.25">
      <c r="A8" t="s">
        <v>367</v>
      </c>
      <c r="B8" t="s">
        <v>368</v>
      </c>
      <c r="C8" t="s">
        <v>357</v>
      </c>
    </row>
    <row r="9" spans="1:3" x14ac:dyDescent="0.25">
      <c r="A9" t="s">
        <v>24</v>
      </c>
      <c r="B9" t="s">
        <v>369</v>
      </c>
      <c r="C9" t="s">
        <v>26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C19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370</v>
      </c>
    </row>
    <row r="2" spans="1:3" x14ac:dyDescent="0.25">
      <c r="A2" t="s">
        <v>1</v>
      </c>
      <c r="B2" t="s">
        <v>371</v>
      </c>
      <c r="C2" t="s">
        <v>3</v>
      </c>
    </row>
    <row r="3" spans="1:3" x14ac:dyDescent="0.25">
      <c r="A3" t="s">
        <v>372</v>
      </c>
      <c r="B3" t="s">
        <v>373</v>
      </c>
      <c r="C3" t="s">
        <v>34</v>
      </c>
    </row>
    <row r="4" spans="1:3" x14ac:dyDescent="0.25">
      <c r="A4" t="s">
        <v>374</v>
      </c>
      <c r="B4" t="s">
        <v>375</v>
      </c>
      <c r="C4" t="s">
        <v>31</v>
      </c>
    </row>
    <row r="5" spans="1:3" x14ac:dyDescent="0.25">
      <c r="A5" t="s">
        <v>376</v>
      </c>
      <c r="B5" t="s">
        <v>377</v>
      </c>
      <c r="C5" t="s">
        <v>31</v>
      </c>
    </row>
    <row r="6" spans="1:3" x14ac:dyDescent="0.25">
      <c r="A6" t="s">
        <v>345</v>
      </c>
      <c r="B6" t="s">
        <v>378</v>
      </c>
      <c r="C6" t="s">
        <v>34</v>
      </c>
    </row>
    <row r="7" spans="1:3" x14ac:dyDescent="0.25">
      <c r="A7">
        <v>9.67</v>
      </c>
      <c r="B7">
        <v>17.760000000000002</v>
      </c>
    </row>
    <row r="8" spans="1:3" x14ac:dyDescent="0.25">
      <c r="A8">
        <f>A7+12.33</f>
        <v>22</v>
      </c>
      <c r="B8">
        <v>13.65</v>
      </c>
    </row>
    <row r="9" spans="1:3" x14ac:dyDescent="0.25">
      <c r="A9">
        <v>28</v>
      </c>
      <c r="B9">
        <f>B8</f>
        <v>13.65</v>
      </c>
    </row>
    <row r="10" spans="1:3" x14ac:dyDescent="0.25">
      <c r="A10">
        <f>A9+12.39</f>
        <v>40.39</v>
      </c>
      <c r="B10">
        <f>B9+4.11</f>
        <v>17.760000000000002</v>
      </c>
    </row>
    <row r="11" spans="1:3" x14ac:dyDescent="0.25">
      <c r="A11" t="s">
        <v>379</v>
      </c>
      <c r="B11" t="s">
        <v>380</v>
      </c>
      <c r="C11" t="s">
        <v>6</v>
      </c>
    </row>
    <row r="12" spans="1:3" x14ac:dyDescent="0.25">
      <c r="A12" t="s">
        <v>381</v>
      </c>
      <c r="B12" t="s">
        <v>382</v>
      </c>
      <c r="C12" t="s">
        <v>6</v>
      </c>
    </row>
    <row r="13" spans="1:3" x14ac:dyDescent="0.25">
      <c r="A13" t="s">
        <v>383</v>
      </c>
      <c r="B13" t="s">
        <v>384</v>
      </c>
      <c r="C13" t="s">
        <v>6</v>
      </c>
    </row>
    <row r="14" spans="1:3" x14ac:dyDescent="0.25">
      <c r="A14" t="s">
        <v>385</v>
      </c>
      <c r="B14" t="s">
        <v>386</v>
      </c>
      <c r="C14" t="s">
        <v>6</v>
      </c>
    </row>
    <row r="15" spans="1:3" x14ac:dyDescent="0.25">
      <c r="A15" t="s">
        <v>387</v>
      </c>
      <c r="B15" t="s">
        <v>388</v>
      </c>
      <c r="C15" t="s">
        <v>6</v>
      </c>
    </row>
    <row r="16" spans="1:3" x14ac:dyDescent="0.25">
      <c r="A16" t="s">
        <v>389</v>
      </c>
      <c r="B16" t="s">
        <v>390</v>
      </c>
      <c r="C16" t="s">
        <v>6</v>
      </c>
    </row>
    <row r="17" spans="1:3" x14ac:dyDescent="0.25">
      <c r="A17" t="s">
        <v>391</v>
      </c>
      <c r="B17" t="s">
        <v>392</v>
      </c>
      <c r="C17" t="s">
        <v>155</v>
      </c>
    </row>
    <row r="18" spans="1:3" x14ac:dyDescent="0.25">
      <c r="A18" t="s">
        <v>393</v>
      </c>
      <c r="B18" t="s">
        <v>394</v>
      </c>
      <c r="C18" t="s">
        <v>155</v>
      </c>
    </row>
    <row r="19" spans="1:3" x14ac:dyDescent="0.25">
      <c r="A19" t="s">
        <v>24</v>
      </c>
      <c r="B19" t="s">
        <v>395</v>
      </c>
      <c r="C19" t="s">
        <v>26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C10"/>
  <sheetViews>
    <sheetView zoomScale="145" zoomScaleNormal="145" workbookViewId="0">
      <selection activeCell="C17" sqref="C17"/>
    </sheetView>
  </sheetViews>
  <sheetFormatPr defaultRowHeight="14" x14ac:dyDescent="0.25"/>
  <sheetData>
    <row r="1" spans="1:3" x14ac:dyDescent="0.25">
      <c r="A1" t="s">
        <v>396</v>
      </c>
    </row>
    <row r="2" spans="1:3" x14ac:dyDescent="0.25">
      <c r="A2" t="s">
        <v>1</v>
      </c>
      <c r="B2" t="s">
        <v>397</v>
      </c>
      <c r="C2" t="s">
        <v>3</v>
      </c>
    </row>
    <row r="3" spans="1:3" x14ac:dyDescent="0.25">
      <c r="A3" t="s">
        <v>398</v>
      </c>
      <c r="B3" t="s">
        <v>217</v>
      </c>
      <c r="C3" t="s">
        <v>6</v>
      </c>
    </row>
    <row r="4" spans="1:3" x14ac:dyDescent="0.25">
      <c r="A4" t="s">
        <v>399</v>
      </c>
      <c r="B4" t="s">
        <v>400</v>
      </c>
      <c r="C4" t="s">
        <v>31</v>
      </c>
    </row>
    <row r="5" spans="1:3" x14ac:dyDescent="0.25">
      <c r="A5">
        <f>A4+4.82</f>
        <v>11.18</v>
      </c>
      <c r="B5">
        <f>B4+0.09</f>
        <v>17.251999999999999</v>
      </c>
    </row>
    <row r="6" spans="1:3" x14ac:dyDescent="0.25">
      <c r="A6">
        <f>A5+9.99</f>
        <v>21.17</v>
      </c>
      <c r="B6">
        <v>13.62</v>
      </c>
    </row>
    <row r="7" spans="1:3" x14ac:dyDescent="0.25">
      <c r="A7">
        <f>A6+6</f>
        <v>27.17</v>
      </c>
      <c r="B7">
        <f>B6</f>
        <v>13.62</v>
      </c>
    </row>
    <row r="8" spans="1:3" x14ac:dyDescent="0.25">
      <c r="A8">
        <f>A7+10.33</f>
        <v>37.5</v>
      </c>
      <c r="B8" t="str">
        <f>B9</f>
        <v>17.061</v>
      </c>
    </row>
    <row r="9" spans="1:3" x14ac:dyDescent="0.25">
      <c r="A9" t="s">
        <v>402</v>
      </c>
      <c r="B9" t="s">
        <v>403</v>
      </c>
      <c r="C9" t="s">
        <v>357</v>
      </c>
    </row>
    <row r="10" spans="1:3" x14ac:dyDescent="0.25">
      <c r="A10" t="s">
        <v>24</v>
      </c>
      <c r="B10" t="s">
        <v>404</v>
      </c>
      <c r="C10" t="s">
        <v>26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C10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405</v>
      </c>
    </row>
    <row r="2" spans="1:3" x14ac:dyDescent="0.25">
      <c r="A2" t="s">
        <v>1</v>
      </c>
      <c r="B2" t="s">
        <v>406</v>
      </c>
      <c r="C2" t="s">
        <v>3</v>
      </c>
    </row>
    <row r="3" spans="1:3" x14ac:dyDescent="0.25">
      <c r="A3" t="s">
        <v>407</v>
      </c>
      <c r="B3" t="s">
        <v>408</v>
      </c>
      <c r="C3" t="s">
        <v>409</v>
      </c>
    </row>
    <row r="4" spans="1:3" x14ac:dyDescent="0.25">
      <c r="A4">
        <v>10.93</v>
      </c>
      <c r="B4">
        <v>15.68</v>
      </c>
    </row>
    <row r="5" spans="1:3" x14ac:dyDescent="0.25">
      <c r="A5">
        <f>A4+4.77</f>
        <v>15.7</v>
      </c>
      <c r="B5">
        <f>B4</f>
        <v>15.68</v>
      </c>
    </row>
    <row r="6" spans="1:3" x14ac:dyDescent="0.25">
      <c r="A6">
        <f>A5+6.3</f>
        <v>22</v>
      </c>
      <c r="B6">
        <v>13.58</v>
      </c>
    </row>
    <row r="7" spans="1:3" x14ac:dyDescent="0.25">
      <c r="A7">
        <v>28</v>
      </c>
      <c r="B7">
        <f>B6</f>
        <v>13.58</v>
      </c>
    </row>
    <row r="8" spans="1:3" x14ac:dyDescent="0.25">
      <c r="A8">
        <f>A7+9.84</f>
        <v>37.840000000000003</v>
      </c>
      <c r="B8">
        <v>16.86</v>
      </c>
    </row>
    <row r="9" spans="1:3" x14ac:dyDescent="0.25">
      <c r="A9" t="s">
        <v>413</v>
      </c>
      <c r="B9" t="s">
        <v>414</v>
      </c>
      <c r="C9" t="s">
        <v>357</v>
      </c>
    </row>
    <row r="10" spans="1:3" x14ac:dyDescent="0.25">
      <c r="A10" t="s">
        <v>24</v>
      </c>
      <c r="B10" t="s">
        <v>415</v>
      </c>
      <c r="C10" t="s">
        <v>26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416</v>
      </c>
    </row>
    <row r="2" spans="1:3" x14ac:dyDescent="0.25">
      <c r="A2" t="s">
        <v>1</v>
      </c>
      <c r="B2" t="s">
        <v>417</v>
      </c>
      <c r="C2" t="s">
        <v>3</v>
      </c>
    </row>
    <row r="3" spans="1:3" x14ac:dyDescent="0.25">
      <c r="A3" t="s">
        <v>418</v>
      </c>
      <c r="B3" t="s">
        <v>419</v>
      </c>
      <c r="C3" t="s">
        <v>409</v>
      </c>
    </row>
    <row r="4" spans="1:3" x14ac:dyDescent="0.25">
      <c r="A4">
        <v>12.53</v>
      </c>
      <c r="B4">
        <v>15.65</v>
      </c>
    </row>
    <row r="5" spans="1:3" x14ac:dyDescent="0.25">
      <c r="A5">
        <f>A4+3.17</f>
        <v>15.7</v>
      </c>
      <c r="B5">
        <f>B4</f>
        <v>15.65</v>
      </c>
    </row>
    <row r="6" spans="1:3" x14ac:dyDescent="0.25">
      <c r="A6">
        <f>A5+6.3</f>
        <v>22</v>
      </c>
      <c r="B6">
        <v>13.55</v>
      </c>
    </row>
    <row r="7" spans="1:3" x14ac:dyDescent="0.25">
      <c r="A7">
        <f>A6+6</f>
        <v>28</v>
      </c>
      <c r="B7">
        <f>B6</f>
        <v>13.55</v>
      </c>
    </row>
    <row r="8" spans="1:3" x14ac:dyDescent="0.25">
      <c r="A8">
        <f>A7+8.16</f>
        <v>36.159999999999997</v>
      </c>
      <c r="B8">
        <v>16.25</v>
      </c>
    </row>
    <row r="9" spans="1:3" x14ac:dyDescent="0.25">
      <c r="A9" t="s">
        <v>422</v>
      </c>
      <c r="B9" t="s">
        <v>316</v>
      </c>
      <c r="C9" t="s">
        <v>6</v>
      </c>
    </row>
    <row r="10" spans="1:3" x14ac:dyDescent="0.25">
      <c r="A10" t="s">
        <v>423</v>
      </c>
      <c r="B10" t="s">
        <v>424</v>
      </c>
      <c r="C10" t="s">
        <v>6</v>
      </c>
    </row>
    <row r="11" spans="1:3" x14ac:dyDescent="0.25">
      <c r="A11" t="s">
        <v>24</v>
      </c>
      <c r="B11" t="s">
        <v>313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C9"/>
  <sheetViews>
    <sheetView workbookViewId="0">
      <selection activeCell="C11" sqref="C11"/>
    </sheetView>
  </sheetViews>
  <sheetFormatPr defaultRowHeight="14" x14ac:dyDescent="0.25"/>
  <sheetData>
    <row r="1" spans="1:3" x14ac:dyDescent="0.25">
      <c r="A1" t="s">
        <v>425</v>
      </c>
    </row>
    <row r="2" spans="1:3" x14ac:dyDescent="0.25">
      <c r="A2" t="s">
        <v>1</v>
      </c>
      <c r="B2" t="s">
        <v>426</v>
      </c>
      <c r="C2" t="s">
        <v>3</v>
      </c>
    </row>
    <row r="3" spans="1:3" x14ac:dyDescent="0.25">
      <c r="A3" t="s">
        <v>427</v>
      </c>
      <c r="B3" t="s">
        <v>428</v>
      </c>
      <c r="C3" t="s">
        <v>31</v>
      </c>
    </row>
    <row r="4" spans="1:3" x14ac:dyDescent="0.25">
      <c r="A4" t="s">
        <v>429</v>
      </c>
      <c r="B4" t="s">
        <v>430</v>
      </c>
      <c r="C4" t="s">
        <v>34</v>
      </c>
    </row>
    <row r="5" spans="1:3" x14ac:dyDescent="0.25">
      <c r="A5">
        <v>11.24</v>
      </c>
      <c r="B5">
        <v>17.09</v>
      </c>
    </row>
    <row r="6" spans="1:3" x14ac:dyDescent="0.25">
      <c r="A6">
        <f>A5+10.72</f>
        <v>21.96</v>
      </c>
      <c r="B6">
        <v>13.52</v>
      </c>
    </row>
    <row r="7" spans="1:3" x14ac:dyDescent="0.25">
      <c r="A7">
        <f>A6+6</f>
        <v>27.96</v>
      </c>
      <c r="B7">
        <f>B6</f>
        <v>13.52</v>
      </c>
    </row>
    <row r="8" spans="1:3" x14ac:dyDescent="0.25">
      <c r="A8" t="s">
        <v>431</v>
      </c>
      <c r="B8" t="s">
        <v>432</v>
      </c>
      <c r="C8" t="s">
        <v>6</v>
      </c>
    </row>
    <row r="9" spans="1:3" x14ac:dyDescent="0.25">
      <c r="A9" t="s">
        <v>24</v>
      </c>
      <c r="B9" t="s">
        <v>433</v>
      </c>
      <c r="C9" t="s">
        <v>26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C10"/>
  <sheetViews>
    <sheetView workbookViewId="0">
      <selection activeCell="D15" sqref="D15"/>
    </sheetView>
  </sheetViews>
  <sheetFormatPr defaultRowHeight="14" x14ac:dyDescent="0.25"/>
  <sheetData>
    <row r="1" spans="1:3" x14ac:dyDescent="0.25">
      <c r="A1" t="s">
        <v>434</v>
      </c>
    </row>
    <row r="2" spans="1:3" x14ac:dyDescent="0.25">
      <c r="A2" t="s">
        <v>1</v>
      </c>
      <c r="B2" t="s">
        <v>435</v>
      </c>
      <c r="C2" t="s">
        <v>3</v>
      </c>
    </row>
    <row r="3" spans="1:3" x14ac:dyDescent="0.25">
      <c r="A3" t="s">
        <v>436</v>
      </c>
      <c r="B3" t="s">
        <v>437</v>
      </c>
      <c r="C3" t="s">
        <v>409</v>
      </c>
    </row>
    <row r="4" spans="1:3" x14ac:dyDescent="0.25">
      <c r="A4" t="s">
        <v>438</v>
      </c>
      <c r="B4" t="s">
        <v>439</v>
      </c>
      <c r="C4" t="s">
        <v>411</v>
      </c>
    </row>
    <row r="5" spans="1:3" x14ac:dyDescent="0.25">
      <c r="A5">
        <v>14.41</v>
      </c>
      <c r="B5">
        <v>16.02</v>
      </c>
    </row>
    <row r="6" spans="1:3" x14ac:dyDescent="0.25">
      <c r="A6">
        <f>A5+7.59</f>
        <v>22</v>
      </c>
      <c r="B6">
        <v>13.49</v>
      </c>
    </row>
    <row r="7" spans="1:3" x14ac:dyDescent="0.25">
      <c r="A7">
        <v>28</v>
      </c>
      <c r="B7">
        <f>B6</f>
        <v>13.49</v>
      </c>
    </row>
    <row r="8" spans="1:3" x14ac:dyDescent="0.25">
      <c r="A8">
        <f>A7+10.98</f>
        <v>38.980000000000004</v>
      </c>
      <c r="B8">
        <v>17.16</v>
      </c>
    </row>
    <row r="9" spans="1:3" x14ac:dyDescent="0.25">
      <c r="A9" t="s">
        <v>441</v>
      </c>
      <c r="B9" t="s">
        <v>397</v>
      </c>
      <c r="C9" t="s">
        <v>68</v>
      </c>
    </row>
    <row r="10" spans="1:3" x14ac:dyDescent="0.25">
      <c r="A10" t="s">
        <v>24</v>
      </c>
      <c r="B10" t="s">
        <v>442</v>
      </c>
      <c r="C10" t="s">
        <v>26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C12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443</v>
      </c>
    </row>
    <row r="2" spans="1:3" x14ac:dyDescent="0.25">
      <c r="A2" t="s">
        <v>1</v>
      </c>
      <c r="B2" t="s">
        <v>444</v>
      </c>
      <c r="C2" t="s">
        <v>3</v>
      </c>
    </row>
    <row r="3" spans="1:3" x14ac:dyDescent="0.25">
      <c r="A3" t="s">
        <v>445</v>
      </c>
      <c r="B3" t="s">
        <v>446</v>
      </c>
      <c r="C3" t="s">
        <v>6</v>
      </c>
    </row>
    <row r="4" spans="1:3" x14ac:dyDescent="0.25">
      <c r="A4" t="s">
        <v>447</v>
      </c>
      <c r="B4" t="s">
        <v>448</v>
      </c>
      <c r="C4" t="s">
        <v>31</v>
      </c>
    </row>
    <row r="5" spans="1:3" x14ac:dyDescent="0.25">
      <c r="A5" t="s">
        <v>449</v>
      </c>
      <c r="B5" t="s">
        <v>450</v>
      </c>
      <c r="C5" t="s">
        <v>31</v>
      </c>
    </row>
    <row r="6" spans="1:3" x14ac:dyDescent="0.25">
      <c r="A6" t="s">
        <v>451</v>
      </c>
      <c r="B6" t="s">
        <v>452</v>
      </c>
      <c r="C6" t="s">
        <v>34</v>
      </c>
    </row>
    <row r="7" spans="1:3" x14ac:dyDescent="0.25">
      <c r="A7">
        <v>12.72</v>
      </c>
      <c r="B7">
        <v>16.54</v>
      </c>
    </row>
    <row r="8" spans="1:3" x14ac:dyDescent="0.25">
      <c r="A8">
        <f>A7+9.28</f>
        <v>22</v>
      </c>
      <c r="B8">
        <v>13.45</v>
      </c>
    </row>
    <row r="9" spans="1:3" x14ac:dyDescent="0.25">
      <c r="A9">
        <v>28</v>
      </c>
      <c r="B9">
        <f>B8</f>
        <v>13.45</v>
      </c>
    </row>
    <row r="10" spans="1:3" x14ac:dyDescent="0.25">
      <c r="A10">
        <f>A9+10.86</f>
        <v>38.86</v>
      </c>
      <c r="B10">
        <f>B9+3.09+0.53</f>
        <v>17.07</v>
      </c>
    </row>
    <row r="11" spans="1:3" x14ac:dyDescent="0.25">
      <c r="A11" t="s">
        <v>454</v>
      </c>
      <c r="B11" t="s">
        <v>455</v>
      </c>
      <c r="C11" t="s">
        <v>68</v>
      </c>
    </row>
    <row r="12" spans="1:3" x14ac:dyDescent="0.25">
      <c r="A12" t="s">
        <v>24</v>
      </c>
      <c r="B12" t="s">
        <v>456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C10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457</v>
      </c>
    </row>
    <row r="2" spans="1:3" x14ac:dyDescent="0.25">
      <c r="A2" t="s">
        <v>1</v>
      </c>
      <c r="B2" t="s">
        <v>458</v>
      </c>
      <c r="C2" t="s">
        <v>3</v>
      </c>
    </row>
    <row r="3" spans="1:3" x14ac:dyDescent="0.25">
      <c r="A3" t="s">
        <v>459</v>
      </c>
      <c r="B3" t="s">
        <v>460</v>
      </c>
      <c r="C3" t="s">
        <v>409</v>
      </c>
    </row>
    <row r="4" spans="1:3" x14ac:dyDescent="0.25">
      <c r="A4" t="s">
        <v>461</v>
      </c>
      <c r="B4" t="s">
        <v>462</v>
      </c>
      <c r="C4" t="s">
        <v>411</v>
      </c>
    </row>
    <row r="5" spans="1:3" x14ac:dyDescent="0.25">
      <c r="A5">
        <v>13.58</v>
      </c>
      <c r="B5">
        <v>16.23</v>
      </c>
    </row>
    <row r="6" spans="1:3" x14ac:dyDescent="0.25">
      <c r="A6">
        <f>A5+8.42</f>
        <v>22</v>
      </c>
      <c r="B6">
        <v>13.42</v>
      </c>
    </row>
    <row r="7" spans="1:3" x14ac:dyDescent="0.25">
      <c r="A7">
        <v>28</v>
      </c>
      <c r="B7">
        <f>B6</f>
        <v>13.42</v>
      </c>
    </row>
    <row r="8" spans="1:3" x14ac:dyDescent="0.25">
      <c r="A8">
        <f>A7+13.1</f>
        <v>41.1</v>
      </c>
      <c r="B8">
        <f>B7+2.81+1.56</f>
        <v>17.79</v>
      </c>
    </row>
    <row r="9" spans="1:3" x14ac:dyDescent="0.25">
      <c r="A9" t="s">
        <v>463</v>
      </c>
      <c r="B9" t="s">
        <v>464</v>
      </c>
      <c r="C9" t="s">
        <v>68</v>
      </c>
    </row>
    <row r="10" spans="1:3" x14ac:dyDescent="0.25">
      <c r="A10" t="s">
        <v>24</v>
      </c>
      <c r="B10" t="s">
        <v>465</v>
      </c>
      <c r="C10" t="s">
        <v>26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50</v>
      </c>
    </row>
    <row r="2" spans="1:3" x14ac:dyDescent="0.25">
      <c r="A2" t="s">
        <v>1</v>
      </c>
      <c r="B2" t="s">
        <v>51</v>
      </c>
      <c r="C2" t="s">
        <v>3</v>
      </c>
    </row>
    <row r="3" spans="1:3" x14ac:dyDescent="0.25">
      <c r="A3" t="s">
        <v>52</v>
      </c>
      <c r="B3" t="s">
        <v>53</v>
      </c>
      <c r="C3" t="s">
        <v>31</v>
      </c>
    </row>
    <row r="4" spans="1:3" x14ac:dyDescent="0.25">
      <c r="A4" t="s">
        <v>54</v>
      </c>
      <c r="B4" t="s">
        <v>55</v>
      </c>
      <c r="C4" t="s">
        <v>34</v>
      </c>
    </row>
    <row r="5" spans="1:3" x14ac:dyDescent="0.25">
      <c r="A5" t="s">
        <v>56</v>
      </c>
      <c r="B5" t="s">
        <v>57</v>
      </c>
      <c r="C5" t="s">
        <v>6</v>
      </c>
    </row>
    <row r="6" spans="1:3" x14ac:dyDescent="0.25">
      <c r="A6" t="s">
        <v>58</v>
      </c>
      <c r="B6" t="s">
        <v>59</v>
      </c>
      <c r="C6" t="s">
        <v>6</v>
      </c>
    </row>
    <row r="7" spans="1:3" x14ac:dyDescent="0.25">
      <c r="A7" t="s">
        <v>60</v>
      </c>
      <c r="B7" t="s">
        <v>61</v>
      </c>
      <c r="C7" t="s">
        <v>6</v>
      </c>
    </row>
    <row r="8" spans="1:3" x14ac:dyDescent="0.25">
      <c r="A8" t="s">
        <v>62</v>
      </c>
      <c r="B8" t="s">
        <v>63</v>
      </c>
      <c r="C8" t="s">
        <v>6</v>
      </c>
    </row>
    <row r="9" spans="1:3" x14ac:dyDescent="0.25">
      <c r="A9" t="s">
        <v>64</v>
      </c>
      <c r="B9" t="s">
        <v>65</v>
      </c>
      <c r="C9" t="s">
        <v>6</v>
      </c>
    </row>
    <row r="10" spans="1:3" x14ac:dyDescent="0.25">
      <c r="A10" t="s">
        <v>66</v>
      </c>
      <c r="B10" t="s">
        <v>67</v>
      </c>
      <c r="C10" t="s">
        <v>6</v>
      </c>
    </row>
    <row r="11" spans="1:3" x14ac:dyDescent="0.25">
      <c r="A11">
        <v>21.97</v>
      </c>
      <c r="B11">
        <v>15.97</v>
      </c>
    </row>
    <row r="12" spans="1:3" x14ac:dyDescent="0.25">
      <c r="A12">
        <f>A11+5.1</f>
        <v>27.07</v>
      </c>
      <c r="B12">
        <v>14.27</v>
      </c>
    </row>
    <row r="13" spans="1:3" x14ac:dyDescent="0.25">
      <c r="A13">
        <f>A12+2.5</f>
        <v>29.57</v>
      </c>
      <c r="B13">
        <f>B12</f>
        <v>14.27</v>
      </c>
    </row>
    <row r="14" spans="1:3" x14ac:dyDescent="0.25">
      <c r="A14">
        <f>A13+5.17</f>
        <v>34.74</v>
      </c>
      <c r="B14">
        <f>B13+5.17/3</f>
        <v>15.993333333333332</v>
      </c>
    </row>
    <row r="15" spans="1:3" x14ac:dyDescent="0.25">
      <c r="A15" t="s">
        <v>69</v>
      </c>
      <c r="B15" t="s">
        <v>70</v>
      </c>
      <c r="C15" t="s">
        <v>68</v>
      </c>
    </row>
    <row r="16" spans="1:3" x14ac:dyDescent="0.25">
      <c r="A16" t="s">
        <v>71</v>
      </c>
      <c r="B16" t="s">
        <v>72</v>
      </c>
      <c r="C16" t="s">
        <v>6</v>
      </c>
    </row>
    <row r="17" spans="1:3" x14ac:dyDescent="0.25">
      <c r="A17" t="s">
        <v>73</v>
      </c>
      <c r="B17" t="s">
        <v>74</v>
      </c>
      <c r="C17" t="s">
        <v>6</v>
      </c>
    </row>
    <row r="18" spans="1:3" x14ac:dyDescent="0.25">
      <c r="A18" t="s">
        <v>75</v>
      </c>
      <c r="B18" t="s">
        <v>76</v>
      </c>
      <c r="C18" t="s">
        <v>6</v>
      </c>
    </row>
    <row r="19" spans="1:3" x14ac:dyDescent="0.25">
      <c r="A19" t="s">
        <v>77</v>
      </c>
      <c r="B19" t="s">
        <v>78</v>
      </c>
      <c r="C19" t="s">
        <v>6</v>
      </c>
    </row>
    <row r="20" spans="1:3" x14ac:dyDescent="0.25">
      <c r="A20" t="s">
        <v>24</v>
      </c>
      <c r="B20" t="s">
        <v>79</v>
      </c>
      <c r="C20" t="s">
        <v>26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C15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466</v>
      </c>
    </row>
    <row r="2" spans="1:3" x14ac:dyDescent="0.25">
      <c r="A2" t="s">
        <v>1</v>
      </c>
      <c r="B2" t="s">
        <v>467</v>
      </c>
      <c r="C2" t="s">
        <v>3</v>
      </c>
    </row>
    <row r="3" spans="1:3" x14ac:dyDescent="0.25">
      <c r="A3" t="s">
        <v>468</v>
      </c>
      <c r="B3" t="s">
        <v>469</v>
      </c>
      <c r="C3" t="s">
        <v>34</v>
      </c>
    </row>
    <row r="4" spans="1:3" x14ac:dyDescent="0.25">
      <c r="A4" t="s">
        <v>470</v>
      </c>
      <c r="B4" t="s">
        <v>471</v>
      </c>
      <c r="C4" t="s">
        <v>31</v>
      </c>
    </row>
    <row r="5" spans="1:3" x14ac:dyDescent="0.25">
      <c r="A5" t="s">
        <v>472</v>
      </c>
      <c r="B5" t="s">
        <v>473</v>
      </c>
      <c r="C5" t="s">
        <v>31</v>
      </c>
    </row>
    <row r="6" spans="1:3" x14ac:dyDescent="0.25">
      <c r="A6" t="s">
        <v>474</v>
      </c>
      <c r="B6" t="s">
        <v>475</v>
      </c>
      <c r="C6" t="s">
        <v>34</v>
      </c>
    </row>
    <row r="7" spans="1:3" x14ac:dyDescent="0.25">
      <c r="A7" t="s">
        <v>476</v>
      </c>
      <c r="B7" t="s">
        <v>477</v>
      </c>
      <c r="C7" t="s">
        <v>31</v>
      </c>
    </row>
    <row r="8" spans="1:3" x14ac:dyDescent="0.25">
      <c r="A8">
        <v>8.09</v>
      </c>
      <c r="B8">
        <v>16</v>
      </c>
    </row>
    <row r="9" spans="1:3" x14ac:dyDescent="0.25">
      <c r="A9">
        <f>A8+6.08</f>
        <v>14.17</v>
      </c>
      <c r="B9">
        <f>B8</f>
        <v>16</v>
      </c>
    </row>
    <row r="10" spans="1:3" x14ac:dyDescent="0.25">
      <c r="A10">
        <f>A9+7.83</f>
        <v>22</v>
      </c>
      <c r="B10">
        <v>13.39</v>
      </c>
    </row>
    <row r="11" spans="1:3" x14ac:dyDescent="0.25">
      <c r="A11">
        <v>28</v>
      </c>
      <c r="B11">
        <f>B10</f>
        <v>13.39</v>
      </c>
    </row>
    <row r="12" spans="1:3" x14ac:dyDescent="0.25">
      <c r="A12">
        <f>A11+8.85</f>
        <v>36.85</v>
      </c>
      <c r="B12">
        <f>B11+2.95</f>
        <v>16.34</v>
      </c>
    </row>
    <row r="13" spans="1:3" x14ac:dyDescent="0.25">
      <c r="A13">
        <f>A12+4.93</f>
        <v>41.78</v>
      </c>
      <c r="B13">
        <f>B12-0.24</f>
        <v>16.100000000000001</v>
      </c>
    </row>
    <row r="14" spans="1:3" x14ac:dyDescent="0.25">
      <c r="A14" t="s">
        <v>482</v>
      </c>
      <c r="B14" t="s">
        <v>483</v>
      </c>
      <c r="C14" t="s">
        <v>6</v>
      </c>
    </row>
    <row r="15" spans="1:3" x14ac:dyDescent="0.25">
      <c r="A15" t="s">
        <v>24</v>
      </c>
      <c r="B15" t="s">
        <v>484</v>
      </c>
      <c r="C15" t="s">
        <v>26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C17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485</v>
      </c>
    </row>
    <row r="2" spans="1:3" x14ac:dyDescent="0.25">
      <c r="A2" t="s">
        <v>1</v>
      </c>
      <c r="B2" t="s">
        <v>486</v>
      </c>
      <c r="C2" t="s">
        <v>3</v>
      </c>
    </row>
    <row r="3" spans="1:3" x14ac:dyDescent="0.25">
      <c r="A3" t="s">
        <v>487</v>
      </c>
      <c r="B3" t="s">
        <v>488</v>
      </c>
      <c r="C3" t="s">
        <v>31</v>
      </c>
    </row>
    <row r="4" spans="1:3" x14ac:dyDescent="0.25">
      <c r="A4" t="s">
        <v>489</v>
      </c>
      <c r="B4" t="s">
        <v>490</v>
      </c>
      <c r="C4" t="s">
        <v>34</v>
      </c>
    </row>
    <row r="5" spans="1:3" x14ac:dyDescent="0.25">
      <c r="A5" t="s">
        <v>491</v>
      </c>
      <c r="B5" t="s">
        <v>326</v>
      </c>
      <c r="C5" t="s">
        <v>6</v>
      </c>
    </row>
    <row r="6" spans="1:3" x14ac:dyDescent="0.25">
      <c r="A6" t="s">
        <v>492</v>
      </c>
      <c r="B6" t="s">
        <v>493</v>
      </c>
      <c r="C6" t="s">
        <v>409</v>
      </c>
    </row>
    <row r="7" spans="1:3" x14ac:dyDescent="0.25">
      <c r="A7">
        <v>13.88</v>
      </c>
      <c r="B7">
        <v>16.100000000000001</v>
      </c>
    </row>
    <row r="8" spans="1:3" x14ac:dyDescent="0.25">
      <c r="A8">
        <f>A7+1.82</f>
        <v>15.700000000000001</v>
      </c>
      <c r="B8">
        <f>B7</f>
        <v>16.100000000000001</v>
      </c>
    </row>
    <row r="9" spans="1:3" x14ac:dyDescent="0.25">
      <c r="A9">
        <f>A8+6.3</f>
        <v>22</v>
      </c>
      <c r="B9">
        <v>14.04</v>
      </c>
    </row>
    <row r="10" spans="1:3" x14ac:dyDescent="0.25">
      <c r="A10">
        <f>A9+6</f>
        <v>28</v>
      </c>
      <c r="B10">
        <f>B9</f>
        <v>14.04</v>
      </c>
    </row>
    <row r="11" spans="1:3" x14ac:dyDescent="0.25">
      <c r="A11">
        <f>A10+9.6</f>
        <v>37.6</v>
      </c>
      <c r="B11">
        <f>B10+3.2</f>
        <v>17.239999999999998</v>
      </c>
    </row>
    <row r="12" spans="1:3" x14ac:dyDescent="0.25">
      <c r="A12" t="s">
        <v>496</v>
      </c>
      <c r="B12" t="s">
        <v>497</v>
      </c>
      <c r="C12" t="s">
        <v>68</v>
      </c>
    </row>
    <row r="13" spans="1:3" x14ac:dyDescent="0.25">
      <c r="A13" t="s">
        <v>498</v>
      </c>
      <c r="B13" t="s">
        <v>499</v>
      </c>
      <c r="C13" t="s">
        <v>34</v>
      </c>
    </row>
    <row r="14" spans="1:3" x14ac:dyDescent="0.25">
      <c r="A14" t="s">
        <v>500</v>
      </c>
      <c r="B14" t="s">
        <v>501</v>
      </c>
      <c r="C14" t="s">
        <v>31</v>
      </c>
    </row>
    <row r="15" spans="1:3" x14ac:dyDescent="0.25">
      <c r="A15" t="s">
        <v>502</v>
      </c>
      <c r="B15" t="s">
        <v>503</v>
      </c>
      <c r="C15" t="s">
        <v>31</v>
      </c>
    </row>
    <row r="16" spans="1:3" x14ac:dyDescent="0.25">
      <c r="A16" t="s">
        <v>504</v>
      </c>
      <c r="B16" t="s">
        <v>505</v>
      </c>
      <c r="C16" t="s">
        <v>34</v>
      </c>
    </row>
    <row r="17" spans="1:3" x14ac:dyDescent="0.25">
      <c r="A17" t="s">
        <v>24</v>
      </c>
      <c r="B17" t="s">
        <v>506</v>
      </c>
      <c r="C17" t="s">
        <v>26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C18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507</v>
      </c>
    </row>
    <row r="2" spans="1:3" x14ac:dyDescent="0.25">
      <c r="A2" t="s">
        <v>1</v>
      </c>
      <c r="B2" t="s">
        <v>508</v>
      </c>
      <c r="C2" t="s">
        <v>3</v>
      </c>
    </row>
    <row r="3" spans="1:3" x14ac:dyDescent="0.25">
      <c r="A3" t="s">
        <v>509</v>
      </c>
      <c r="B3" t="s">
        <v>510</v>
      </c>
      <c r="C3" t="s">
        <v>6</v>
      </c>
    </row>
    <row r="4" spans="1:3" x14ac:dyDescent="0.25">
      <c r="A4" t="s">
        <v>511</v>
      </c>
      <c r="B4" t="s">
        <v>512</v>
      </c>
      <c r="C4" t="s">
        <v>34</v>
      </c>
    </row>
    <row r="5" spans="1:3" x14ac:dyDescent="0.25">
      <c r="A5" t="s">
        <v>513</v>
      </c>
      <c r="B5" t="s">
        <v>514</v>
      </c>
      <c r="C5" t="s">
        <v>31</v>
      </c>
    </row>
    <row r="6" spans="1:3" x14ac:dyDescent="0.25">
      <c r="A6" t="s">
        <v>515</v>
      </c>
      <c r="B6" t="s">
        <v>516</v>
      </c>
      <c r="C6" t="s">
        <v>31</v>
      </c>
    </row>
    <row r="7" spans="1:3" x14ac:dyDescent="0.25">
      <c r="A7" t="s">
        <v>517</v>
      </c>
      <c r="B7" t="s">
        <v>518</v>
      </c>
      <c r="C7" t="s">
        <v>34</v>
      </c>
    </row>
    <row r="8" spans="1:3" x14ac:dyDescent="0.25">
      <c r="A8" t="s">
        <v>519</v>
      </c>
      <c r="B8" t="s">
        <v>520</v>
      </c>
      <c r="C8" t="s">
        <v>34</v>
      </c>
    </row>
    <row r="9" spans="1:3" x14ac:dyDescent="0.25">
      <c r="A9" t="s">
        <v>521</v>
      </c>
      <c r="B9" t="s">
        <v>412</v>
      </c>
      <c r="C9" t="s">
        <v>31</v>
      </c>
    </row>
    <row r="10" spans="1:3" x14ac:dyDescent="0.25">
      <c r="A10" t="s">
        <v>522</v>
      </c>
      <c r="B10" t="s">
        <v>424</v>
      </c>
      <c r="C10" t="s">
        <v>31</v>
      </c>
    </row>
    <row r="11" spans="1:3" x14ac:dyDescent="0.25">
      <c r="A11" t="s">
        <v>523</v>
      </c>
      <c r="B11" t="s">
        <v>524</v>
      </c>
      <c r="C11" t="s">
        <v>34</v>
      </c>
    </row>
    <row r="12" spans="1:3" x14ac:dyDescent="0.25">
      <c r="A12">
        <v>15.19</v>
      </c>
      <c r="B12">
        <v>15.59</v>
      </c>
    </row>
    <row r="13" spans="1:3" x14ac:dyDescent="0.25">
      <c r="A13">
        <f>A12+6.81</f>
        <v>22</v>
      </c>
      <c r="B13">
        <v>13.32</v>
      </c>
    </row>
    <row r="14" spans="1:3" x14ac:dyDescent="0.25">
      <c r="A14">
        <v>28</v>
      </c>
      <c r="B14">
        <f>B13</f>
        <v>13.32</v>
      </c>
    </row>
    <row r="15" spans="1:3" x14ac:dyDescent="0.25">
      <c r="A15">
        <f>A14+10.4</f>
        <v>38.4</v>
      </c>
      <c r="B15">
        <f>B14+3.47</f>
        <v>16.79</v>
      </c>
    </row>
    <row r="16" spans="1:3" x14ac:dyDescent="0.25">
      <c r="A16">
        <f>A15+3.35</f>
        <v>41.75</v>
      </c>
      <c r="B16">
        <f>B15-0.17</f>
        <v>16.619999999999997</v>
      </c>
    </row>
    <row r="17" spans="1:3" x14ac:dyDescent="0.25">
      <c r="A17" t="s">
        <v>173</v>
      </c>
      <c r="B17" t="s">
        <v>526</v>
      </c>
      <c r="C17" t="s">
        <v>68</v>
      </c>
    </row>
    <row r="18" spans="1:3" x14ac:dyDescent="0.25">
      <c r="A18" t="s">
        <v>24</v>
      </c>
      <c r="B18" t="s">
        <v>527</v>
      </c>
      <c r="C18" t="s">
        <v>26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528</v>
      </c>
    </row>
    <row r="2" spans="1:3" x14ac:dyDescent="0.25">
      <c r="A2" t="s">
        <v>1</v>
      </c>
      <c r="B2" t="s">
        <v>529</v>
      </c>
      <c r="C2" t="s">
        <v>3</v>
      </c>
    </row>
    <row r="3" spans="1:3" x14ac:dyDescent="0.25">
      <c r="A3" t="s">
        <v>530</v>
      </c>
      <c r="B3" t="s">
        <v>531</v>
      </c>
      <c r="C3" t="s">
        <v>6</v>
      </c>
    </row>
    <row r="4" spans="1:3" x14ac:dyDescent="0.25">
      <c r="A4" t="s">
        <v>532</v>
      </c>
      <c r="B4" t="s">
        <v>533</v>
      </c>
      <c r="C4" t="s">
        <v>6</v>
      </c>
    </row>
    <row r="5" spans="1:3" x14ac:dyDescent="0.25">
      <c r="A5">
        <v>14.92</v>
      </c>
      <c r="B5">
        <v>15.65</v>
      </c>
    </row>
    <row r="6" spans="1:3" x14ac:dyDescent="0.25">
      <c r="A6">
        <f>A5+7.08</f>
        <v>22</v>
      </c>
      <c r="B6">
        <v>13.29</v>
      </c>
    </row>
    <row r="7" spans="1:3" x14ac:dyDescent="0.25">
      <c r="A7">
        <v>28</v>
      </c>
      <c r="B7">
        <f>B6</f>
        <v>13.29</v>
      </c>
    </row>
    <row r="8" spans="1:3" x14ac:dyDescent="0.25">
      <c r="A8">
        <f>A7+8.59</f>
        <v>36.590000000000003</v>
      </c>
      <c r="B8">
        <f>B7+2.36+0.51</f>
        <v>16.16</v>
      </c>
    </row>
    <row r="9" spans="1:3" x14ac:dyDescent="0.25">
      <c r="A9" t="s">
        <v>534</v>
      </c>
      <c r="B9" t="s">
        <v>535</v>
      </c>
      <c r="C9" t="s">
        <v>6</v>
      </c>
    </row>
    <row r="10" spans="1:3" x14ac:dyDescent="0.25">
      <c r="A10" t="s">
        <v>536</v>
      </c>
      <c r="B10" t="s">
        <v>537</v>
      </c>
      <c r="C10" t="s">
        <v>68</v>
      </c>
    </row>
    <row r="11" spans="1:3" x14ac:dyDescent="0.25">
      <c r="A11" t="s">
        <v>24</v>
      </c>
      <c r="B11" t="s">
        <v>538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539</v>
      </c>
    </row>
    <row r="2" spans="1:3" x14ac:dyDescent="0.25">
      <c r="A2" t="s">
        <v>1</v>
      </c>
      <c r="B2" t="s">
        <v>540</v>
      </c>
      <c r="C2" t="s">
        <v>3</v>
      </c>
    </row>
    <row r="3" spans="1:3" x14ac:dyDescent="0.25">
      <c r="A3">
        <v>7.32</v>
      </c>
      <c r="B3">
        <v>17.57</v>
      </c>
    </row>
    <row r="4" spans="1:3" x14ac:dyDescent="0.25">
      <c r="A4">
        <f>A3+1.42</f>
        <v>8.74</v>
      </c>
      <c r="B4">
        <f>B3+0.11</f>
        <v>17.68</v>
      </c>
    </row>
    <row r="5" spans="1:3" x14ac:dyDescent="0.25">
      <c r="A5">
        <f>A4+13.26</f>
        <v>22</v>
      </c>
      <c r="B5">
        <v>13.26</v>
      </c>
    </row>
    <row r="6" spans="1:3" x14ac:dyDescent="0.25">
      <c r="A6">
        <v>28</v>
      </c>
      <c r="B6">
        <f>B5</f>
        <v>13.26</v>
      </c>
    </row>
    <row r="7" spans="1:3" x14ac:dyDescent="0.25">
      <c r="A7">
        <f>A6+6.3</f>
        <v>34.299999999999997</v>
      </c>
      <c r="B7">
        <f>B6+2.1</f>
        <v>15.36</v>
      </c>
    </row>
    <row r="8" spans="1:3" x14ac:dyDescent="0.25">
      <c r="A8">
        <f>A7+2.19</f>
        <v>36.489999999999995</v>
      </c>
      <c r="B8">
        <f>B7</f>
        <v>15.36</v>
      </c>
    </row>
    <row r="9" spans="1:3" x14ac:dyDescent="0.25">
      <c r="A9" t="s">
        <v>542</v>
      </c>
      <c r="B9" t="s">
        <v>543</v>
      </c>
      <c r="C9" t="s">
        <v>409</v>
      </c>
    </row>
    <row r="10" spans="1:3" x14ac:dyDescent="0.25">
      <c r="A10" t="s">
        <v>544</v>
      </c>
      <c r="B10" t="s">
        <v>545</v>
      </c>
      <c r="C10" t="s">
        <v>6</v>
      </c>
    </row>
    <row r="11" spans="1:3" x14ac:dyDescent="0.25">
      <c r="A11" t="s">
        <v>24</v>
      </c>
      <c r="B11" t="s">
        <v>546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C10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547</v>
      </c>
    </row>
    <row r="2" spans="1:3" x14ac:dyDescent="0.25">
      <c r="A2" t="s">
        <v>1</v>
      </c>
      <c r="B2" t="s">
        <v>548</v>
      </c>
      <c r="C2" t="s">
        <v>3</v>
      </c>
    </row>
    <row r="3" spans="1:3" x14ac:dyDescent="0.25">
      <c r="A3" t="s">
        <v>513</v>
      </c>
      <c r="B3" t="s">
        <v>549</v>
      </c>
      <c r="C3" t="s">
        <v>409</v>
      </c>
    </row>
    <row r="4" spans="1:3" x14ac:dyDescent="0.25">
      <c r="A4">
        <f>A3+0.31</f>
        <v>8.06</v>
      </c>
      <c r="B4">
        <f>B3-0.06</f>
        <v>17.880000000000003</v>
      </c>
    </row>
    <row r="5" spans="1:3" x14ac:dyDescent="0.25">
      <c r="A5">
        <f>A4+13.94</f>
        <v>22</v>
      </c>
      <c r="B5">
        <v>13.23</v>
      </c>
    </row>
    <row r="6" spans="1:3" x14ac:dyDescent="0.25">
      <c r="A6">
        <v>28</v>
      </c>
      <c r="B6">
        <f>B5</f>
        <v>13.23</v>
      </c>
    </row>
    <row r="7" spans="1:3" x14ac:dyDescent="0.25">
      <c r="A7">
        <f>A6+11.43</f>
        <v>39.43</v>
      </c>
      <c r="B7">
        <f>B6+3.81</f>
        <v>17.04</v>
      </c>
    </row>
    <row r="8" spans="1:3" x14ac:dyDescent="0.25">
      <c r="A8" t="s">
        <v>553</v>
      </c>
      <c r="B8" t="s">
        <v>419</v>
      </c>
      <c r="C8" t="s">
        <v>68</v>
      </c>
    </row>
    <row r="9" spans="1:3" x14ac:dyDescent="0.25">
      <c r="A9" t="s">
        <v>554</v>
      </c>
      <c r="B9" t="s">
        <v>555</v>
      </c>
      <c r="C9" t="s">
        <v>68</v>
      </c>
    </row>
    <row r="10" spans="1:3" x14ac:dyDescent="0.25">
      <c r="A10" t="s">
        <v>24</v>
      </c>
      <c r="B10" t="s">
        <v>556</v>
      </c>
      <c r="C10" t="s">
        <v>26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C11"/>
  <sheetViews>
    <sheetView workbookViewId="0">
      <selection activeCell="B5" sqref="B5"/>
    </sheetView>
  </sheetViews>
  <sheetFormatPr defaultRowHeight="14" x14ac:dyDescent="0.25"/>
  <sheetData>
    <row r="1" spans="1:3" x14ac:dyDescent="0.25">
      <c r="A1" t="s">
        <v>557</v>
      </c>
    </row>
    <row r="2" spans="1:3" x14ac:dyDescent="0.25">
      <c r="A2" t="s">
        <v>1</v>
      </c>
      <c r="B2" t="s">
        <v>558</v>
      </c>
      <c r="C2" t="s">
        <v>3</v>
      </c>
    </row>
    <row r="3" spans="1:3" x14ac:dyDescent="0.25">
      <c r="A3" t="s">
        <v>559</v>
      </c>
      <c r="B3" t="s">
        <v>151</v>
      </c>
      <c r="C3" t="s">
        <v>409</v>
      </c>
    </row>
    <row r="4" spans="1:3" x14ac:dyDescent="0.25">
      <c r="A4" t="s">
        <v>560</v>
      </c>
      <c r="B4" t="s">
        <v>561</v>
      </c>
      <c r="C4" t="s">
        <v>411</v>
      </c>
    </row>
    <row r="5" spans="1:3" x14ac:dyDescent="0.25">
      <c r="A5">
        <v>12.94</v>
      </c>
      <c r="B5">
        <v>16.14</v>
      </c>
    </row>
    <row r="6" spans="1:3" x14ac:dyDescent="0.25">
      <c r="A6">
        <f>A5+8.86</f>
        <v>21.799999999999997</v>
      </c>
      <c r="B6">
        <v>13.19</v>
      </c>
    </row>
    <row r="7" spans="1:3" x14ac:dyDescent="0.25">
      <c r="A7">
        <v>27.8</v>
      </c>
      <c r="B7">
        <f>B6</f>
        <v>13.19</v>
      </c>
    </row>
    <row r="8" spans="1:3" x14ac:dyDescent="0.25">
      <c r="A8">
        <f>A7+9.12</f>
        <v>36.92</v>
      </c>
      <c r="B8">
        <v>16.2</v>
      </c>
    </row>
    <row r="9" spans="1:3" x14ac:dyDescent="0.25">
      <c r="A9" t="s">
        <v>562</v>
      </c>
      <c r="B9" t="s">
        <v>224</v>
      </c>
      <c r="C9" t="s">
        <v>6</v>
      </c>
    </row>
    <row r="10" spans="1:3" x14ac:dyDescent="0.25">
      <c r="A10" t="s">
        <v>563</v>
      </c>
      <c r="B10" t="s">
        <v>564</v>
      </c>
      <c r="C10" t="s">
        <v>68</v>
      </c>
    </row>
    <row r="11" spans="1:3" x14ac:dyDescent="0.25">
      <c r="A11" t="s">
        <v>24</v>
      </c>
      <c r="B11" t="s">
        <v>189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C15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565</v>
      </c>
    </row>
    <row r="2" spans="1:3" x14ac:dyDescent="0.25">
      <c r="A2" t="s">
        <v>1</v>
      </c>
      <c r="B2" t="s">
        <v>566</v>
      </c>
      <c r="C2" t="s">
        <v>3</v>
      </c>
    </row>
    <row r="3" spans="1:3" x14ac:dyDescent="0.25">
      <c r="A3" t="s">
        <v>567</v>
      </c>
      <c r="B3" t="s">
        <v>568</v>
      </c>
      <c r="C3" t="s">
        <v>409</v>
      </c>
    </row>
    <row r="4" spans="1:3" x14ac:dyDescent="0.25">
      <c r="A4" t="s">
        <v>569</v>
      </c>
      <c r="B4" t="s">
        <v>570</v>
      </c>
      <c r="C4" t="s">
        <v>411</v>
      </c>
    </row>
    <row r="5" spans="1:3" x14ac:dyDescent="0.25">
      <c r="A5" t="s">
        <v>571</v>
      </c>
      <c r="B5" t="s">
        <v>572</v>
      </c>
      <c r="C5" t="s">
        <v>411</v>
      </c>
    </row>
    <row r="6" spans="1:3" x14ac:dyDescent="0.25">
      <c r="A6" t="s">
        <v>573</v>
      </c>
      <c r="B6" t="s">
        <v>574</v>
      </c>
      <c r="C6" t="s">
        <v>409</v>
      </c>
    </row>
    <row r="7" spans="1:3" x14ac:dyDescent="0.25">
      <c r="A7">
        <f>A6+2.49</f>
        <v>13.38</v>
      </c>
      <c r="B7">
        <f>B6-0.16</f>
        <v>16.035</v>
      </c>
    </row>
    <row r="8" spans="1:3" x14ac:dyDescent="0.25">
      <c r="A8">
        <f>A7+8.62</f>
        <v>22</v>
      </c>
      <c r="B8">
        <v>13.16</v>
      </c>
    </row>
    <row r="9" spans="1:3" x14ac:dyDescent="0.25">
      <c r="A9">
        <v>28</v>
      </c>
      <c r="B9">
        <f>B8</f>
        <v>13.16</v>
      </c>
    </row>
    <row r="10" spans="1:3" x14ac:dyDescent="0.25">
      <c r="A10">
        <f>A9+6.3</f>
        <v>34.299999999999997</v>
      </c>
      <c r="B10">
        <f>B9+2.1</f>
        <v>15.26</v>
      </c>
    </row>
    <row r="11" spans="1:3" x14ac:dyDescent="0.25">
      <c r="A11">
        <f>A10+1.06</f>
        <v>35.36</v>
      </c>
      <c r="B11">
        <f>B10</f>
        <v>15.26</v>
      </c>
    </row>
    <row r="12" spans="1:3" x14ac:dyDescent="0.25">
      <c r="A12" t="s">
        <v>575</v>
      </c>
      <c r="B12" t="s">
        <v>576</v>
      </c>
      <c r="C12" t="s">
        <v>409</v>
      </c>
    </row>
    <row r="13" spans="1:3" x14ac:dyDescent="0.25">
      <c r="A13" t="s">
        <v>577</v>
      </c>
      <c r="B13" t="s">
        <v>98</v>
      </c>
      <c r="C13" t="s">
        <v>6</v>
      </c>
    </row>
    <row r="14" spans="1:3" x14ac:dyDescent="0.25">
      <c r="A14" t="s">
        <v>578</v>
      </c>
      <c r="B14" t="s">
        <v>479</v>
      </c>
      <c r="C14" t="s">
        <v>68</v>
      </c>
    </row>
    <row r="15" spans="1:3" x14ac:dyDescent="0.25">
      <c r="A15" t="s">
        <v>24</v>
      </c>
      <c r="B15" t="s">
        <v>131</v>
      </c>
      <c r="C15" t="s">
        <v>26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C10"/>
  <sheetViews>
    <sheetView workbookViewId="0">
      <selection activeCell="A16" sqref="A16"/>
    </sheetView>
  </sheetViews>
  <sheetFormatPr defaultRowHeight="14" x14ac:dyDescent="0.25"/>
  <sheetData>
    <row r="1" spans="1:3" x14ac:dyDescent="0.25">
      <c r="A1" t="s">
        <v>579</v>
      </c>
    </row>
    <row r="2" spans="1:3" x14ac:dyDescent="0.25">
      <c r="A2" t="s">
        <v>1</v>
      </c>
      <c r="B2" t="s">
        <v>580</v>
      </c>
      <c r="C2" t="s">
        <v>3</v>
      </c>
    </row>
    <row r="3" spans="1:3" x14ac:dyDescent="0.25">
      <c r="A3" t="s">
        <v>581</v>
      </c>
      <c r="B3" t="s">
        <v>582</v>
      </c>
      <c r="C3" t="s">
        <v>409</v>
      </c>
    </row>
    <row r="4" spans="1:3" x14ac:dyDescent="0.25">
      <c r="A4" t="s">
        <v>583</v>
      </c>
      <c r="B4" t="s">
        <v>584</v>
      </c>
      <c r="C4" t="s">
        <v>411</v>
      </c>
    </row>
    <row r="5" spans="1:3" x14ac:dyDescent="0.25">
      <c r="A5" t="s">
        <v>585</v>
      </c>
      <c r="B5" t="s">
        <v>586</v>
      </c>
      <c r="C5" t="s">
        <v>6</v>
      </c>
    </row>
    <row r="6" spans="1:3" x14ac:dyDescent="0.25">
      <c r="A6">
        <f>A5+7.41</f>
        <v>22.23</v>
      </c>
      <c r="B6">
        <v>13.13</v>
      </c>
    </row>
    <row r="7" spans="1:3" x14ac:dyDescent="0.25">
      <c r="A7">
        <f>A6+6</f>
        <v>28.23</v>
      </c>
      <c r="B7">
        <f>B6</f>
        <v>13.13</v>
      </c>
    </row>
    <row r="8" spans="1:3" x14ac:dyDescent="0.25">
      <c r="A8">
        <f>A7+6.3</f>
        <v>34.53</v>
      </c>
      <c r="B8">
        <f>B7+2.1</f>
        <v>15.23</v>
      </c>
    </row>
    <row r="9" spans="1:3" x14ac:dyDescent="0.25">
      <c r="A9">
        <f>A8+3</f>
        <v>37.53</v>
      </c>
      <c r="B9">
        <f>B8</f>
        <v>15.23</v>
      </c>
    </row>
    <row r="10" spans="1:3" x14ac:dyDescent="0.25">
      <c r="A10">
        <f>A9+1.38</f>
        <v>38.910000000000004</v>
      </c>
      <c r="B10">
        <f>B9-0.69</f>
        <v>14.540000000000001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C11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588</v>
      </c>
    </row>
    <row r="2" spans="1:3" x14ac:dyDescent="0.25">
      <c r="A2" t="s">
        <v>1</v>
      </c>
      <c r="B2" t="s">
        <v>589</v>
      </c>
      <c r="C2" t="s">
        <v>3</v>
      </c>
    </row>
    <row r="3" spans="1:3" x14ac:dyDescent="0.25">
      <c r="A3" t="s">
        <v>590</v>
      </c>
      <c r="B3" t="s">
        <v>591</v>
      </c>
      <c r="C3" t="s">
        <v>409</v>
      </c>
    </row>
    <row r="4" spans="1:3" x14ac:dyDescent="0.25">
      <c r="A4">
        <v>9.19</v>
      </c>
      <c r="B4">
        <v>15.2</v>
      </c>
    </row>
    <row r="5" spans="1:3" x14ac:dyDescent="0.25">
      <c r="A5">
        <f>A4+6.51</f>
        <v>15.7</v>
      </c>
      <c r="B5">
        <f>B4</f>
        <v>15.2</v>
      </c>
    </row>
    <row r="6" spans="1:3" x14ac:dyDescent="0.25">
      <c r="A6">
        <f>A5+6.3</f>
        <v>22</v>
      </c>
      <c r="B6">
        <v>13.1</v>
      </c>
    </row>
    <row r="7" spans="1:3" x14ac:dyDescent="0.25">
      <c r="A7">
        <v>28</v>
      </c>
      <c r="B7">
        <f>B6</f>
        <v>13.1</v>
      </c>
    </row>
    <row r="8" spans="1:3" x14ac:dyDescent="0.25">
      <c r="A8">
        <f>A7+6.3</f>
        <v>34.299999999999997</v>
      </c>
      <c r="B8">
        <f>B7+2.1</f>
        <v>15.2</v>
      </c>
    </row>
    <row r="9" spans="1:3" x14ac:dyDescent="0.25">
      <c r="A9" t="s">
        <v>593</v>
      </c>
      <c r="B9" t="s">
        <v>594</v>
      </c>
      <c r="C9" t="s">
        <v>6</v>
      </c>
    </row>
    <row r="10" spans="1:3" x14ac:dyDescent="0.25">
      <c r="A10" t="s">
        <v>595</v>
      </c>
      <c r="B10" t="s">
        <v>596</v>
      </c>
      <c r="C10" t="s">
        <v>68</v>
      </c>
    </row>
    <row r="11" spans="1:3" x14ac:dyDescent="0.25">
      <c r="A11" t="s">
        <v>24</v>
      </c>
      <c r="B11" t="s">
        <v>597</v>
      </c>
      <c r="C11" t="s">
        <v>26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4"/>
  <sheetViews>
    <sheetView workbookViewId="0">
      <selection activeCell="D23" sqref="D23"/>
    </sheetView>
  </sheetViews>
  <sheetFormatPr defaultRowHeight="14" x14ac:dyDescent="0.25"/>
  <sheetData>
    <row r="1" spans="1:3" x14ac:dyDescent="0.25">
      <c r="A1" t="s">
        <v>80</v>
      </c>
    </row>
    <row r="2" spans="1:3" x14ac:dyDescent="0.25">
      <c r="A2" t="s">
        <v>1</v>
      </c>
      <c r="B2" t="s">
        <v>81</v>
      </c>
      <c r="C2" t="s">
        <v>3</v>
      </c>
    </row>
    <row r="3" spans="1:3" x14ac:dyDescent="0.25">
      <c r="A3" t="s">
        <v>82</v>
      </c>
      <c r="B3" t="s">
        <v>83</v>
      </c>
      <c r="C3" t="s">
        <v>31</v>
      </c>
    </row>
    <row r="4" spans="1:3" x14ac:dyDescent="0.25">
      <c r="A4" t="s">
        <v>84</v>
      </c>
      <c r="B4" t="s">
        <v>85</v>
      </c>
      <c r="C4" t="s">
        <v>34</v>
      </c>
    </row>
    <row r="5" spans="1:3" x14ac:dyDescent="0.25">
      <c r="A5" t="s">
        <v>86</v>
      </c>
      <c r="B5" t="s">
        <v>87</v>
      </c>
      <c r="C5" t="s">
        <v>31</v>
      </c>
    </row>
    <row r="6" spans="1:3" x14ac:dyDescent="0.25">
      <c r="A6" t="s">
        <v>88</v>
      </c>
      <c r="B6" t="s">
        <v>89</v>
      </c>
      <c r="C6" t="s">
        <v>34</v>
      </c>
    </row>
    <row r="7" spans="1:3" x14ac:dyDescent="0.25">
      <c r="A7">
        <v>13.73</v>
      </c>
      <c r="B7">
        <v>14</v>
      </c>
    </row>
    <row r="8" spans="1:3" x14ac:dyDescent="0.25">
      <c r="A8">
        <f>A7+3.8</f>
        <v>17.53</v>
      </c>
      <c r="B8">
        <f>B7+3.8/2</f>
        <v>15.9</v>
      </c>
    </row>
    <row r="9" spans="1:3" x14ac:dyDescent="0.25">
      <c r="A9">
        <f>A8+3</f>
        <v>20.53</v>
      </c>
      <c r="B9">
        <f>B8</f>
        <v>15.9</v>
      </c>
    </row>
    <row r="10" spans="1:3" x14ac:dyDescent="0.25">
      <c r="A10">
        <f>A9+5.1</f>
        <v>25.630000000000003</v>
      </c>
      <c r="B10">
        <v>14.23</v>
      </c>
    </row>
    <row r="11" spans="1:3" x14ac:dyDescent="0.25">
      <c r="A11">
        <f>A10+5</f>
        <v>30.630000000000003</v>
      </c>
      <c r="B11">
        <f>B10</f>
        <v>14.23</v>
      </c>
    </row>
    <row r="12" spans="1:3" x14ac:dyDescent="0.25">
      <c r="A12">
        <f>A11+5.1</f>
        <v>35.730000000000004</v>
      </c>
      <c r="B12">
        <f>B9</f>
        <v>15.9</v>
      </c>
    </row>
    <row r="13" spans="1:3" x14ac:dyDescent="0.25">
      <c r="A13">
        <f>A12+3</f>
        <v>38.730000000000004</v>
      </c>
      <c r="B13">
        <f>B12</f>
        <v>15.9</v>
      </c>
    </row>
    <row r="14" spans="1:3" x14ac:dyDescent="0.25">
      <c r="A14">
        <f>A13+3.8</f>
        <v>42.53</v>
      </c>
      <c r="B14">
        <f>B13+3.8/2</f>
        <v>17.8</v>
      </c>
    </row>
  </sheetData>
  <phoneticPr fontId="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C17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598</v>
      </c>
    </row>
    <row r="2" spans="1:3" x14ac:dyDescent="0.25">
      <c r="A2" t="s">
        <v>1</v>
      </c>
      <c r="B2" t="s">
        <v>599</v>
      </c>
      <c r="C2" t="s">
        <v>3</v>
      </c>
    </row>
    <row r="3" spans="1:3" x14ac:dyDescent="0.25">
      <c r="A3" t="s">
        <v>600</v>
      </c>
      <c r="B3" t="s">
        <v>601</v>
      </c>
      <c r="C3" t="s">
        <v>409</v>
      </c>
    </row>
    <row r="4" spans="1:3" x14ac:dyDescent="0.25">
      <c r="A4" t="s">
        <v>232</v>
      </c>
      <c r="B4" t="s">
        <v>602</v>
      </c>
      <c r="C4" t="s">
        <v>411</v>
      </c>
    </row>
    <row r="5" spans="1:3" x14ac:dyDescent="0.25">
      <c r="A5" t="s">
        <v>603</v>
      </c>
      <c r="B5" t="s">
        <v>604</v>
      </c>
      <c r="C5" t="s">
        <v>34</v>
      </c>
    </row>
    <row r="6" spans="1:3" x14ac:dyDescent="0.25">
      <c r="A6" t="s">
        <v>605</v>
      </c>
      <c r="B6" t="s">
        <v>606</v>
      </c>
      <c r="C6" t="s">
        <v>34</v>
      </c>
    </row>
    <row r="7" spans="1:3" x14ac:dyDescent="0.25">
      <c r="A7" t="s">
        <v>607</v>
      </c>
      <c r="B7" t="s">
        <v>608</v>
      </c>
      <c r="C7" t="s">
        <v>31</v>
      </c>
    </row>
    <row r="8" spans="1:3" x14ac:dyDescent="0.25">
      <c r="A8">
        <v>12.86</v>
      </c>
      <c r="B8">
        <v>15.23</v>
      </c>
    </row>
    <row r="9" spans="1:3" x14ac:dyDescent="0.25">
      <c r="A9">
        <f>A8+2.84</f>
        <v>15.7</v>
      </c>
      <c r="B9">
        <v>15.17</v>
      </c>
    </row>
    <row r="10" spans="1:3" x14ac:dyDescent="0.25">
      <c r="A10">
        <f>A9+6.3</f>
        <v>22</v>
      </c>
      <c r="B10">
        <v>13.06</v>
      </c>
    </row>
    <row r="11" spans="1:3" x14ac:dyDescent="0.25">
      <c r="A11">
        <v>28</v>
      </c>
      <c r="B11">
        <f>B10</f>
        <v>13.06</v>
      </c>
    </row>
    <row r="12" spans="1:3" x14ac:dyDescent="0.25">
      <c r="A12">
        <f>A11+6.3</f>
        <v>34.299999999999997</v>
      </c>
      <c r="B12">
        <f>B11+2.1</f>
        <v>15.16</v>
      </c>
    </row>
    <row r="13" spans="1:3" x14ac:dyDescent="0.25">
      <c r="A13">
        <f>A12+3</f>
        <v>37.299999999999997</v>
      </c>
      <c r="B13">
        <f>B12</f>
        <v>15.16</v>
      </c>
    </row>
    <row r="14" spans="1:3" x14ac:dyDescent="0.25">
      <c r="A14">
        <f>A13+0.75</f>
        <v>38.049999999999997</v>
      </c>
      <c r="B14">
        <f>B13-0.38</f>
        <v>14.78</v>
      </c>
    </row>
    <row r="15" spans="1:3" x14ac:dyDescent="0.25">
      <c r="A15" t="s">
        <v>610</v>
      </c>
      <c r="B15" t="s">
        <v>362</v>
      </c>
      <c r="C15" t="s">
        <v>68</v>
      </c>
    </row>
    <row r="16" spans="1:3" x14ac:dyDescent="0.25">
      <c r="A16" t="s">
        <v>611</v>
      </c>
      <c r="B16" t="s">
        <v>612</v>
      </c>
      <c r="C16" t="s">
        <v>68</v>
      </c>
    </row>
    <row r="17" spans="1:3" x14ac:dyDescent="0.25">
      <c r="A17" t="s">
        <v>24</v>
      </c>
      <c r="B17" t="s">
        <v>613</v>
      </c>
      <c r="C17" t="s">
        <v>26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C13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614</v>
      </c>
    </row>
    <row r="2" spans="1:3" x14ac:dyDescent="0.25">
      <c r="A2" t="s">
        <v>1</v>
      </c>
      <c r="B2" t="s">
        <v>615</v>
      </c>
      <c r="C2" t="s">
        <v>3</v>
      </c>
    </row>
    <row r="3" spans="1:3" x14ac:dyDescent="0.25">
      <c r="A3" t="s">
        <v>616</v>
      </c>
      <c r="B3" t="s">
        <v>133</v>
      </c>
      <c r="C3" t="s">
        <v>409</v>
      </c>
    </row>
    <row r="4" spans="1:3" x14ac:dyDescent="0.25">
      <c r="A4">
        <v>9.09</v>
      </c>
      <c r="B4">
        <v>15.13</v>
      </c>
    </row>
    <row r="5" spans="1:3" x14ac:dyDescent="0.25">
      <c r="A5">
        <f>A4+6.61</f>
        <v>15.7</v>
      </c>
      <c r="B5">
        <f>B4</f>
        <v>15.13</v>
      </c>
    </row>
    <row r="6" spans="1:3" x14ac:dyDescent="0.25">
      <c r="A6">
        <f>A5+6.3</f>
        <v>22</v>
      </c>
      <c r="B6">
        <v>13.03</v>
      </c>
    </row>
    <row r="7" spans="1:3" x14ac:dyDescent="0.25">
      <c r="A7">
        <v>28</v>
      </c>
      <c r="B7">
        <f>B6</f>
        <v>13.03</v>
      </c>
    </row>
    <row r="8" spans="1:3" x14ac:dyDescent="0.25">
      <c r="A8">
        <f>A7+6.3</f>
        <v>34.299999999999997</v>
      </c>
      <c r="B8">
        <f>B7+2.1</f>
        <v>15.129999999999999</v>
      </c>
    </row>
    <row r="9" spans="1:3" x14ac:dyDescent="0.25">
      <c r="A9">
        <f>A8+4.89</f>
        <v>39.19</v>
      </c>
      <c r="B9">
        <f>B8</f>
        <v>15.129999999999999</v>
      </c>
    </row>
    <row r="10" spans="1:3" x14ac:dyDescent="0.25">
      <c r="A10" t="s">
        <v>617</v>
      </c>
      <c r="B10" t="s">
        <v>279</v>
      </c>
      <c r="C10" t="s">
        <v>409</v>
      </c>
    </row>
    <row r="11" spans="1:3" x14ac:dyDescent="0.25">
      <c r="A11" t="s">
        <v>618</v>
      </c>
      <c r="B11" t="s">
        <v>619</v>
      </c>
      <c r="C11" t="s">
        <v>68</v>
      </c>
    </row>
    <row r="12" spans="1:3" x14ac:dyDescent="0.25">
      <c r="A12" t="s">
        <v>620</v>
      </c>
      <c r="B12" t="s">
        <v>621</v>
      </c>
      <c r="C12" t="s">
        <v>68</v>
      </c>
    </row>
    <row r="13" spans="1:3" x14ac:dyDescent="0.25">
      <c r="A13" t="s">
        <v>24</v>
      </c>
      <c r="B13" t="s">
        <v>622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12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623</v>
      </c>
    </row>
    <row r="2" spans="1:3" x14ac:dyDescent="0.25">
      <c r="A2" t="s">
        <v>1</v>
      </c>
      <c r="B2" t="s">
        <v>624</v>
      </c>
      <c r="C2" t="s">
        <v>3</v>
      </c>
    </row>
    <row r="3" spans="1:3" x14ac:dyDescent="0.25">
      <c r="A3">
        <v>7</v>
      </c>
      <c r="B3">
        <v>16</v>
      </c>
    </row>
    <row r="4" spans="1:3" x14ac:dyDescent="0.25">
      <c r="A4">
        <f>A3+9</f>
        <v>16</v>
      </c>
      <c r="B4">
        <v>13</v>
      </c>
    </row>
    <row r="5" spans="1:3" x14ac:dyDescent="0.25">
      <c r="A5">
        <v>22</v>
      </c>
      <c r="B5">
        <v>13</v>
      </c>
    </row>
    <row r="6" spans="1:3" x14ac:dyDescent="0.25">
      <c r="A6">
        <v>28.3</v>
      </c>
      <c r="B6">
        <v>15.1</v>
      </c>
    </row>
    <row r="7" spans="1:3" x14ac:dyDescent="0.25">
      <c r="A7">
        <v>31.3</v>
      </c>
      <c r="B7">
        <f>B6</f>
        <v>15.1</v>
      </c>
    </row>
    <row r="8" spans="1:3" x14ac:dyDescent="0.25">
      <c r="A8">
        <f>A7+1.58</f>
        <v>32.880000000000003</v>
      </c>
      <c r="B8">
        <f>B7-0.79</f>
        <v>14.309999999999999</v>
      </c>
    </row>
    <row r="9" spans="1:3" x14ac:dyDescent="0.25">
      <c r="A9" t="s">
        <v>626</v>
      </c>
      <c r="B9" t="s">
        <v>627</v>
      </c>
      <c r="C9" t="s">
        <v>34</v>
      </c>
    </row>
    <row r="10" spans="1:3" x14ac:dyDescent="0.25">
      <c r="A10" t="s">
        <v>628</v>
      </c>
      <c r="B10" t="s">
        <v>629</v>
      </c>
      <c r="C10" t="s">
        <v>31</v>
      </c>
    </row>
    <row r="11" spans="1:3" x14ac:dyDescent="0.25">
      <c r="A11" t="s">
        <v>630</v>
      </c>
      <c r="B11" t="s">
        <v>631</v>
      </c>
      <c r="C11" t="s">
        <v>68</v>
      </c>
    </row>
    <row r="12" spans="1:3" x14ac:dyDescent="0.25">
      <c r="A12" t="s">
        <v>24</v>
      </c>
      <c r="B12" t="s">
        <v>632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C16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633</v>
      </c>
    </row>
    <row r="2" spans="1:3" x14ac:dyDescent="0.25">
      <c r="A2" t="s">
        <v>1</v>
      </c>
      <c r="B2" t="s">
        <v>634</v>
      </c>
      <c r="C2" t="s">
        <v>3</v>
      </c>
    </row>
    <row r="3" spans="1:3" x14ac:dyDescent="0.25">
      <c r="A3" t="s">
        <v>635</v>
      </c>
      <c r="B3" t="s">
        <v>98</v>
      </c>
      <c r="C3" t="s">
        <v>409</v>
      </c>
    </row>
    <row r="4" spans="1:3" x14ac:dyDescent="0.25">
      <c r="A4" t="s">
        <v>468</v>
      </c>
      <c r="B4" t="s">
        <v>636</v>
      </c>
      <c r="C4" t="s">
        <v>411</v>
      </c>
    </row>
    <row r="5" spans="1:3" x14ac:dyDescent="0.25">
      <c r="A5" t="s">
        <v>637</v>
      </c>
      <c r="B5" t="s">
        <v>638</v>
      </c>
      <c r="C5" t="s">
        <v>34</v>
      </c>
    </row>
    <row r="6" spans="1:3" x14ac:dyDescent="0.25">
      <c r="A6" t="s">
        <v>639</v>
      </c>
      <c r="B6" t="s">
        <v>640</v>
      </c>
      <c r="C6" t="s">
        <v>31</v>
      </c>
    </row>
    <row r="7" spans="1:3" x14ac:dyDescent="0.25">
      <c r="A7" t="s">
        <v>641</v>
      </c>
      <c r="B7" t="s">
        <v>642</v>
      </c>
      <c r="C7" t="s">
        <v>31</v>
      </c>
    </row>
    <row r="8" spans="1:3" x14ac:dyDescent="0.25">
      <c r="A8">
        <f>A7+2.3</f>
        <v>10.93</v>
      </c>
      <c r="B8">
        <f>B7+0.12</f>
        <v>15.264999999999999</v>
      </c>
    </row>
    <row r="9" spans="1:3" x14ac:dyDescent="0.25">
      <c r="A9">
        <f>A8+6.9</f>
        <v>17.829999999999998</v>
      </c>
      <c r="B9">
        <v>12.96</v>
      </c>
    </row>
    <row r="10" spans="1:3" x14ac:dyDescent="0.25">
      <c r="A10">
        <f>A9+6</f>
        <v>23.83</v>
      </c>
      <c r="B10">
        <f>B9</f>
        <v>12.96</v>
      </c>
    </row>
    <row r="11" spans="1:3" x14ac:dyDescent="0.25">
      <c r="A11">
        <f>A10+6.9</f>
        <v>30.729999999999997</v>
      </c>
      <c r="B11">
        <f>B12+0.1</f>
        <v>15.263</v>
      </c>
    </row>
    <row r="12" spans="1:3" x14ac:dyDescent="0.25">
      <c r="A12" t="s">
        <v>644</v>
      </c>
      <c r="B12" t="s">
        <v>645</v>
      </c>
      <c r="C12" t="s">
        <v>11</v>
      </c>
    </row>
    <row r="13" spans="1:3" x14ac:dyDescent="0.25">
      <c r="A13" t="s">
        <v>91</v>
      </c>
      <c r="B13" t="s">
        <v>646</v>
      </c>
      <c r="C13" t="s">
        <v>6</v>
      </c>
    </row>
    <row r="14" spans="1:3" x14ac:dyDescent="0.25">
      <c r="A14" t="s">
        <v>647</v>
      </c>
      <c r="B14" t="s">
        <v>648</v>
      </c>
      <c r="C14" t="s">
        <v>649</v>
      </c>
    </row>
    <row r="15" spans="1:3" x14ac:dyDescent="0.25">
      <c r="A15" t="s">
        <v>563</v>
      </c>
      <c r="B15" t="s">
        <v>650</v>
      </c>
      <c r="C15" t="s">
        <v>68</v>
      </c>
    </row>
    <row r="16" spans="1:3" x14ac:dyDescent="0.25">
      <c r="A16" t="s">
        <v>24</v>
      </c>
      <c r="B16" t="s">
        <v>651</v>
      </c>
      <c r="C16" t="s">
        <v>26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C17"/>
  <sheetViews>
    <sheetView workbookViewId="0">
      <selection activeCell="D9" sqref="D9"/>
    </sheetView>
  </sheetViews>
  <sheetFormatPr defaultRowHeight="14" x14ac:dyDescent="0.25"/>
  <sheetData>
    <row r="1" spans="1:3" x14ac:dyDescent="0.25">
      <c r="A1" t="s">
        <v>652</v>
      </c>
    </row>
    <row r="2" spans="1:3" x14ac:dyDescent="0.25">
      <c r="A2" t="s">
        <v>1</v>
      </c>
      <c r="B2" t="s">
        <v>631</v>
      </c>
      <c r="C2" t="s">
        <v>3</v>
      </c>
    </row>
    <row r="3" spans="1:3" x14ac:dyDescent="0.25">
      <c r="A3" t="s">
        <v>653</v>
      </c>
      <c r="B3" t="s">
        <v>654</v>
      </c>
      <c r="C3" t="s">
        <v>31</v>
      </c>
    </row>
    <row r="4" spans="1:3" x14ac:dyDescent="0.25">
      <c r="A4" t="s">
        <v>655</v>
      </c>
      <c r="B4" t="s">
        <v>656</v>
      </c>
      <c r="C4" t="s">
        <v>34</v>
      </c>
    </row>
    <row r="5" spans="1:3" x14ac:dyDescent="0.25">
      <c r="A5" t="s">
        <v>657</v>
      </c>
      <c r="B5" t="s">
        <v>658</v>
      </c>
      <c r="C5" t="s">
        <v>6</v>
      </c>
    </row>
    <row r="6" spans="1:3" x14ac:dyDescent="0.25">
      <c r="A6" t="s">
        <v>659</v>
      </c>
      <c r="B6" t="s">
        <v>660</v>
      </c>
      <c r="C6" t="s">
        <v>6</v>
      </c>
    </row>
    <row r="7" spans="1:3" x14ac:dyDescent="0.25">
      <c r="A7" t="s">
        <v>661</v>
      </c>
      <c r="B7" t="s">
        <v>662</v>
      </c>
      <c r="C7" t="s">
        <v>34</v>
      </c>
    </row>
    <row r="8" spans="1:3" x14ac:dyDescent="0.25">
      <c r="A8">
        <v>10.27</v>
      </c>
      <c r="B8">
        <v>15.23</v>
      </c>
    </row>
    <row r="9" spans="1:3" x14ac:dyDescent="0.25">
      <c r="A9">
        <f>A8+0.69</f>
        <v>10.959999999999999</v>
      </c>
      <c r="B9">
        <f>B8</f>
        <v>15.23</v>
      </c>
    </row>
    <row r="10" spans="1:3" x14ac:dyDescent="0.25">
      <c r="A10">
        <f>A9+6.9</f>
        <v>17.86</v>
      </c>
      <c r="B10">
        <v>12.93</v>
      </c>
    </row>
    <row r="11" spans="1:3" x14ac:dyDescent="0.25">
      <c r="A11">
        <f>A10+6</f>
        <v>23.86</v>
      </c>
      <c r="B11">
        <v>12.93</v>
      </c>
    </row>
    <row r="12" spans="1:3" x14ac:dyDescent="0.25">
      <c r="A12">
        <f>A11+7.48</f>
        <v>31.34</v>
      </c>
      <c r="B12">
        <v>15.42</v>
      </c>
    </row>
    <row r="13" spans="1:3" x14ac:dyDescent="0.25">
      <c r="A13">
        <f>A12+4.09</f>
        <v>35.43</v>
      </c>
      <c r="B13">
        <v>15.3</v>
      </c>
    </row>
    <row r="14" spans="1:3" x14ac:dyDescent="0.25">
      <c r="A14" t="s">
        <v>669</v>
      </c>
      <c r="B14" t="s">
        <v>670</v>
      </c>
      <c r="C14" t="s">
        <v>6</v>
      </c>
    </row>
    <row r="15" spans="1:3" x14ac:dyDescent="0.25">
      <c r="A15" t="s">
        <v>671</v>
      </c>
      <c r="B15" t="s">
        <v>672</v>
      </c>
      <c r="C15" t="s">
        <v>6</v>
      </c>
    </row>
    <row r="16" spans="1:3" x14ac:dyDescent="0.25">
      <c r="A16" t="s">
        <v>673</v>
      </c>
      <c r="B16" t="s">
        <v>674</v>
      </c>
      <c r="C16" t="s">
        <v>6</v>
      </c>
    </row>
    <row r="17" spans="1:3" x14ac:dyDescent="0.25">
      <c r="A17" t="s">
        <v>24</v>
      </c>
      <c r="B17" t="s">
        <v>672</v>
      </c>
      <c r="C17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C12"/>
  <sheetViews>
    <sheetView workbookViewId="0">
      <selection activeCell="D7" sqref="D7"/>
    </sheetView>
  </sheetViews>
  <sheetFormatPr defaultRowHeight="14" x14ac:dyDescent="0.25"/>
  <sheetData>
    <row r="1" spans="1:3" x14ac:dyDescent="0.25">
      <c r="A1" t="s">
        <v>675</v>
      </c>
    </row>
    <row r="2" spans="1:3" x14ac:dyDescent="0.25">
      <c r="A2" t="s">
        <v>1</v>
      </c>
      <c r="B2" t="s">
        <v>55</v>
      </c>
      <c r="C2" t="s">
        <v>3</v>
      </c>
    </row>
    <row r="3" spans="1:3" x14ac:dyDescent="0.25">
      <c r="A3" t="s">
        <v>676</v>
      </c>
      <c r="B3" t="s">
        <v>677</v>
      </c>
      <c r="C3" t="s">
        <v>31</v>
      </c>
    </row>
    <row r="4" spans="1:3" x14ac:dyDescent="0.25">
      <c r="A4" t="s">
        <v>678</v>
      </c>
      <c r="B4" t="s">
        <v>679</v>
      </c>
      <c r="C4" t="s">
        <v>34</v>
      </c>
    </row>
    <row r="5" spans="1:3" x14ac:dyDescent="0.25">
      <c r="A5" t="s">
        <v>680</v>
      </c>
      <c r="B5" t="s">
        <v>681</v>
      </c>
      <c r="C5" t="s">
        <v>6</v>
      </c>
    </row>
    <row r="6" spans="1:3" x14ac:dyDescent="0.25">
      <c r="A6" t="s">
        <v>682</v>
      </c>
      <c r="B6" t="s">
        <v>683</v>
      </c>
      <c r="C6" t="s">
        <v>6</v>
      </c>
    </row>
    <row r="7" spans="1:3" x14ac:dyDescent="0.25">
      <c r="A7">
        <f>A6+0.84</f>
        <v>8.93</v>
      </c>
      <c r="B7">
        <f>B6+0.32</f>
        <v>15.187000000000001</v>
      </c>
    </row>
    <row r="8" spans="1:3" x14ac:dyDescent="0.25">
      <c r="A8">
        <f>A7+2.17</f>
        <v>11.1</v>
      </c>
      <c r="B8">
        <f>B7</f>
        <v>15.187000000000001</v>
      </c>
    </row>
    <row r="9" spans="1:3" x14ac:dyDescent="0.25">
      <c r="A9">
        <f>A8+6.9</f>
        <v>18</v>
      </c>
      <c r="B9">
        <v>12.93</v>
      </c>
    </row>
    <row r="10" spans="1:3" x14ac:dyDescent="0.25">
      <c r="A10">
        <v>24</v>
      </c>
      <c r="B10">
        <f>B9</f>
        <v>12.93</v>
      </c>
    </row>
    <row r="11" spans="1:3" x14ac:dyDescent="0.25">
      <c r="A11">
        <f>A10+7.42</f>
        <v>31.42</v>
      </c>
      <c r="B11">
        <v>15.36</v>
      </c>
    </row>
    <row r="12" spans="1:3" x14ac:dyDescent="0.25">
      <c r="A12" t="s">
        <v>24</v>
      </c>
      <c r="B12" t="s">
        <v>686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C17"/>
  <sheetViews>
    <sheetView workbookViewId="0">
      <selection activeCell="D7" sqref="D7"/>
    </sheetView>
  </sheetViews>
  <sheetFormatPr defaultRowHeight="14" x14ac:dyDescent="0.25"/>
  <sheetData>
    <row r="1" spans="1:3" x14ac:dyDescent="0.25">
      <c r="A1" t="s">
        <v>687</v>
      </c>
    </row>
    <row r="2" spans="1:3" x14ac:dyDescent="0.25">
      <c r="A2" t="s">
        <v>1</v>
      </c>
      <c r="B2" t="s">
        <v>688</v>
      </c>
      <c r="C2" t="s">
        <v>3</v>
      </c>
    </row>
    <row r="3" spans="1:3" x14ac:dyDescent="0.25">
      <c r="A3" t="s">
        <v>689</v>
      </c>
      <c r="B3" t="s">
        <v>690</v>
      </c>
      <c r="C3" t="s">
        <v>31</v>
      </c>
    </row>
    <row r="4" spans="1:3" x14ac:dyDescent="0.25">
      <c r="A4" t="s">
        <v>691</v>
      </c>
      <c r="B4" t="s">
        <v>692</v>
      </c>
      <c r="C4" t="s">
        <v>34</v>
      </c>
    </row>
    <row r="5" spans="1:3" x14ac:dyDescent="0.25">
      <c r="A5">
        <v>7.92</v>
      </c>
      <c r="B5">
        <v>15.3</v>
      </c>
    </row>
    <row r="6" spans="1:3" x14ac:dyDescent="0.25">
      <c r="A6">
        <f>A5+1.2</f>
        <v>9.1199999999999992</v>
      </c>
      <c r="B6">
        <f>B5+0.28</f>
        <v>15.58</v>
      </c>
    </row>
    <row r="7" spans="1:3" x14ac:dyDescent="0.25">
      <c r="A7">
        <f>A6+0.74</f>
        <v>9.86</v>
      </c>
      <c r="B7">
        <f>B6</f>
        <v>15.58</v>
      </c>
    </row>
    <row r="8" spans="1:3" x14ac:dyDescent="0.25">
      <c r="A8">
        <f>A7+8.14</f>
        <v>18</v>
      </c>
      <c r="B8">
        <v>12.86</v>
      </c>
    </row>
    <row r="9" spans="1:3" x14ac:dyDescent="0.25">
      <c r="A9">
        <v>24</v>
      </c>
      <c r="B9">
        <f>B8</f>
        <v>12.86</v>
      </c>
    </row>
    <row r="10" spans="1:3" x14ac:dyDescent="0.25">
      <c r="A10">
        <f>A9+7.35</f>
        <v>31.35</v>
      </c>
      <c r="B10">
        <v>15.31</v>
      </c>
    </row>
    <row r="11" spans="1:3" x14ac:dyDescent="0.25">
      <c r="A11">
        <f>A10+2.49</f>
        <v>33.840000000000003</v>
      </c>
      <c r="B11">
        <f>B10-0.12</f>
        <v>15.190000000000001</v>
      </c>
    </row>
    <row r="12" spans="1:3" x14ac:dyDescent="0.25">
      <c r="A12">
        <f>A11+1.16</f>
        <v>35</v>
      </c>
      <c r="B12">
        <f>B11-0.86</f>
        <v>14.330000000000002</v>
      </c>
    </row>
    <row r="13" spans="1:3" x14ac:dyDescent="0.25">
      <c r="A13" t="s">
        <v>695</v>
      </c>
      <c r="B13" t="s">
        <v>696</v>
      </c>
      <c r="C13" t="s">
        <v>6</v>
      </c>
    </row>
    <row r="14" spans="1:3" x14ac:dyDescent="0.25">
      <c r="A14" t="s">
        <v>697</v>
      </c>
      <c r="B14" t="s">
        <v>636</v>
      </c>
      <c r="C14" t="s">
        <v>6</v>
      </c>
    </row>
    <row r="15" spans="1:3" x14ac:dyDescent="0.25">
      <c r="A15" t="s">
        <v>698</v>
      </c>
      <c r="B15" t="s">
        <v>699</v>
      </c>
      <c r="C15" t="s">
        <v>6</v>
      </c>
    </row>
    <row r="16" spans="1:3" x14ac:dyDescent="0.25">
      <c r="A16" t="s">
        <v>700</v>
      </c>
      <c r="B16" t="s">
        <v>701</v>
      </c>
      <c r="C16" t="s">
        <v>6</v>
      </c>
    </row>
    <row r="17" spans="1:3" x14ac:dyDescent="0.25">
      <c r="A17" t="s">
        <v>24</v>
      </c>
      <c r="B17" t="s">
        <v>702</v>
      </c>
      <c r="C17" t="s">
        <v>26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C14"/>
  <sheetViews>
    <sheetView workbookViewId="0">
      <selection activeCell="D7" sqref="D7"/>
    </sheetView>
  </sheetViews>
  <sheetFormatPr defaultRowHeight="14" x14ac:dyDescent="0.25"/>
  <sheetData>
    <row r="1" spans="1:3" x14ac:dyDescent="0.25">
      <c r="A1" t="s">
        <v>703</v>
      </c>
    </row>
    <row r="2" spans="1:3" x14ac:dyDescent="0.25">
      <c r="A2" t="s">
        <v>1</v>
      </c>
      <c r="B2" t="s">
        <v>704</v>
      </c>
      <c r="C2" t="s">
        <v>3</v>
      </c>
    </row>
    <row r="3" spans="1:3" x14ac:dyDescent="0.25">
      <c r="A3" t="s">
        <v>705</v>
      </c>
      <c r="B3" t="s">
        <v>706</v>
      </c>
      <c r="C3" t="s">
        <v>31</v>
      </c>
    </row>
    <row r="4" spans="1:3" x14ac:dyDescent="0.25">
      <c r="A4" t="s">
        <v>707</v>
      </c>
      <c r="B4" t="s">
        <v>708</v>
      </c>
      <c r="C4" t="s">
        <v>34</v>
      </c>
    </row>
    <row r="5" spans="1:3" x14ac:dyDescent="0.25">
      <c r="A5" t="s">
        <v>709</v>
      </c>
      <c r="B5" t="s">
        <v>710</v>
      </c>
      <c r="C5" t="s">
        <v>6</v>
      </c>
    </row>
    <row r="6" spans="1:3" x14ac:dyDescent="0.25">
      <c r="A6">
        <v>10.11</v>
      </c>
      <c r="B6">
        <v>15.46</v>
      </c>
    </row>
    <row r="7" spans="1:3" x14ac:dyDescent="0.25">
      <c r="A7">
        <f>A6+7.93</f>
        <v>18.04</v>
      </c>
      <c r="B7">
        <v>12.82</v>
      </c>
    </row>
    <row r="8" spans="1:3" x14ac:dyDescent="0.25">
      <c r="A8">
        <f>A7+6</f>
        <v>24.04</v>
      </c>
      <c r="B8">
        <f>B7</f>
        <v>12.82</v>
      </c>
    </row>
    <row r="9" spans="1:3" x14ac:dyDescent="0.25">
      <c r="A9">
        <f>A8+6.9</f>
        <v>30.939999999999998</v>
      </c>
      <c r="B9">
        <v>15.12</v>
      </c>
    </row>
    <row r="10" spans="1:3" x14ac:dyDescent="0.25">
      <c r="A10">
        <f>A9+1.67</f>
        <v>32.61</v>
      </c>
      <c r="B10">
        <f>B9</f>
        <v>15.12</v>
      </c>
    </row>
    <row r="11" spans="1:3" x14ac:dyDescent="0.25">
      <c r="A11">
        <f>A10+1.1</f>
        <v>33.71</v>
      </c>
      <c r="B11">
        <v>14.87</v>
      </c>
    </row>
    <row r="12" spans="1:3" x14ac:dyDescent="0.25">
      <c r="A12" t="s">
        <v>711</v>
      </c>
      <c r="B12" t="s">
        <v>712</v>
      </c>
      <c r="C12" t="s">
        <v>6</v>
      </c>
    </row>
    <row r="13" spans="1:3" x14ac:dyDescent="0.25">
      <c r="A13" t="s">
        <v>713</v>
      </c>
      <c r="B13" t="s">
        <v>714</v>
      </c>
      <c r="C13" t="s">
        <v>6</v>
      </c>
    </row>
    <row r="14" spans="1:3" x14ac:dyDescent="0.25">
      <c r="A14" t="s">
        <v>24</v>
      </c>
      <c r="B14" t="s">
        <v>715</v>
      </c>
      <c r="C14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C16"/>
  <sheetViews>
    <sheetView workbookViewId="0"/>
  </sheetViews>
  <sheetFormatPr defaultRowHeight="14" x14ac:dyDescent="0.25"/>
  <sheetData>
    <row r="1" spans="1:3" x14ac:dyDescent="0.25">
      <c r="A1" t="s">
        <v>716</v>
      </c>
    </row>
    <row r="2" spans="1:3" x14ac:dyDescent="0.25">
      <c r="A2" t="s">
        <v>1</v>
      </c>
      <c r="B2" t="s">
        <v>717</v>
      </c>
      <c r="C2" t="s">
        <v>3</v>
      </c>
    </row>
    <row r="3" spans="1:3" x14ac:dyDescent="0.25">
      <c r="A3" t="s">
        <v>718</v>
      </c>
      <c r="B3" t="s">
        <v>719</v>
      </c>
      <c r="C3" t="s">
        <v>31</v>
      </c>
    </row>
    <row r="4" spans="1:3" x14ac:dyDescent="0.25">
      <c r="A4" t="s">
        <v>720</v>
      </c>
      <c r="B4" t="s">
        <v>721</v>
      </c>
      <c r="C4" t="s">
        <v>34</v>
      </c>
    </row>
    <row r="5" spans="1:3" x14ac:dyDescent="0.25">
      <c r="A5" t="s">
        <v>126</v>
      </c>
      <c r="B5" t="s">
        <v>76</v>
      </c>
      <c r="C5" t="s">
        <v>31</v>
      </c>
    </row>
    <row r="6" spans="1:3" x14ac:dyDescent="0.25">
      <c r="A6" t="s">
        <v>722</v>
      </c>
      <c r="B6" t="s">
        <v>723</v>
      </c>
      <c r="C6" t="s">
        <v>34</v>
      </c>
    </row>
    <row r="7" spans="1:3" x14ac:dyDescent="0.25">
      <c r="A7">
        <v>7.74</v>
      </c>
      <c r="B7">
        <v>15.54</v>
      </c>
    </row>
    <row r="8" spans="1:3" x14ac:dyDescent="0.25">
      <c r="A8">
        <f>A7+8.26</f>
        <v>16</v>
      </c>
      <c r="B8">
        <v>12.79</v>
      </c>
    </row>
    <row r="9" spans="1:3" x14ac:dyDescent="0.25">
      <c r="A9">
        <v>22</v>
      </c>
      <c r="B9">
        <f>B8</f>
        <v>12.79</v>
      </c>
    </row>
    <row r="10" spans="1:3" x14ac:dyDescent="0.25">
      <c r="A10" t="s">
        <v>729</v>
      </c>
      <c r="B10" t="s">
        <v>730</v>
      </c>
      <c r="C10" t="s">
        <v>34</v>
      </c>
    </row>
    <row r="11" spans="1:3" x14ac:dyDescent="0.25">
      <c r="A11" t="s">
        <v>731</v>
      </c>
      <c r="B11" t="s">
        <v>732</v>
      </c>
      <c r="C11" t="s">
        <v>31</v>
      </c>
    </row>
    <row r="12" spans="1:3" x14ac:dyDescent="0.25">
      <c r="A12" t="s">
        <v>733</v>
      </c>
      <c r="B12" t="s">
        <v>734</v>
      </c>
      <c r="C12" t="s">
        <v>6</v>
      </c>
    </row>
    <row r="13" spans="1:3" x14ac:dyDescent="0.25">
      <c r="A13" t="s">
        <v>735</v>
      </c>
      <c r="B13" t="s">
        <v>736</v>
      </c>
      <c r="C13" t="s">
        <v>6</v>
      </c>
    </row>
    <row r="14" spans="1:3" x14ac:dyDescent="0.25">
      <c r="A14" t="s">
        <v>737</v>
      </c>
      <c r="B14" t="s">
        <v>738</v>
      </c>
      <c r="C14" t="s">
        <v>6</v>
      </c>
    </row>
    <row r="15" spans="1:3" x14ac:dyDescent="0.25">
      <c r="A15" t="s">
        <v>739</v>
      </c>
      <c r="B15" t="s">
        <v>740</v>
      </c>
      <c r="C15" t="s">
        <v>6</v>
      </c>
    </row>
    <row r="16" spans="1:3" x14ac:dyDescent="0.25">
      <c r="A16" t="s">
        <v>24</v>
      </c>
      <c r="B16" t="s">
        <v>741</v>
      </c>
      <c r="C16" t="s">
        <v>26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C17"/>
  <sheetViews>
    <sheetView workbookViewId="0"/>
  </sheetViews>
  <sheetFormatPr defaultRowHeight="14" x14ac:dyDescent="0.25"/>
  <sheetData>
    <row r="1" spans="1:3" x14ac:dyDescent="0.25">
      <c r="A1" t="s">
        <v>742</v>
      </c>
    </row>
    <row r="2" spans="1:3" x14ac:dyDescent="0.25">
      <c r="A2" t="s">
        <v>1</v>
      </c>
      <c r="B2" t="s">
        <v>743</v>
      </c>
      <c r="C2" t="s">
        <v>3</v>
      </c>
    </row>
    <row r="3" spans="1:3" x14ac:dyDescent="0.25">
      <c r="A3" t="s">
        <v>333</v>
      </c>
      <c r="B3" t="s">
        <v>744</v>
      </c>
      <c r="C3" t="s">
        <v>6</v>
      </c>
    </row>
    <row r="4" spans="1:3" x14ac:dyDescent="0.25">
      <c r="A4" t="s">
        <v>745</v>
      </c>
      <c r="B4" t="s">
        <v>746</v>
      </c>
      <c r="C4" t="s">
        <v>6</v>
      </c>
    </row>
    <row r="5" spans="1:3" x14ac:dyDescent="0.25">
      <c r="A5" t="s">
        <v>747</v>
      </c>
      <c r="B5" t="s">
        <v>748</v>
      </c>
      <c r="C5" t="s">
        <v>31</v>
      </c>
    </row>
    <row r="6" spans="1:3" x14ac:dyDescent="0.25">
      <c r="A6" t="s">
        <v>749</v>
      </c>
      <c r="B6" t="s">
        <v>750</v>
      </c>
      <c r="C6" t="s">
        <v>34</v>
      </c>
    </row>
    <row r="7" spans="1:3" x14ac:dyDescent="0.25">
      <c r="A7">
        <v>9.0500000000000007</v>
      </c>
      <c r="B7">
        <v>15.73</v>
      </c>
    </row>
    <row r="8" spans="1:3" x14ac:dyDescent="0.25">
      <c r="A8">
        <f>A7+8.95</f>
        <v>18</v>
      </c>
      <c r="B8">
        <v>12.75</v>
      </c>
    </row>
    <row r="9" spans="1:3" x14ac:dyDescent="0.25">
      <c r="A9">
        <f>A8+6</f>
        <v>24</v>
      </c>
      <c r="B9">
        <f>B8</f>
        <v>12.75</v>
      </c>
    </row>
    <row r="10" spans="1:3" x14ac:dyDescent="0.25">
      <c r="A10">
        <f>A9+6.9</f>
        <v>30.9</v>
      </c>
      <c r="B10">
        <v>15.05</v>
      </c>
    </row>
    <row r="11" spans="1:3" x14ac:dyDescent="0.25">
      <c r="A11" t="s">
        <v>753</v>
      </c>
      <c r="B11" t="s">
        <v>754</v>
      </c>
      <c r="C11" t="s">
        <v>6</v>
      </c>
    </row>
    <row r="12" spans="1:3" x14ac:dyDescent="0.25">
      <c r="A12" t="s">
        <v>755</v>
      </c>
      <c r="B12" t="s">
        <v>170</v>
      </c>
      <c r="C12" t="s">
        <v>6</v>
      </c>
    </row>
    <row r="13" spans="1:3" x14ac:dyDescent="0.25">
      <c r="A13" t="s">
        <v>756</v>
      </c>
      <c r="B13" t="s">
        <v>757</v>
      </c>
      <c r="C13" t="s">
        <v>34</v>
      </c>
    </row>
    <row r="14" spans="1:3" x14ac:dyDescent="0.25">
      <c r="A14" t="s">
        <v>758</v>
      </c>
      <c r="B14" t="s">
        <v>759</v>
      </c>
      <c r="C14" t="s">
        <v>31</v>
      </c>
    </row>
    <row r="15" spans="1:3" x14ac:dyDescent="0.25">
      <c r="A15" t="s">
        <v>760</v>
      </c>
      <c r="B15" t="s">
        <v>761</v>
      </c>
      <c r="C15" t="s">
        <v>31</v>
      </c>
    </row>
    <row r="16" spans="1:3" x14ac:dyDescent="0.25">
      <c r="A16" t="s">
        <v>762</v>
      </c>
      <c r="B16" t="s">
        <v>763</v>
      </c>
      <c r="C16" t="s">
        <v>34</v>
      </c>
    </row>
    <row r="17" spans="1:3" x14ac:dyDescent="0.25">
      <c r="A17" t="s">
        <v>24</v>
      </c>
      <c r="B17" t="s">
        <v>764</v>
      </c>
      <c r="C17" t="s">
        <v>26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1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2611</v>
      </c>
    </row>
    <row r="2" spans="1:3" x14ac:dyDescent="0.25">
      <c r="A2" t="s">
        <v>1</v>
      </c>
      <c r="B2" t="s">
        <v>93</v>
      </c>
      <c r="C2" t="s">
        <v>3</v>
      </c>
    </row>
    <row r="3" spans="1:3" x14ac:dyDescent="0.25">
      <c r="A3" t="s">
        <v>94</v>
      </c>
      <c r="B3" t="s">
        <v>95</v>
      </c>
      <c r="C3" t="s">
        <v>31</v>
      </c>
    </row>
    <row r="4" spans="1:3" x14ac:dyDescent="0.25">
      <c r="A4" t="s">
        <v>54</v>
      </c>
      <c r="B4" t="s">
        <v>96</v>
      </c>
      <c r="C4" t="s">
        <v>34</v>
      </c>
    </row>
    <row r="5" spans="1:3" x14ac:dyDescent="0.25">
      <c r="A5" t="s">
        <v>97</v>
      </c>
      <c r="B5" t="s">
        <v>98</v>
      </c>
      <c r="C5" t="s">
        <v>34</v>
      </c>
    </row>
    <row r="6" spans="1:3" x14ac:dyDescent="0.25">
      <c r="A6" t="s">
        <v>99</v>
      </c>
      <c r="B6" t="s">
        <v>100</v>
      </c>
      <c r="C6" t="s">
        <v>31</v>
      </c>
    </row>
    <row r="7" spans="1:3" x14ac:dyDescent="0.25">
      <c r="A7" t="s">
        <v>101</v>
      </c>
      <c r="B7" t="s">
        <v>102</v>
      </c>
      <c r="C7" t="s">
        <v>31</v>
      </c>
    </row>
    <row r="8" spans="1:3" x14ac:dyDescent="0.25">
      <c r="A8" t="s">
        <v>103</v>
      </c>
      <c r="B8" t="s">
        <v>104</v>
      </c>
      <c r="C8" t="s">
        <v>34</v>
      </c>
    </row>
    <row r="9" spans="1:3" x14ac:dyDescent="0.25">
      <c r="A9">
        <f>A8+3.95</f>
        <v>16.97</v>
      </c>
      <c r="B9" t="str">
        <f>B8</f>
        <v>16.574</v>
      </c>
    </row>
    <row r="10" spans="1:3" x14ac:dyDescent="0.25">
      <c r="A10">
        <f>A9+2.34</f>
        <v>19.309999999999999</v>
      </c>
      <c r="B10">
        <v>14.2</v>
      </c>
    </row>
    <row r="11" spans="1:3" x14ac:dyDescent="0.25">
      <c r="A11">
        <f>A10+3.5</f>
        <v>22.81</v>
      </c>
      <c r="B11">
        <f>B10</f>
        <v>14.2</v>
      </c>
    </row>
    <row r="12" spans="1:3" x14ac:dyDescent="0.25">
      <c r="A12">
        <f>A11+2.41</f>
        <v>25.22</v>
      </c>
      <c r="B12">
        <f>B11+2.41</f>
        <v>16.61</v>
      </c>
    </row>
    <row r="13" spans="1:3" x14ac:dyDescent="0.25">
      <c r="A13" t="s">
        <v>90</v>
      </c>
      <c r="B13" t="s">
        <v>105</v>
      </c>
      <c r="C13" t="s">
        <v>11</v>
      </c>
    </row>
    <row r="14" spans="1:3" x14ac:dyDescent="0.25">
      <c r="A14" t="s">
        <v>106</v>
      </c>
      <c r="B14" t="s">
        <v>107</v>
      </c>
      <c r="C14" t="s">
        <v>6</v>
      </c>
    </row>
    <row r="15" spans="1:3" x14ac:dyDescent="0.25">
      <c r="A15" t="s">
        <v>108</v>
      </c>
      <c r="B15" t="s">
        <v>109</v>
      </c>
      <c r="C15" t="s">
        <v>6</v>
      </c>
    </row>
    <row r="16" spans="1:3" x14ac:dyDescent="0.25">
      <c r="A16" t="s">
        <v>110</v>
      </c>
      <c r="B16" t="s">
        <v>111</v>
      </c>
      <c r="C16" t="s">
        <v>6</v>
      </c>
    </row>
    <row r="17" spans="1:3" x14ac:dyDescent="0.25">
      <c r="A17" t="s">
        <v>112</v>
      </c>
      <c r="B17" t="s">
        <v>113</v>
      </c>
      <c r="C17" t="s">
        <v>6</v>
      </c>
    </row>
    <row r="18" spans="1:3" x14ac:dyDescent="0.25">
      <c r="A18" t="s">
        <v>114</v>
      </c>
      <c r="B18" t="s">
        <v>115</v>
      </c>
      <c r="C18" t="s">
        <v>6</v>
      </c>
    </row>
    <row r="19" spans="1:3" x14ac:dyDescent="0.25">
      <c r="A19" t="s">
        <v>116</v>
      </c>
      <c r="B19" t="s">
        <v>117</v>
      </c>
      <c r="C19" t="s">
        <v>6</v>
      </c>
    </row>
    <row r="20" spans="1:3" x14ac:dyDescent="0.25">
      <c r="A20" t="s">
        <v>118</v>
      </c>
      <c r="B20" t="s">
        <v>119</v>
      </c>
      <c r="C20" t="s">
        <v>31</v>
      </c>
    </row>
    <row r="21" spans="1:3" x14ac:dyDescent="0.25">
      <c r="A21" t="s">
        <v>24</v>
      </c>
      <c r="B21" t="s">
        <v>120</v>
      </c>
      <c r="C21" t="s">
        <v>26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C15"/>
  <sheetViews>
    <sheetView workbookViewId="0"/>
  </sheetViews>
  <sheetFormatPr defaultRowHeight="14" x14ac:dyDescent="0.25"/>
  <sheetData>
    <row r="1" spans="1:3" x14ac:dyDescent="0.25">
      <c r="A1" t="s">
        <v>765</v>
      </c>
    </row>
    <row r="2" spans="1:3" x14ac:dyDescent="0.25">
      <c r="A2" t="s">
        <v>1</v>
      </c>
      <c r="B2" t="s">
        <v>766</v>
      </c>
      <c r="C2" t="s">
        <v>3</v>
      </c>
    </row>
    <row r="3" spans="1:3" x14ac:dyDescent="0.25">
      <c r="A3" t="s">
        <v>767</v>
      </c>
      <c r="B3" t="s">
        <v>768</v>
      </c>
      <c r="C3" t="s">
        <v>31</v>
      </c>
    </row>
    <row r="4" spans="1:3" x14ac:dyDescent="0.25">
      <c r="A4" t="s">
        <v>769</v>
      </c>
      <c r="B4" t="s">
        <v>770</v>
      </c>
      <c r="C4" t="s">
        <v>34</v>
      </c>
    </row>
    <row r="5" spans="1:3" x14ac:dyDescent="0.25">
      <c r="A5" t="s">
        <v>771</v>
      </c>
      <c r="B5" t="s">
        <v>772</v>
      </c>
      <c r="C5" t="s">
        <v>6</v>
      </c>
    </row>
    <row r="6" spans="1:3" x14ac:dyDescent="0.25">
      <c r="A6" t="s">
        <v>407</v>
      </c>
      <c r="B6" t="s">
        <v>773</v>
      </c>
      <c r="C6" t="s">
        <v>6</v>
      </c>
    </row>
    <row r="7" spans="1:3" x14ac:dyDescent="0.25">
      <c r="A7">
        <f>A6+1</f>
        <v>7.59</v>
      </c>
      <c r="B7">
        <v>15.52</v>
      </c>
    </row>
    <row r="8" spans="1:3" x14ac:dyDescent="0.25">
      <c r="A8">
        <f>A7+8.41</f>
        <v>16</v>
      </c>
      <c r="B8">
        <v>12.72</v>
      </c>
    </row>
    <row r="9" spans="1:3" x14ac:dyDescent="0.25">
      <c r="A9">
        <f>A8+6</f>
        <v>22</v>
      </c>
      <c r="B9">
        <f>B8</f>
        <v>12.72</v>
      </c>
    </row>
    <row r="10" spans="1:3" x14ac:dyDescent="0.25">
      <c r="A10">
        <f>A9+11.4</f>
        <v>33.4</v>
      </c>
      <c r="B10">
        <v>16.52</v>
      </c>
    </row>
    <row r="11" spans="1:3" x14ac:dyDescent="0.25">
      <c r="A11" t="s">
        <v>776</v>
      </c>
      <c r="B11" t="s">
        <v>424</v>
      </c>
      <c r="C11" t="s">
        <v>31</v>
      </c>
    </row>
    <row r="12" spans="1:3" x14ac:dyDescent="0.25">
      <c r="A12" t="s">
        <v>777</v>
      </c>
      <c r="B12" t="s">
        <v>721</v>
      </c>
      <c r="C12" t="s">
        <v>34</v>
      </c>
    </row>
    <row r="13" spans="1:3" x14ac:dyDescent="0.25">
      <c r="A13" t="s">
        <v>628</v>
      </c>
      <c r="B13" t="s">
        <v>282</v>
      </c>
      <c r="C13" t="s">
        <v>649</v>
      </c>
    </row>
    <row r="14" spans="1:3" x14ac:dyDescent="0.25">
      <c r="A14" t="s">
        <v>778</v>
      </c>
      <c r="B14" t="s">
        <v>779</v>
      </c>
      <c r="C14" t="s">
        <v>649</v>
      </c>
    </row>
    <row r="15" spans="1:3" x14ac:dyDescent="0.25">
      <c r="A15" t="s">
        <v>24</v>
      </c>
      <c r="B15" t="s">
        <v>780</v>
      </c>
      <c r="C15" t="s">
        <v>26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19"/>
  <sheetViews>
    <sheetView workbookViewId="0"/>
  </sheetViews>
  <sheetFormatPr defaultRowHeight="14" x14ac:dyDescent="0.25"/>
  <sheetData>
    <row r="1" spans="1:3" x14ac:dyDescent="0.25">
      <c r="A1" t="s">
        <v>781</v>
      </c>
    </row>
    <row r="2" spans="1:3" x14ac:dyDescent="0.25">
      <c r="A2" t="s">
        <v>1</v>
      </c>
      <c r="B2" t="s">
        <v>488</v>
      </c>
      <c r="C2" t="s">
        <v>3</v>
      </c>
    </row>
    <row r="3" spans="1:3" x14ac:dyDescent="0.25">
      <c r="A3" t="s">
        <v>782</v>
      </c>
      <c r="B3" t="s">
        <v>783</v>
      </c>
      <c r="C3" t="s">
        <v>31</v>
      </c>
    </row>
    <row r="4" spans="1:3" x14ac:dyDescent="0.25">
      <c r="A4" t="s">
        <v>784</v>
      </c>
      <c r="B4" t="s">
        <v>785</v>
      </c>
      <c r="C4" t="s">
        <v>34</v>
      </c>
    </row>
    <row r="5" spans="1:3" x14ac:dyDescent="0.25">
      <c r="A5" t="s">
        <v>786</v>
      </c>
      <c r="B5" t="s">
        <v>787</v>
      </c>
      <c r="C5" t="s">
        <v>6</v>
      </c>
    </row>
    <row r="6" spans="1:3" x14ac:dyDescent="0.25">
      <c r="A6">
        <f>A5+1.13</f>
        <v>7.8999999999999995</v>
      </c>
      <c r="B6">
        <v>16.05</v>
      </c>
    </row>
    <row r="7" spans="1:3" x14ac:dyDescent="0.25">
      <c r="A7">
        <f>A6+10.1</f>
        <v>18</v>
      </c>
      <c r="B7">
        <v>12.68</v>
      </c>
    </row>
    <row r="8" spans="1:3" x14ac:dyDescent="0.25">
      <c r="A8">
        <f>A7+6</f>
        <v>24</v>
      </c>
      <c r="B8">
        <f>B7</f>
        <v>12.68</v>
      </c>
    </row>
    <row r="9" spans="1:3" x14ac:dyDescent="0.25">
      <c r="A9">
        <f>A8+10.94</f>
        <v>34.94</v>
      </c>
      <c r="B9" t="str">
        <f>B10</f>
        <v>16.33</v>
      </c>
    </row>
    <row r="10" spans="1:3" x14ac:dyDescent="0.25">
      <c r="A10" t="s">
        <v>790</v>
      </c>
      <c r="B10" t="s">
        <v>791</v>
      </c>
      <c r="C10" t="s">
        <v>649</v>
      </c>
    </row>
    <row r="11" spans="1:3" x14ac:dyDescent="0.25">
      <c r="A11" t="s">
        <v>792</v>
      </c>
      <c r="B11" t="s">
        <v>793</v>
      </c>
      <c r="C11" t="s">
        <v>240</v>
      </c>
    </row>
    <row r="12" spans="1:3" x14ac:dyDescent="0.25">
      <c r="A12" t="s">
        <v>794</v>
      </c>
      <c r="B12" t="s">
        <v>51</v>
      </c>
      <c r="C12" t="s">
        <v>240</v>
      </c>
    </row>
    <row r="13" spans="1:3" x14ac:dyDescent="0.25">
      <c r="A13" t="s">
        <v>795</v>
      </c>
      <c r="B13" t="s">
        <v>796</v>
      </c>
      <c r="C13" t="s">
        <v>31</v>
      </c>
    </row>
    <row r="14" spans="1:3" x14ac:dyDescent="0.25">
      <c r="A14" t="s">
        <v>797</v>
      </c>
      <c r="B14" t="s">
        <v>798</v>
      </c>
      <c r="C14" t="s">
        <v>34</v>
      </c>
    </row>
    <row r="15" spans="1:3" x14ac:dyDescent="0.25">
      <c r="A15" t="s">
        <v>799</v>
      </c>
      <c r="B15" t="s">
        <v>800</v>
      </c>
      <c r="C15" t="s">
        <v>34</v>
      </c>
    </row>
    <row r="16" spans="1:3" x14ac:dyDescent="0.25">
      <c r="A16" t="s">
        <v>801</v>
      </c>
      <c r="B16" t="s">
        <v>802</v>
      </c>
      <c r="C16" t="s">
        <v>31</v>
      </c>
    </row>
    <row r="17" spans="1:3" x14ac:dyDescent="0.25">
      <c r="A17" t="s">
        <v>803</v>
      </c>
      <c r="B17" t="s">
        <v>804</v>
      </c>
      <c r="C17" t="s">
        <v>240</v>
      </c>
    </row>
    <row r="18" spans="1:3" x14ac:dyDescent="0.25">
      <c r="A18" t="s">
        <v>805</v>
      </c>
      <c r="B18" t="s">
        <v>806</v>
      </c>
      <c r="C18" t="s">
        <v>240</v>
      </c>
    </row>
    <row r="19" spans="1:3" x14ac:dyDescent="0.25">
      <c r="A19" t="s">
        <v>24</v>
      </c>
      <c r="B19" t="s">
        <v>807</v>
      </c>
      <c r="C19" t="s">
        <v>26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C12"/>
  <sheetViews>
    <sheetView workbookViewId="0"/>
  </sheetViews>
  <sheetFormatPr defaultRowHeight="14" x14ac:dyDescent="0.25"/>
  <sheetData>
    <row r="1" spans="1:3" x14ac:dyDescent="0.25">
      <c r="A1" t="s">
        <v>808</v>
      </c>
    </row>
    <row r="2" spans="1:3" x14ac:dyDescent="0.25">
      <c r="A2" t="s">
        <v>1</v>
      </c>
      <c r="B2" t="s">
        <v>728</v>
      </c>
      <c r="C2" t="s">
        <v>3</v>
      </c>
    </row>
    <row r="3" spans="1:3" x14ac:dyDescent="0.25">
      <c r="A3" t="s">
        <v>152</v>
      </c>
      <c r="B3" t="s">
        <v>809</v>
      </c>
      <c r="C3" t="s">
        <v>31</v>
      </c>
    </row>
    <row r="4" spans="1:3" x14ac:dyDescent="0.25">
      <c r="A4" t="s">
        <v>810</v>
      </c>
      <c r="B4" t="s">
        <v>811</v>
      </c>
      <c r="C4" t="s">
        <v>34</v>
      </c>
    </row>
    <row r="5" spans="1:3" x14ac:dyDescent="0.25">
      <c r="A5" t="s">
        <v>812</v>
      </c>
      <c r="B5" t="s">
        <v>813</v>
      </c>
      <c r="C5" t="s">
        <v>34</v>
      </c>
    </row>
    <row r="6" spans="1:3" x14ac:dyDescent="0.25">
      <c r="A6">
        <f>A5+0.44</f>
        <v>4.34</v>
      </c>
      <c r="B6">
        <v>16.34</v>
      </c>
    </row>
    <row r="7" spans="1:3" x14ac:dyDescent="0.25">
      <c r="A7">
        <f>A6+0.64</f>
        <v>4.9799999999999995</v>
      </c>
      <c r="B7">
        <f>B6</f>
        <v>16.34</v>
      </c>
    </row>
    <row r="8" spans="1:3" x14ac:dyDescent="0.25">
      <c r="A8">
        <f>A7+11.08</f>
        <v>16.059999999999999</v>
      </c>
      <c r="B8">
        <v>12.65</v>
      </c>
    </row>
    <row r="9" spans="1:3" x14ac:dyDescent="0.25">
      <c r="A9">
        <f>A8+6</f>
        <v>22.06</v>
      </c>
      <c r="B9">
        <f>B8</f>
        <v>12.65</v>
      </c>
    </row>
    <row r="10" spans="1:3" x14ac:dyDescent="0.25">
      <c r="A10">
        <f>A9+12.11</f>
        <v>34.17</v>
      </c>
      <c r="B10" t="str">
        <f>B11</f>
        <v>16.688</v>
      </c>
    </row>
    <row r="11" spans="1:3" x14ac:dyDescent="0.25">
      <c r="A11" t="s">
        <v>815</v>
      </c>
      <c r="B11" t="s">
        <v>816</v>
      </c>
      <c r="C11" t="s">
        <v>68</v>
      </c>
    </row>
    <row r="12" spans="1:3" x14ac:dyDescent="0.25">
      <c r="A12" t="s">
        <v>24</v>
      </c>
      <c r="B12" t="s">
        <v>109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C15"/>
  <sheetViews>
    <sheetView workbookViewId="0"/>
  </sheetViews>
  <sheetFormatPr defaultRowHeight="14" x14ac:dyDescent="0.25"/>
  <sheetData>
    <row r="1" spans="1:3" x14ac:dyDescent="0.25">
      <c r="A1" t="s">
        <v>817</v>
      </c>
    </row>
    <row r="2" spans="1:3" x14ac:dyDescent="0.25">
      <c r="A2" t="s">
        <v>1</v>
      </c>
      <c r="B2" t="s">
        <v>818</v>
      </c>
      <c r="C2" t="s">
        <v>3</v>
      </c>
    </row>
    <row r="3" spans="1:3" x14ac:dyDescent="0.25">
      <c r="A3" t="s">
        <v>819</v>
      </c>
      <c r="B3" t="s">
        <v>820</v>
      </c>
      <c r="C3" t="s">
        <v>31</v>
      </c>
    </row>
    <row r="4" spans="1:3" x14ac:dyDescent="0.25">
      <c r="A4" t="s">
        <v>821</v>
      </c>
      <c r="B4" t="s">
        <v>281</v>
      </c>
      <c r="C4" t="s">
        <v>34</v>
      </c>
    </row>
    <row r="5" spans="1:3" x14ac:dyDescent="0.25">
      <c r="A5" t="s">
        <v>517</v>
      </c>
      <c r="B5" t="s">
        <v>822</v>
      </c>
      <c r="C5" t="s">
        <v>6</v>
      </c>
    </row>
    <row r="6" spans="1:3" x14ac:dyDescent="0.25">
      <c r="A6">
        <f>A5+0.19</f>
        <v>8.93</v>
      </c>
      <c r="B6">
        <v>15.63</v>
      </c>
    </row>
    <row r="7" spans="1:3" x14ac:dyDescent="0.25">
      <c r="A7">
        <f>A6+9.07</f>
        <v>18</v>
      </c>
      <c r="B7">
        <v>12.91</v>
      </c>
    </row>
    <row r="8" spans="1:3" x14ac:dyDescent="0.25">
      <c r="A8">
        <f>A7+6</f>
        <v>24</v>
      </c>
      <c r="B8">
        <f>B7</f>
        <v>12.91</v>
      </c>
    </row>
    <row r="9" spans="1:3" x14ac:dyDescent="0.25">
      <c r="A9" t="s">
        <v>825</v>
      </c>
      <c r="B9" t="s">
        <v>826</v>
      </c>
      <c r="C9" t="s">
        <v>31</v>
      </c>
    </row>
    <row r="10" spans="1:3" x14ac:dyDescent="0.25">
      <c r="A10">
        <f>A9+1.08</f>
        <v>36.089999999999996</v>
      </c>
      <c r="B10" t="str">
        <f>B9</f>
        <v>16.303</v>
      </c>
    </row>
    <row r="11" spans="1:3" x14ac:dyDescent="0.25">
      <c r="A11" t="s">
        <v>827</v>
      </c>
      <c r="B11" t="s">
        <v>828</v>
      </c>
      <c r="C11" t="s">
        <v>34</v>
      </c>
    </row>
    <row r="12" spans="1:3" x14ac:dyDescent="0.25">
      <c r="A12" t="s">
        <v>829</v>
      </c>
      <c r="B12" t="s">
        <v>453</v>
      </c>
      <c r="C12" t="s">
        <v>34</v>
      </c>
    </row>
    <row r="13" spans="1:3" x14ac:dyDescent="0.25">
      <c r="A13" t="s">
        <v>830</v>
      </c>
      <c r="B13" t="s">
        <v>831</v>
      </c>
      <c r="C13" t="s">
        <v>31</v>
      </c>
    </row>
    <row r="14" spans="1:3" x14ac:dyDescent="0.25">
      <c r="A14" t="s">
        <v>349</v>
      </c>
      <c r="B14" t="s">
        <v>832</v>
      </c>
      <c r="C14" t="s">
        <v>357</v>
      </c>
    </row>
    <row r="15" spans="1:3" x14ac:dyDescent="0.25">
      <c r="A15" t="s">
        <v>24</v>
      </c>
      <c r="B15" t="s">
        <v>833</v>
      </c>
      <c r="C15" t="s">
        <v>26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12"/>
  <sheetViews>
    <sheetView workbookViewId="0"/>
  </sheetViews>
  <sheetFormatPr defaultRowHeight="14" x14ac:dyDescent="0.25"/>
  <sheetData>
    <row r="1" spans="1:3" x14ac:dyDescent="0.25">
      <c r="A1" t="s">
        <v>834</v>
      </c>
    </row>
    <row r="2" spans="1:3" x14ac:dyDescent="0.25">
      <c r="A2" t="s">
        <v>1</v>
      </c>
      <c r="B2" t="s">
        <v>514</v>
      </c>
      <c r="C2" t="s">
        <v>3</v>
      </c>
    </row>
    <row r="3" spans="1:3" x14ac:dyDescent="0.25">
      <c r="A3" t="s">
        <v>835</v>
      </c>
      <c r="B3" t="s">
        <v>836</v>
      </c>
      <c r="C3" t="s">
        <v>409</v>
      </c>
    </row>
    <row r="4" spans="1:3" x14ac:dyDescent="0.25">
      <c r="A4">
        <v>8.5500000000000007</v>
      </c>
      <c r="B4">
        <v>15.37</v>
      </c>
    </row>
    <row r="5" spans="1:3" x14ac:dyDescent="0.25">
      <c r="A5">
        <f>A4+7.3</f>
        <v>15.850000000000001</v>
      </c>
      <c r="B5">
        <f>B4</f>
        <v>15.37</v>
      </c>
    </row>
    <row r="6" spans="1:3" x14ac:dyDescent="0.25">
      <c r="A6">
        <f>A5+8.4</f>
        <v>24.25</v>
      </c>
      <c r="B6">
        <v>12.57</v>
      </c>
    </row>
    <row r="7" spans="1:3" x14ac:dyDescent="0.25">
      <c r="A7">
        <f>A6+8.5</f>
        <v>32.75</v>
      </c>
      <c r="B7">
        <f>B6</f>
        <v>12.57</v>
      </c>
    </row>
    <row r="8" spans="1:3" x14ac:dyDescent="0.25">
      <c r="A8">
        <f>A7+8.4</f>
        <v>41.15</v>
      </c>
      <c r="B8">
        <v>15.37</v>
      </c>
    </row>
    <row r="9" spans="1:3" x14ac:dyDescent="0.25">
      <c r="A9">
        <f>A8+3.22</f>
        <v>44.37</v>
      </c>
      <c r="B9">
        <f>B8</f>
        <v>15.37</v>
      </c>
    </row>
    <row r="10" spans="1:3" x14ac:dyDescent="0.25">
      <c r="A10" t="s">
        <v>838</v>
      </c>
      <c r="B10" t="s">
        <v>839</v>
      </c>
      <c r="C10" t="s">
        <v>6</v>
      </c>
    </row>
    <row r="11" spans="1:3" x14ac:dyDescent="0.25">
      <c r="A11" t="s">
        <v>840</v>
      </c>
      <c r="B11" t="s">
        <v>841</v>
      </c>
      <c r="C11" t="s">
        <v>6</v>
      </c>
    </row>
    <row r="12" spans="1:3" x14ac:dyDescent="0.25">
      <c r="A12" t="s">
        <v>24</v>
      </c>
      <c r="B12" t="s">
        <v>842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C13"/>
  <sheetViews>
    <sheetView workbookViewId="0"/>
  </sheetViews>
  <sheetFormatPr defaultRowHeight="14" x14ac:dyDescent="0.25"/>
  <sheetData>
    <row r="1" spans="1:3" x14ac:dyDescent="0.25">
      <c r="A1" t="s">
        <v>843</v>
      </c>
    </row>
    <row r="2" spans="1:3" x14ac:dyDescent="0.25">
      <c r="A2" t="s">
        <v>1</v>
      </c>
      <c r="B2" t="s">
        <v>844</v>
      </c>
      <c r="C2" t="s">
        <v>3</v>
      </c>
    </row>
    <row r="3" spans="1:3" x14ac:dyDescent="0.25">
      <c r="A3" t="s">
        <v>845</v>
      </c>
      <c r="B3" t="s">
        <v>846</v>
      </c>
      <c r="C3" t="s">
        <v>6</v>
      </c>
    </row>
    <row r="4" spans="1:3" x14ac:dyDescent="0.25">
      <c r="A4" t="s">
        <v>847</v>
      </c>
      <c r="B4" t="s">
        <v>326</v>
      </c>
      <c r="C4" t="s">
        <v>409</v>
      </c>
    </row>
    <row r="5" spans="1:3" x14ac:dyDescent="0.25">
      <c r="A5" t="s">
        <v>848</v>
      </c>
      <c r="B5" t="s">
        <v>64</v>
      </c>
      <c r="C5" t="s">
        <v>411</v>
      </c>
    </row>
    <row r="6" spans="1:3" x14ac:dyDescent="0.25">
      <c r="A6">
        <f>A5+0.81</f>
        <v>7.74</v>
      </c>
      <c r="B6">
        <v>16.29</v>
      </c>
    </row>
    <row r="7" spans="1:3" x14ac:dyDescent="0.25">
      <c r="A7">
        <f>A6+11.26</f>
        <v>19</v>
      </c>
      <c r="B7">
        <v>12.54</v>
      </c>
    </row>
    <row r="8" spans="1:3" x14ac:dyDescent="0.25">
      <c r="A8">
        <f>A7+8.5</f>
        <v>27.5</v>
      </c>
      <c r="B8">
        <f>B7</f>
        <v>12.54</v>
      </c>
    </row>
    <row r="9" spans="1:3" x14ac:dyDescent="0.25">
      <c r="A9">
        <f>A8+9.7</f>
        <v>37.200000000000003</v>
      </c>
      <c r="B9">
        <v>15.77</v>
      </c>
    </row>
    <row r="10" spans="1:3" x14ac:dyDescent="0.25">
      <c r="A10" t="s">
        <v>849</v>
      </c>
      <c r="B10" t="s">
        <v>850</v>
      </c>
      <c r="C10" t="s">
        <v>34</v>
      </c>
    </row>
    <row r="11" spans="1:3" x14ac:dyDescent="0.25">
      <c r="A11" t="s">
        <v>851</v>
      </c>
      <c r="B11" t="s">
        <v>852</v>
      </c>
      <c r="C11" t="s">
        <v>31</v>
      </c>
    </row>
    <row r="12" spans="1:3" x14ac:dyDescent="0.25">
      <c r="A12" t="s">
        <v>853</v>
      </c>
      <c r="B12" t="s">
        <v>854</v>
      </c>
      <c r="C12" t="s">
        <v>68</v>
      </c>
    </row>
    <row r="13" spans="1:3" x14ac:dyDescent="0.25">
      <c r="A13" t="s">
        <v>24</v>
      </c>
      <c r="B13" t="s">
        <v>855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C8"/>
  <sheetViews>
    <sheetView workbookViewId="0"/>
  </sheetViews>
  <sheetFormatPr defaultRowHeight="14" x14ac:dyDescent="0.25"/>
  <sheetData>
    <row r="1" spans="1:3" x14ac:dyDescent="0.25">
      <c r="A1" t="s">
        <v>856</v>
      </c>
    </row>
    <row r="2" spans="1:3" x14ac:dyDescent="0.25">
      <c r="A2" t="s">
        <v>1</v>
      </c>
      <c r="B2" t="s">
        <v>469</v>
      </c>
      <c r="C2" t="s">
        <v>3</v>
      </c>
    </row>
    <row r="3" spans="1:3" x14ac:dyDescent="0.25">
      <c r="A3">
        <v>10.46</v>
      </c>
      <c r="B3">
        <v>17.11</v>
      </c>
    </row>
    <row r="4" spans="1:3" x14ac:dyDescent="0.25">
      <c r="A4">
        <f>A3+13.79</f>
        <v>24.25</v>
      </c>
      <c r="B4">
        <v>12.5</v>
      </c>
    </row>
    <row r="5" spans="1:3" x14ac:dyDescent="0.25">
      <c r="A5">
        <f>A4+8.5</f>
        <v>32.75</v>
      </c>
      <c r="B5">
        <f>B4</f>
        <v>12.5</v>
      </c>
    </row>
    <row r="6" spans="1:3" x14ac:dyDescent="0.25">
      <c r="A6">
        <f>A5+13.62</f>
        <v>46.37</v>
      </c>
      <c r="B6">
        <v>17.04</v>
      </c>
    </row>
    <row r="7" spans="1:3" x14ac:dyDescent="0.25">
      <c r="A7" t="s">
        <v>857</v>
      </c>
      <c r="B7" t="s">
        <v>665</v>
      </c>
      <c r="C7" t="s">
        <v>68</v>
      </c>
    </row>
    <row r="8" spans="1:3" x14ac:dyDescent="0.25">
      <c r="A8" t="s">
        <v>24</v>
      </c>
      <c r="B8" t="s">
        <v>858</v>
      </c>
      <c r="C8" t="s">
        <v>26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11"/>
  <sheetViews>
    <sheetView workbookViewId="0"/>
  </sheetViews>
  <sheetFormatPr defaultRowHeight="14" x14ac:dyDescent="0.25"/>
  <sheetData>
    <row r="1" spans="1:3" x14ac:dyDescent="0.25">
      <c r="A1" t="s">
        <v>859</v>
      </c>
    </row>
    <row r="2" spans="1:3" x14ac:dyDescent="0.25">
      <c r="A2" t="s">
        <v>1</v>
      </c>
      <c r="B2" t="s">
        <v>860</v>
      </c>
      <c r="C2" t="s">
        <v>3</v>
      </c>
    </row>
    <row r="3" spans="1:3" x14ac:dyDescent="0.25">
      <c r="A3" t="s">
        <v>861</v>
      </c>
      <c r="B3" t="s">
        <v>862</v>
      </c>
      <c r="C3" t="s">
        <v>409</v>
      </c>
    </row>
    <row r="4" spans="1:3" x14ac:dyDescent="0.25">
      <c r="A4">
        <v>9.33</v>
      </c>
      <c r="B4">
        <v>15.27</v>
      </c>
    </row>
    <row r="5" spans="1:3" x14ac:dyDescent="0.25">
      <c r="A5">
        <f>A4+1.02</f>
        <v>10.35</v>
      </c>
      <c r="B5">
        <f>B4</f>
        <v>15.27</v>
      </c>
    </row>
    <row r="6" spans="1:3" x14ac:dyDescent="0.25">
      <c r="A6">
        <f>A5+0.84</f>
        <v>11.19</v>
      </c>
      <c r="B6">
        <v>12.47</v>
      </c>
    </row>
    <row r="7" spans="1:3" x14ac:dyDescent="0.25">
      <c r="A7">
        <f>A6+8.5</f>
        <v>19.689999999999998</v>
      </c>
      <c r="B7">
        <f>B6</f>
        <v>12.47</v>
      </c>
    </row>
    <row r="8" spans="1:3" x14ac:dyDescent="0.25">
      <c r="A8">
        <f>A7+13.31</f>
        <v>33</v>
      </c>
      <c r="B8">
        <v>16.91</v>
      </c>
    </row>
    <row r="9" spans="1:3" x14ac:dyDescent="0.25">
      <c r="A9" t="s">
        <v>863</v>
      </c>
      <c r="B9" t="s">
        <v>775</v>
      </c>
      <c r="C9" t="s">
        <v>11</v>
      </c>
    </row>
    <row r="10" spans="1:3" x14ac:dyDescent="0.25">
      <c r="A10" t="s">
        <v>864</v>
      </c>
      <c r="B10" t="s">
        <v>865</v>
      </c>
      <c r="C10" t="s">
        <v>11</v>
      </c>
    </row>
    <row r="11" spans="1:3" x14ac:dyDescent="0.25">
      <c r="A11" t="s">
        <v>24</v>
      </c>
      <c r="B11" t="s">
        <v>582</v>
      </c>
      <c r="C11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C12"/>
  <sheetViews>
    <sheetView workbookViewId="0"/>
  </sheetViews>
  <sheetFormatPr defaultRowHeight="14" x14ac:dyDescent="0.25"/>
  <sheetData>
    <row r="1" spans="1:3" x14ac:dyDescent="0.25">
      <c r="A1" t="s">
        <v>866</v>
      </c>
    </row>
    <row r="2" spans="1:3" x14ac:dyDescent="0.25">
      <c r="A2" t="s">
        <v>1</v>
      </c>
      <c r="B2" t="s">
        <v>867</v>
      </c>
      <c r="C2" t="s">
        <v>3</v>
      </c>
    </row>
    <row r="3" spans="1:3" x14ac:dyDescent="0.25">
      <c r="A3" t="s">
        <v>273</v>
      </c>
      <c r="B3" t="s">
        <v>666</v>
      </c>
      <c r="C3" t="s">
        <v>31</v>
      </c>
    </row>
    <row r="4" spans="1:3" x14ac:dyDescent="0.25">
      <c r="A4" t="s">
        <v>784</v>
      </c>
      <c r="B4" t="s">
        <v>301</v>
      </c>
      <c r="C4" t="s">
        <v>34</v>
      </c>
    </row>
    <row r="5" spans="1:3" x14ac:dyDescent="0.25">
      <c r="A5">
        <v>8.7100000000000009</v>
      </c>
      <c r="B5">
        <v>16.29</v>
      </c>
    </row>
    <row r="6" spans="1:3" x14ac:dyDescent="0.25">
      <c r="A6">
        <f>A5+0.68</f>
        <v>9.39</v>
      </c>
      <c r="B6">
        <f>B5+0.56</f>
        <v>16.849999999999998</v>
      </c>
    </row>
    <row r="7" spans="1:3" x14ac:dyDescent="0.25">
      <c r="A7">
        <f>A6+1.76</f>
        <v>11.15</v>
      </c>
      <c r="B7">
        <f>B6-0.06</f>
        <v>16.79</v>
      </c>
    </row>
    <row r="8" spans="1:3" x14ac:dyDescent="0.25">
      <c r="A8">
        <f>A7+13.1</f>
        <v>24.25</v>
      </c>
      <c r="B8">
        <v>12.43</v>
      </c>
    </row>
    <row r="9" spans="1:3" x14ac:dyDescent="0.25">
      <c r="A9">
        <f>A8+8.5</f>
        <v>32.75</v>
      </c>
      <c r="B9">
        <f>B8</f>
        <v>12.43</v>
      </c>
    </row>
    <row r="10" spans="1:3" x14ac:dyDescent="0.25">
      <c r="A10">
        <f>A9+11.83</f>
        <v>44.58</v>
      </c>
      <c r="B10">
        <v>16.37</v>
      </c>
    </row>
    <row r="11" spans="1:3" x14ac:dyDescent="0.25">
      <c r="A11" t="s">
        <v>871</v>
      </c>
      <c r="B11" t="s">
        <v>872</v>
      </c>
      <c r="C11" t="s">
        <v>68</v>
      </c>
    </row>
    <row r="12" spans="1:3" x14ac:dyDescent="0.25">
      <c r="A12" t="s">
        <v>24</v>
      </c>
      <c r="B12" t="s">
        <v>873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C12"/>
  <sheetViews>
    <sheetView workbookViewId="0"/>
  </sheetViews>
  <sheetFormatPr defaultRowHeight="14" x14ac:dyDescent="0.25"/>
  <sheetData>
    <row r="1" spans="1:3" x14ac:dyDescent="0.25">
      <c r="A1" t="s">
        <v>874</v>
      </c>
    </row>
    <row r="2" spans="1:3" x14ac:dyDescent="0.25">
      <c r="A2" t="s">
        <v>1</v>
      </c>
      <c r="B2" t="s">
        <v>875</v>
      </c>
      <c r="C2" t="s">
        <v>3</v>
      </c>
    </row>
    <row r="3" spans="1:3" x14ac:dyDescent="0.25">
      <c r="A3" t="s">
        <v>876</v>
      </c>
      <c r="B3" t="s">
        <v>877</v>
      </c>
      <c r="C3" t="s">
        <v>409</v>
      </c>
    </row>
    <row r="4" spans="1:3" x14ac:dyDescent="0.25">
      <c r="A4" t="s">
        <v>878</v>
      </c>
      <c r="B4" t="s">
        <v>879</v>
      </c>
      <c r="C4" t="s">
        <v>411</v>
      </c>
    </row>
    <row r="5" spans="1:3" x14ac:dyDescent="0.25">
      <c r="A5">
        <f>A4+3.08</f>
        <v>6.34</v>
      </c>
      <c r="B5" t="str">
        <f>B4</f>
        <v>15.889</v>
      </c>
    </row>
    <row r="6" spans="1:3" x14ac:dyDescent="0.25">
      <c r="A6">
        <f>A5+10.67</f>
        <v>17.009999999999998</v>
      </c>
      <c r="B6">
        <v>12.4</v>
      </c>
    </row>
    <row r="7" spans="1:3" x14ac:dyDescent="0.25">
      <c r="A7">
        <f>A6+8.5</f>
        <v>25.509999999999998</v>
      </c>
      <c r="B7">
        <f>B6</f>
        <v>12.4</v>
      </c>
    </row>
    <row r="8" spans="1:3" x14ac:dyDescent="0.25">
      <c r="A8">
        <f>A7+10.94</f>
        <v>36.449999999999996</v>
      </c>
      <c r="B8" t="str">
        <f>B9</f>
        <v>16.044</v>
      </c>
    </row>
    <row r="9" spans="1:3" x14ac:dyDescent="0.25">
      <c r="A9" t="s">
        <v>266</v>
      </c>
      <c r="B9" t="s">
        <v>882</v>
      </c>
      <c r="C9" t="s">
        <v>68</v>
      </c>
    </row>
    <row r="10" spans="1:3" x14ac:dyDescent="0.25">
      <c r="A10" t="s">
        <v>883</v>
      </c>
      <c r="B10" t="s">
        <v>684</v>
      </c>
      <c r="C10" t="s">
        <v>68</v>
      </c>
    </row>
    <row r="11" spans="1:3" x14ac:dyDescent="0.25">
      <c r="A11" t="s">
        <v>884</v>
      </c>
      <c r="B11" t="s">
        <v>885</v>
      </c>
      <c r="C11" t="s">
        <v>68</v>
      </c>
    </row>
    <row r="12" spans="1:3" x14ac:dyDescent="0.25">
      <c r="A12" t="s">
        <v>24</v>
      </c>
      <c r="B12" t="s">
        <v>886</v>
      </c>
      <c r="C12" t="s">
        <v>26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2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121</v>
      </c>
    </row>
    <row r="2" spans="1:3" x14ac:dyDescent="0.25">
      <c r="A2" t="s">
        <v>1</v>
      </c>
      <c r="B2" t="s">
        <v>122</v>
      </c>
      <c r="C2" t="s">
        <v>3</v>
      </c>
    </row>
    <row r="3" spans="1:3" x14ac:dyDescent="0.25">
      <c r="A3" t="s">
        <v>94</v>
      </c>
      <c r="B3" t="s">
        <v>123</v>
      </c>
      <c r="C3" t="s">
        <v>31</v>
      </c>
    </row>
    <row r="4" spans="1:3" x14ac:dyDescent="0.25">
      <c r="A4" t="s">
        <v>124</v>
      </c>
      <c r="B4" t="s">
        <v>125</v>
      </c>
      <c r="C4" t="s">
        <v>34</v>
      </c>
    </row>
    <row r="5" spans="1:3" x14ac:dyDescent="0.25">
      <c r="A5" t="s">
        <v>126</v>
      </c>
      <c r="B5" t="s">
        <v>127</v>
      </c>
      <c r="C5" t="s">
        <v>31</v>
      </c>
    </row>
    <row r="6" spans="1:3" x14ac:dyDescent="0.25">
      <c r="A6" t="s">
        <v>128</v>
      </c>
      <c r="B6" t="s">
        <v>129</v>
      </c>
      <c r="C6" t="s">
        <v>34</v>
      </c>
    </row>
    <row r="7" spans="1:3" x14ac:dyDescent="0.25">
      <c r="A7">
        <v>9.6999999999999993</v>
      </c>
      <c r="B7">
        <v>16.489999999999998</v>
      </c>
    </row>
    <row r="8" spans="1:3" x14ac:dyDescent="0.25">
      <c r="A8">
        <f>A7+2.32</f>
        <v>12.02</v>
      </c>
      <c r="B8">
        <v>14.17</v>
      </c>
    </row>
    <row r="9" spans="1:3" x14ac:dyDescent="0.25">
      <c r="A9">
        <f>A8+3.5</f>
        <v>15.52</v>
      </c>
      <c r="B9">
        <f>B8</f>
        <v>14.17</v>
      </c>
    </row>
    <row r="10" spans="1:3" x14ac:dyDescent="0.25">
      <c r="A10">
        <f>A9+2.21</f>
        <v>17.73</v>
      </c>
      <c r="B10">
        <f>B9+2.21</f>
        <v>16.38</v>
      </c>
    </row>
    <row r="11" spans="1:3" x14ac:dyDescent="0.25">
      <c r="A11" t="s">
        <v>130</v>
      </c>
      <c r="B11" t="s">
        <v>131</v>
      </c>
      <c r="C11" t="s">
        <v>6</v>
      </c>
    </row>
    <row r="12" spans="1:3" x14ac:dyDescent="0.25">
      <c r="A12" t="s">
        <v>132</v>
      </c>
      <c r="B12" t="s">
        <v>133</v>
      </c>
      <c r="C12" t="s">
        <v>6</v>
      </c>
    </row>
    <row r="13" spans="1:3" x14ac:dyDescent="0.25">
      <c r="A13" t="s">
        <v>134</v>
      </c>
      <c r="B13" t="s">
        <v>109</v>
      </c>
      <c r="C13" t="s">
        <v>6</v>
      </c>
    </row>
    <row r="14" spans="1:3" x14ac:dyDescent="0.25">
      <c r="A14" t="s">
        <v>135</v>
      </c>
      <c r="B14" t="s">
        <v>136</v>
      </c>
      <c r="C14" t="s">
        <v>11</v>
      </c>
    </row>
    <row r="15" spans="1:3" x14ac:dyDescent="0.25">
      <c r="A15" t="s">
        <v>137</v>
      </c>
      <c r="B15" t="s">
        <v>138</v>
      </c>
      <c r="C15" t="s">
        <v>6</v>
      </c>
    </row>
    <row r="16" spans="1:3" x14ac:dyDescent="0.25">
      <c r="A16" t="s">
        <v>139</v>
      </c>
      <c r="B16" t="s">
        <v>140</v>
      </c>
      <c r="C16" t="s">
        <v>6</v>
      </c>
    </row>
    <row r="17" spans="1:3" x14ac:dyDescent="0.25">
      <c r="A17" t="s">
        <v>141</v>
      </c>
      <c r="B17" t="s">
        <v>142</v>
      </c>
      <c r="C17" t="s">
        <v>6</v>
      </c>
    </row>
    <row r="18" spans="1:3" x14ac:dyDescent="0.25">
      <c r="A18" t="s">
        <v>143</v>
      </c>
      <c r="B18" t="s">
        <v>144</v>
      </c>
      <c r="C18" t="s">
        <v>6</v>
      </c>
    </row>
    <row r="19" spans="1:3" x14ac:dyDescent="0.25">
      <c r="A19" t="s">
        <v>145</v>
      </c>
      <c r="B19" t="s">
        <v>146</v>
      </c>
      <c r="C19" t="s">
        <v>34</v>
      </c>
    </row>
    <row r="20" spans="1:3" x14ac:dyDescent="0.25">
      <c r="A20" t="s">
        <v>147</v>
      </c>
      <c r="B20" t="s">
        <v>148</v>
      </c>
      <c r="C20" t="s">
        <v>31</v>
      </c>
    </row>
    <row r="21" spans="1:3" x14ac:dyDescent="0.25">
      <c r="A21" t="s">
        <v>149</v>
      </c>
      <c r="B21" t="s">
        <v>150</v>
      </c>
      <c r="C21" t="s">
        <v>6</v>
      </c>
    </row>
    <row r="22" spans="1:3" x14ac:dyDescent="0.25">
      <c r="A22" t="s">
        <v>24</v>
      </c>
      <c r="B22" t="s">
        <v>151</v>
      </c>
      <c r="C22" t="s">
        <v>26</v>
      </c>
    </row>
  </sheetData>
  <phoneticPr fontId="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C16"/>
  <sheetViews>
    <sheetView workbookViewId="0"/>
  </sheetViews>
  <sheetFormatPr defaultRowHeight="14" x14ac:dyDescent="0.25"/>
  <sheetData>
    <row r="1" spans="1:3" x14ac:dyDescent="0.25">
      <c r="A1" t="s">
        <v>887</v>
      </c>
    </row>
    <row r="2" spans="1:3" x14ac:dyDescent="0.25">
      <c r="A2" t="s">
        <v>1</v>
      </c>
      <c r="B2" t="s">
        <v>888</v>
      </c>
      <c r="C2" t="s">
        <v>3</v>
      </c>
    </row>
    <row r="3" spans="1:3" x14ac:dyDescent="0.25">
      <c r="A3" t="s">
        <v>745</v>
      </c>
      <c r="B3" t="s">
        <v>666</v>
      </c>
      <c r="C3" t="s">
        <v>409</v>
      </c>
    </row>
    <row r="4" spans="1:3" x14ac:dyDescent="0.25">
      <c r="A4" t="s">
        <v>889</v>
      </c>
      <c r="B4" t="s">
        <v>881</v>
      </c>
      <c r="C4" t="s">
        <v>411</v>
      </c>
    </row>
    <row r="5" spans="1:3" x14ac:dyDescent="0.25">
      <c r="A5" t="s">
        <v>890</v>
      </c>
      <c r="B5" t="s">
        <v>891</v>
      </c>
      <c r="C5" t="s">
        <v>6</v>
      </c>
    </row>
    <row r="6" spans="1:3" x14ac:dyDescent="0.25">
      <c r="A6">
        <v>8.58</v>
      </c>
      <c r="B6">
        <v>16</v>
      </c>
    </row>
    <row r="7" spans="1:3" x14ac:dyDescent="0.25">
      <c r="A7">
        <f>A6+1.08</f>
        <v>9.66</v>
      </c>
      <c r="B7">
        <v>16.75</v>
      </c>
    </row>
    <row r="8" spans="1:3" x14ac:dyDescent="0.25">
      <c r="A8">
        <f>A7+1.36</f>
        <v>11.02</v>
      </c>
      <c r="B8">
        <f>B7</f>
        <v>16.75</v>
      </c>
    </row>
    <row r="9" spans="1:3" x14ac:dyDescent="0.25">
      <c r="A9">
        <f>A8+13.23</f>
        <v>24.25</v>
      </c>
      <c r="B9">
        <v>12.36</v>
      </c>
    </row>
    <row r="10" spans="1:3" x14ac:dyDescent="0.25">
      <c r="A10">
        <f>A9+8.5</f>
        <v>32.75</v>
      </c>
      <c r="B10">
        <f>B9</f>
        <v>12.36</v>
      </c>
    </row>
    <row r="11" spans="1:3" x14ac:dyDescent="0.25">
      <c r="A11">
        <f>A10+11.37</f>
        <v>44.12</v>
      </c>
      <c r="B11" t="str">
        <f>B12</f>
        <v>16.149</v>
      </c>
    </row>
    <row r="12" spans="1:3" x14ac:dyDescent="0.25">
      <c r="A12" t="s">
        <v>894</v>
      </c>
      <c r="B12" t="s">
        <v>895</v>
      </c>
      <c r="C12" t="s">
        <v>68</v>
      </c>
    </row>
    <row r="13" spans="1:3" x14ac:dyDescent="0.25">
      <c r="A13" t="s">
        <v>896</v>
      </c>
      <c r="B13" t="s">
        <v>897</v>
      </c>
      <c r="C13" t="s">
        <v>68</v>
      </c>
    </row>
    <row r="14" spans="1:3" x14ac:dyDescent="0.25">
      <c r="A14" t="s">
        <v>898</v>
      </c>
      <c r="B14" t="s">
        <v>870</v>
      </c>
      <c r="C14" t="s">
        <v>357</v>
      </c>
    </row>
    <row r="15" spans="1:3" x14ac:dyDescent="0.25">
      <c r="A15" t="s">
        <v>899</v>
      </c>
      <c r="B15" t="s">
        <v>303</v>
      </c>
      <c r="C15" t="s">
        <v>357</v>
      </c>
    </row>
    <row r="16" spans="1:3" x14ac:dyDescent="0.25">
      <c r="A16" t="s">
        <v>900</v>
      </c>
      <c r="B16" t="s">
        <v>901</v>
      </c>
      <c r="C16" t="s">
        <v>26</v>
      </c>
    </row>
  </sheetData>
  <phoneticPr fontId="1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C19"/>
  <sheetViews>
    <sheetView workbookViewId="0"/>
  </sheetViews>
  <sheetFormatPr defaultRowHeight="14" x14ac:dyDescent="0.25"/>
  <sheetData>
    <row r="1" spans="1:3" x14ac:dyDescent="0.25">
      <c r="A1" t="s">
        <v>902</v>
      </c>
    </row>
    <row r="2" spans="1:3" x14ac:dyDescent="0.25">
      <c r="A2" t="s">
        <v>1</v>
      </c>
      <c r="B2" t="s">
        <v>401</v>
      </c>
      <c r="C2" t="s">
        <v>3</v>
      </c>
    </row>
    <row r="3" spans="1:3" x14ac:dyDescent="0.25">
      <c r="A3" t="s">
        <v>903</v>
      </c>
      <c r="B3" t="s">
        <v>904</v>
      </c>
      <c r="C3" t="s">
        <v>409</v>
      </c>
    </row>
    <row r="4" spans="1:3" x14ac:dyDescent="0.25">
      <c r="A4" t="s">
        <v>905</v>
      </c>
      <c r="B4" t="s">
        <v>906</v>
      </c>
      <c r="C4" t="s">
        <v>411</v>
      </c>
    </row>
    <row r="5" spans="1:3" x14ac:dyDescent="0.25">
      <c r="A5" t="s">
        <v>907</v>
      </c>
      <c r="B5" t="s">
        <v>908</v>
      </c>
      <c r="C5" t="s">
        <v>31</v>
      </c>
    </row>
    <row r="6" spans="1:3" x14ac:dyDescent="0.25">
      <c r="A6" t="s">
        <v>909</v>
      </c>
      <c r="B6" t="s">
        <v>726</v>
      </c>
      <c r="C6" t="s">
        <v>34</v>
      </c>
    </row>
    <row r="7" spans="1:3" x14ac:dyDescent="0.25">
      <c r="A7" t="s">
        <v>910</v>
      </c>
      <c r="B7" t="s">
        <v>911</v>
      </c>
      <c r="C7" t="s">
        <v>34</v>
      </c>
    </row>
    <row r="8" spans="1:3" x14ac:dyDescent="0.25">
      <c r="A8">
        <f>A7+0.99</f>
        <v>6.66</v>
      </c>
      <c r="B8">
        <f>B7+0.52</f>
        <v>15.898</v>
      </c>
    </row>
    <row r="9" spans="1:3" x14ac:dyDescent="0.25">
      <c r="A9">
        <f>A8+1.28</f>
        <v>7.94</v>
      </c>
      <c r="B9">
        <f>B8</f>
        <v>15.898</v>
      </c>
    </row>
    <row r="10" spans="1:3" x14ac:dyDescent="0.25">
      <c r="A10">
        <f>A9+10.77</f>
        <v>18.71</v>
      </c>
      <c r="B10">
        <v>12.33</v>
      </c>
    </row>
    <row r="11" spans="1:3" x14ac:dyDescent="0.25">
      <c r="A11">
        <f>A10+8.5</f>
        <v>27.21</v>
      </c>
      <c r="B11">
        <v>12.33</v>
      </c>
    </row>
    <row r="12" spans="1:3" x14ac:dyDescent="0.25">
      <c r="A12">
        <f>A11+11.23</f>
        <v>38.44</v>
      </c>
      <c r="B12">
        <f>B11+11.23/3</f>
        <v>16.073333333333334</v>
      </c>
    </row>
    <row r="13" spans="1:3" x14ac:dyDescent="0.25">
      <c r="A13" t="s">
        <v>912</v>
      </c>
      <c r="B13" t="s">
        <v>913</v>
      </c>
      <c r="C13" t="s">
        <v>68</v>
      </c>
    </row>
    <row r="14" spans="1:3" x14ac:dyDescent="0.25">
      <c r="A14" t="s">
        <v>914</v>
      </c>
      <c r="B14" t="s">
        <v>702</v>
      </c>
      <c r="C14" t="s">
        <v>68</v>
      </c>
    </row>
    <row r="15" spans="1:3" x14ac:dyDescent="0.25">
      <c r="A15" t="s">
        <v>915</v>
      </c>
      <c r="B15" t="s">
        <v>916</v>
      </c>
      <c r="C15" t="s">
        <v>357</v>
      </c>
    </row>
    <row r="16" spans="1:3" x14ac:dyDescent="0.25">
      <c r="A16" t="s">
        <v>917</v>
      </c>
      <c r="B16" t="s">
        <v>918</v>
      </c>
      <c r="C16" t="s">
        <v>357</v>
      </c>
    </row>
    <row r="17" spans="1:3" x14ac:dyDescent="0.25">
      <c r="A17" t="s">
        <v>919</v>
      </c>
      <c r="B17" t="s">
        <v>330</v>
      </c>
      <c r="C17" t="s">
        <v>357</v>
      </c>
    </row>
    <row r="18" spans="1:3" x14ac:dyDescent="0.25">
      <c r="A18" t="s">
        <v>920</v>
      </c>
      <c r="B18" t="s">
        <v>893</v>
      </c>
      <c r="C18" t="s">
        <v>357</v>
      </c>
    </row>
    <row r="19" spans="1:3" x14ac:dyDescent="0.25">
      <c r="A19" t="s">
        <v>921</v>
      </c>
      <c r="B19" t="s">
        <v>303</v>
      </c>
      <c r="C19" t="s">
        <v>26</v>
      </c>
    </row>
  </sheetData>
  <phoneticPr fontId="1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C16"/>
  <sheetViews>
    <sheetView workbookViewId="0"/>
  </sheetViews>
  <sheetFormatPr defaultRowHeight="14" x14ac:dyDescent="0.25"/>
  <sheetData>
    <row r="1" spans="1:3" x14ac:dyDescent="0.25">
      <c r="A1" t="s">
        <v>922</v>
      </c>
    </row>
    <row r="2" spans="1:3" x14ac:dyDescent="0.25">
      <c r="A2" t="s">
        <v>1</v>
      </c>
      <c r="B2" t="s">
        <v>923</v>
      </c>
      <c r="C2" t="s">
        <v>3</v>
      </c>
    </row>
    <row r="3" spans="1:3" x14ac:dyDescent="0.25">
      <c r="A3" t="s">
        <v>782</v>
      </c>
      <c r="B3" t="s">
        <v>924</v>
      </c>
      <c r="C3" t="s">
        <v>31</v>
      </c>
    </row>
    <row r="4" spans="1:3" x14ac:dyDescent="0.25">
      <c r="A4" t="s">
        <v>925</v>
      </c>
      <c r="B4" t="s">
        <v>926</v>
      </c>
      <c r="C4" t="s">
        <v>34</v>
      </c>
    </row>
    <row r="5" spans="1:3" x14ac:dyDescent="0.25">
      <c r="A5">
        <v>7.85</v>
      </c>
      <c r="B5">
        <v>16</v>
      </c>
    </row>
    <row r="6" spans="1:3" x14ac:dyDescent="0.25">
      <c r="A6">
        <f>A5+0.6</f>
        <v>8.4499999999999993</v>
      </c>
      <c r="B6">
        <f>B5+0.28</f>
        <v>16.28</v>
      </c>
    </row>
    <row r="7" spans="1:3" x14ac:dyDescent="0.25">
      <c r="A7">
        <f>A6+3.84</f>
        <v>12.29</v>
      </c>
      <c r="B7">
        <f>B6</f>
        <v>16.28</v>
      </c>
    </row>
    <row r="8" spans="1:3" x14ac:dyDescent="0.25">
      <c r="A8">
        <f>A7+11.96</f>
        <v>24.25</v>
      </c>
      <c r="B8">
        <v>12.29</v>
      </c>
    </row>
    <row r="9" spans="1:3" x14ac:dyDescent="0.25">
      <c r="A9">
        <f>A8+8.5</f>
        <v>32.75</v>
      </c>
      <c r="B9">
        <f>B8</f>
        <v>12.29</v>
      </c>
    </row>
    <row r="10" spans="1:3" x14ac:dyDescent="0.25">
      <c r="A10">
        <f>A9+11.53</f>
        <v>44.28</v>
      </c>
      <c r="B10">
        <f>B9+11.53/3</f>
        <v>16.133333333333333</v>
      </c>
    </row>
    <row r="11" spans="1:3" x14ac:dyDescent="0.25">
      <c r="A11" t="s">
        <v>928</v>
      </c>
      <c r="B11" t="s">
        <v>929</v>
      </c>
      <c r="C11" t="s">
        <v>68</v>
      </c>
    </row>
    <row r="12" spans="1:3" x14ac:dyDescent="0.25">
      <c r="A12" t="s">
        <v>930</v>
      </c>
      <c r="B12" t="s">
        <v>931</v>
      </c>
      <c r="C12" t="s">
        <v>68</v>
      </c>
    </row>
    <row r="13" spans="1:3" x14ac:dyDescent="0.25">
      <c r="A13" t="s">
        <v>932</v>
      </c>
      <c r="B13" t="s">
        <v>933</v>
      </c>
      <c r="C13" t="s">
        <v>357</v>
      </c>
    </row>
    <row r="14" spans="1:3" x14ac:dyDescent="0.25">
      <c r="A14" t="s">
        <v>934</v>
      </c>
      <c r="B14" t="s">
        <v>935</v>
      </c>
      <c r="C14" t="s">
        <v>357</v>
      </c>
    </row>
    <row r="15" spans="1:3" x14ac:dyDescent="0.25">
      <c r="A15" t="s">
        <v>936</v>
      </c>
      <c r="B15" t="s">
        <v>85</v>
      </c>
      <c r="C15" t="s">
        <v>357</v>
      </c>
    </row>
    <row r="16" spans="1:3" x14ac:dyDescent="0.25">
      <c r="A16" t="s">
        <v>937</v>
      </c>
      <c r="B16" t="s">
        <v>938</v>
      </c>
      <c r="C16" t="s">
        <v>26</v>
      </c>
    </row>
  </sheetData>
  <phoneticPr fontId="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C17"/>
  <sheetViews>
    <sheetView workbookViewId="0"/>
  </sheetViews>
  <sheetFormatPr defaultRowHeight="14" x14ac:dyDescent="0.25"/>
  <sheetData>
    <row r="1" spans="1:3" x14ac:dyDescent="0.25">
      <c r="A1" t="s">
        <v>939</v>
      </c>
    </row>
    <row r="2" spans="1:3" x14ac:dyDescent="0.25">
      <c r="A2" t="s">
        <v>1</v>
      </c>
      <c r="B2" t="s">
        <v>940</v>
      </c>
      <c r="C2" t="s">
        <v>3</v>
      </c>
    </row>
    <row r="3" spans="1:3" x14ac:dyDescent="0.25">
      <c r="A3" t="s">
        <v>941</v>
      </c>
      <c r="B3" t="s">
        <v>942</v>
      </c>
      <c r="C3" t="s">
        <v>31</v>
      </c>
    </row>
    <row r="4" spans="1:3" x14ac:dyDescent="0.25">
      <c r="A4" t="s">
        <v>943</v>
      </c>
      <c r="B4" t="s">
        <v>168</v>
      </c>
      <c r="C4" t="s">
        <v>34</v>
      </c>
    </row>
    <row r="5" spans="1:3" x14ac:dyDescent="0.25">
      <c r="A5">
        <v>7.93</v>
      </c>
      <c r="B5">
        <v>15.78</v>
      </c>
    </row>
    <row r="6" spans="1:3" x14ac:dyDescent="0.25">
      <c r="A6">
        <f>A5+10.57</f>
        <v>18.5</v>
      </c>
      <c r="B6">
        <v>12.26</v>
      </c>
    </row>
    <row r="7" spans="1:3" x14ac:dyDescent="0.25">
      <c r="A7">
        <f>A6+9</f>
        <v>27.5</v>
      </c>
      <c r="B7">
        <f>B6</f>
        <v>12.26</v>
      </c>
    </row>
    <row r="8" spans="1:3" x14ac:dyDescent="0.25">
      <c r="A8">
        <f>A7+11.49</f>
        <v>38.99</v>
      </c>
      <c r="B8">
        <f>B7+11.49/3</f>
        <v>16.09</v>
      </c>
    </row>
    <row r="9" spans="1:3" x14ac:dyDescent="0.25">
      <c r="A9" t="s">
        <v>953</v>
      </c>
      <c r="B9" t="s">
        <v>954</v>
      </c>
      <c r="C9" t="s">
        <v>68</v>
      </c>
    </row>
    <row r="10" spans="1:3" x14ac:dyDescent="0.25">
      <c r="A10" t="s">
        <v>955</v>
      </c>
      <c r="B10" t="s">
        <v>956</v>
      </c>
      <c r="C10" t="s">
        <v>68</v>
      </c>
    </row>
    <row r="11" spans="1:3" x14ac:dyDescent="0.25">
      <c r="A11" t="s">
        <v>957</v>
      </c>
      <c r="B11" t="s">
        <v>958</v>
      </c>
      <c r="C11" t="s">
        <v>357</v>
      </c>
    </row>
    <row r="12" spans="1:3" x14ac:dyDescent="0.25">
      <c r="A12" t="s">
        <v>959</v>
      </c>
      <c r="B12" t="s">
        <v>268</v>
      </c>
      <c r="C12" t="s">
        <v>357</v>
      </c>
    </row>
    <row r="13" spans="1:3" x14ac:dyDescent="0.25">
      <c r="A13" t="s">
        <v>960</v>
      </c>
      <c r="B13" t="s">
        <v>918</v>
      </c>
      <c r="C13" t="s">
        <v>357</v>
      </c>
    </row>
    <row r="14" spans="1:3" x14ac:dyDescent="0.25">
      <c r="A14" t="s">
        <v>961</v>
      </c>
      <c r="B14" t="s">
        <v>962</v>
      </c>
      <c r="C14" t="s">
        <v>357</v>
      </c>
    </row>
    <row r="15" spans="1:3" x14ac:dyDescent="0.25">
      <c r="A15" t="s">
        <v>963</v>
      </c>
      <c r="B15" t="s">
        <v>964</v>
      </c>
      <c r="C15" t="s">
        <v>357</v>
      </c>
    </row>
    <row r="16" spans="1:3" x14ac:dyDescent="0.25">
      <c r="A16" t="s">
        <v>965</v>
      </c>
      <c r="B16" t="s">
        <v>966</v>
      </c>
      <c r="C16" t="s">
        <v>357</v>
      </c>
    </row>
    <row r="17" spans="1:3" x14ac:dyDescent="0.25">
      <c r="A17" t="s">
        <v>967</v>
      </c>
      <c r="B17" t="s">
        <v>968</v>
      </c>
      <c r="C17" t="s">
        <v>26</v>
      </c>
    </row>
  </sheetData>
  <phoneticPr fontId="1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C34"/>
  <sheetViews>
    <sheetView workbookViewId="0"/>
  </sheetViews>
  <sheetFormatPr defaultRowHeight="14" x14ac:dyDescent="0.25"/>
  <sheetData>
    <row r="1" spans="1:3" x14ac:dyDescent="0.25">
      <c r="A1" t="s">
        <v>2612</v>
      </c>
    </row>
    <row r="2" spans="1:3" x14ac:dyDescent="0.25">
      <c r="A2" t="s">
        <v>1</v>
      </c>
      <c r="B2" t="s">
        <v>940</v>
      </c>
      <c r="C2" t="s">
        <v>3</v>
      </c>
    </row>
    <row r="3" spans="1:3" x14ac:dyDescent="0.25">
      <c r="A3" t="s">
        <v>941</v>
      </c>
      <c r="B3" t="s">
        <v>942</v>
      </c>
      <c r="C3" t="s">
        <v>31</v>
      </c>
    </row>
    <row r="4" spans="1:3" x14ac:dyDescent="0.25">
      <c r="A4" t="s">
        <v>943</v>
      </c>
      <c r="B4" t="s">
        <v>168</v>
      </c>
      <c r="C4" t="s">
        <v>34</v>
      </c>
    </row>
    <row r="5" spans="1:3" x14ac:dyDescent="0.25">
      <c r="A5" t="s">
        <v>944</v>
      </c>
      <c r="B5" t="s">
        <v>945</v>
      </c>
      <c r="C5" t="s">
        <v>34</v>
      </c>
    </row>
    <row r="6" spans="1:3" x14ac:dyDescent="0.25">
      <c r="A6" t="s">
        <v>651</v>
      </c>
      <c r="B6" t="s">
        <v>224</v>
      </c>
      <c r="C6" t="s">
        <v>31</v>
      </c>
    </row>
    <row r="7" spans="1:3" x14ac:dyDescent="0.25">
      <c r="A7" t="s">
        <v>946</v>
      </c>
      <c r="B7" t="s">
        <v>947</v>
      </c>
      <c r="C7" t="s">
        <v>31</v>
      </c>
    </row>
    <row r="8" spans="1:3" x14ac:dyDescent="0.25">
      <c r="A8" t="s">
        <v>948</v>
      </c>
      <c r="B8" t="s">
        <v>949</v>
      </c>
      <c r="C8" t="s">
        <v>34</v>
      </c>
    </row>
    <row r="9" spans="1:3" x14ac:dyDescent="0.25">
      <c r="A9" t="s">
        <v>950</v>
      </c>
      <c r="B9" t="s">
        <v>951</v>
      </c>
      <c r="C9" t="s">
        <v>68</v>
      </c>
    </row>
    <row r="10" spans="1:3" x14ac:dyDescent="0.25">
      <c r="A10" t="s">
        <v>952</v>
      </c>
      <c r="B10" t="s">
        <v>949</v>
      </c>
      <c r="C10" t="s">
        <v>11</v>
      </c>
    </row>
    <row r="11" spans="1:3" x14ac:dyDescent="0.25">
      <c r="A11" t="s">
        <v>953</v>
      </c>
      <c r="B11" t="s">
        <v>954</v>
      </c>
      <c r="C11" t="s">
        <v>68</v>
      </c>
    </row>
    <row r="12" spans="1:3" x14ac:dyDescent="0.25">
      <c r="A12" t="s">
        <v>955</v>
      </c>
      <c r="B12" t="s">
        <v>956</v>
      </c>
      <c r="C12" t="s">
        <v>68</v>
      </c>
    </row>
    <row r="13" spans="1:3" x14ac:dyDescent="0.25">
      <c r="A13" t="s">
        <v>957</v>
      </c>
      <c r="B13" t="s">
        <v>958</v>
      </c>
      <c r="C13" t="s">
        <v>357</v>
      </c>
    </row>
    <row r="14" spans="1:3" x14ac:dyDescent="0.25">
      <c r="A14" t="s">
        <v>959</v>
      </c>
      <c r="B14" t="s">
        <v>268</v>
      </c>
      <c r="C14" t="s">
        <v>357</v>
      </c>
    </row>
    <row r="15" spans="1:3" x14ac:dyDescent="0.25">
      <c r="A15" t="s">
        <v>960</v>
      </c>
      <c r="B15" t="s">
        <v>918</v>
      </c>
      <c r="C15" t="s">
        <v>357</v>
      </c>
    </row>
    <row r="16" spans="1:3" x14ac:dyDescent="0.25">
      <c r="A16" t="s">
        <v>961</v>
      </c>
      <c r="B16" t="s">
        <v>962</v>
      </c>
      <c r="C16" t="s">
        <v>357</v>
      </c>
    </row>
    <row r="17" spans="1:3" x14ac:dyDescent="0.25">
      <c r="A17" t="s">
        <v>963</v>
      </c>
      <c r="B17" t="s">
        <v>964</v>
      </c>
      <c r="C17" t="s">
        <v>357</v>
      </c>
    </row>
    <row r="18" spans="1:3" x14ac:dyDescent="0.25">
      <c r="A18" t="s">
        <v>965</v>
      </c>
      <c r="B18" t="s">
        <v>966</v>
      </c>
      <c r="C18" t="s">
        <v>357</v>
      </c>
    </row>
    <row r="19" spans="1:3" x14ac:dyDescent="0.25">
      <c r="A19" t="s">
        <v>967</v>
      </c>
      <c r="B19" t="s">
        <v>968</v>
      </c>
      <c r="C19" t="s">
        <v>26</v>
      </c>
    </row>
    <row r="20" spans="1:3" x14ac:dyDescent="0.25">
      <c r="A20">
        <f>A19+2.25</f>
        <v>204.08</v>
      </c>
      <c r="B20">
        <v>16.5</v>
      </c>
    </row>
    <row r="21" spans="1:3" x14ac:dyDescent="0.25">
      <c r="A21">
        <f>A20+2.79</f>
        <v>206.87</v>
      </c>
      <c r="B21">
        <v>17</v>
      </c>
    </row>
    <row r="22" spans="1:3" x14ac:dyDescent="0.25">
      <c r="A22">
        <f>A21+4.8</f>
        <v>211.67000000000002</v>
      </c>
      <c r="B22">
        <v>17.5</v>
      </c>
    </row>
    <row r="23" spans="1:3" x14ac:dyDescent="0.25">
      <c r="A23">
        <f>A22+0.95</f>
        <v>212.62</v>
      </c>
      <c r="B23">
        <v>17.309999999999999</v>
      </c>
    </row>
    <row r="24" spans="1:3" x14ac:dyDescent="0.25">
      <c r="A24">
        <f>A23+0.33</f>
        <v>212.95000000000002</v>
      </c>
      <c r="B24">
        <v>17.5</v>
      </c>
    </row>
    <row r="25" spans="1:3" x14ac:dyDescent="0.25">
      <c r="A25">
        <f>A24+0.49</f>
        <v>213.44000000000003</v>
      </c>
      <c r="B25">
        <v>17</v>
      </c>
    </row>
    <row r="26" spans="1:3" x14ac:dyDescent="0.25">
      <c r="A26">
        <f>A25+0.49</f>
        <v>213.93000000000004</v>
      </c>
      <c r="B26">
        <v>16.5</v>
      </c>
    </row>
    <row r="27" spans="1:3" x14ac:dyDescent="0.25">
      <c r="A27">
        <f>A26+0.62</f>
        <v>214.55000000000004</v>
      </c>
      <c r="B27">
        <v>16</v>
      </c>
    </row>
    <row r="28" spans="1:3" x14ac:dyDescent="0.25">
      <c r="A28">
        <f>A27+0.51</f>
        <v>215.06000000000003</v>
      </c>
      <c r="B28">
        <v>15.5</v>
      </c>
    </row>
    <row r="29" spans="1:3" x14ac:dyDescent="0.25">
      <c r="A29">
        <f>A28+0.8</f>
        <v>215.86000000000004</v>
      </c>
      <c r="B29">
        <v>15</v>
      </c>
    </row>
    <row r="30" spans="1:3" x14ac:dyDescent="0.25">
      <c r="A30">
        <f>A29+5.66</f>
        <v>221.52000000000004</v>
      </c>
      <c r="B30">
        <v>14.76</v>
      </c>
    </row>
    <row r="31" spans="1:3" x14ac:dyDescent="0.25">
      <c r="A31">
        <f>A30+4.32</f>
        <v>225.84000000000003</v>
      </c>
      <c r="B31">
        <v>15</v>
      </c>
    </row>
    <row r="32" spans="1:3" x14ac:dyDescent="0.25">
      <c r="A32">
        <f>A31+1.28</f>
        <v>227.12000000000003</v>
      </c>
      <c r="B32">
        <v>15.5</v>
      </c>
    </row>
    <row r="33" spans="1:2" x14ac:dyDescent="0.25">
      <c r="A33">
        <f>A32+1.99</f>
        <v>229.11000000000004</v>
      </c>
      <c r="B33">
        <v>16.14</v>
      </c>
    </row>
    <row r="34" spans="1:2" x14ac:dyDescent="0.25">
      <c r="A34">
        <f>A33+21.88</f>
        <v>250.99000000000004</v>
      </c>
      <c r="B34">
        <v>20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>
    <tabColor rgb="FFFF0000"/>
  </sheetPr>
  <dimension ref="A1:C27"/>
  <sheetViews>
    <sheetView zoomScale="115" zoomScaleNormal="115" workbookViewId="0"/>
  </sheetViews>
  <sheetFormatPr defaultRowHeight="14" x14ac:dyDescent="0.25"/>
  <sheetData>
    <row r="1" spans="1:3" x14ac:dyDescent="0.25">
      <c r="A1" t="s">
        <v>969</v>
      </c>
      <c r="B1" t="s">
        <v>2593</v>
      </c>
    </row>
    <row r="2" spans="1:3" x14ac:dyDescent="0.25">
      <c r="A2" t="s">
        <v>1</v>
      </c>
      <c r="B2" t="s">
        <v>140</v>
      </c>
      <c r="C2" t="s">
        <v>3</v>
      </c>
    </row>
    <row r="3" spans="1:3" x14ac:dyDescent="0.25">
      <c r="A3" t="s">
        <v>970</v>
      </c>
      <c r="B3" t="s">
        <v>971</v>
      </c>
      <c r="C3" t="s">
        <v>409</v>
      </c>
    </row>
    <row r="4" spans="1:3" x14ac:dyDescent="0.25">
      <c r="A4" t="s">
        <v>972</v>
      </c>
      <c r="B4" t="s">
        <v>964</v>
      </c>
      <c r="C4" t="s">
        <v>411</v>
      </c>
    </row>
    <row r="5" spans="1:3" x14ac:dyDescent="0.25">
      <c r="A5" t="s">
        <v>203</v>
      </c>
      <c r="B5" t="s">
        <v>421</v>
      </c>
      <c r="C5" t="s">
        <v>411</v>
      </c>
    </row>
    <row r="6" spans="1:3" x14ac:dyDescent="0.25">
      <c r="A6">
        <f>6.44</f>
        <v>6.44</v>
      </c>
      <c r="B6">
        <v>17.43</v>
      </c>
    </row>
    <row r="7" spans="1:3" x14ac:dyDescent="0.25">
      <c r="A7" t="s">
        <v>973</v>
      </c>
      <c r="B7" t="s">
        <v>123</v>
      </c>
      <c r="C7" t="s">
        <v>409</v>
      </c>
    </row>
    <row r="8" spans="1:3" x14ac:dyDescent="0.25">
      <c r="A8">
        <f>A7+15.63</f>
        <v>24.340000000000003</v>
      </c>
      <c r="B8">
        <v>12.22</v>
      </c>
    </row>
    <row r="9" spans="1:3" x14ac:dyDescent="0.25">
      <c r="A9">
        <f>A8+8.5</f>
        <v>32.840000000000003</v>
      </c>
      <c r="B9">
        <f>B8</f>
        <v>12.22</v>
      </c>
    </row>
    <row r="10" spans="1:3" x14ac:dyDescent="0.25">
      <c r="A10">
        <f>A9+11.55</f>
        <v>44.39</v>
      </c>
      <c r="B10">
        <f>B9+11.55/3</f>
        <v>16.07</v>
      </c>
    </row>
    <row r="11" spans="1:3" x14ac:dyDescent="0.25">
      <c r="A11" t="s">
        <v>975</v>
      </c>
      <c r="B11" t="s">
        <v>976</v>
      </c>
      <c r="C11" t="s">
        <v>68</v>
      </c>
    </row>
    <row r="12" spans="1:3" x14ac:dyDescent="0.25">
      <c r="A12" t="s">
        <v>977</v>
      </c>
      <c r="B12" t="s">
        <v>282</v>
      </c>
      <c r="C12" t="s">
        <v>68</v>
      </c>
    </row>
    <row r="13" spans="1:3" x14ac:dyDescent="0.25">
      <c r="A13" t="s">
        <v>978</v>
      </c>
      <c r="B13" t="s">
        <v>979</v>
      </c>
      <c r="C13" t="s">
        <v>34</v>
      </c>
    </row>
    <row r="14" spans="1:3" x14ac:dyDescent="0.25">
      <c r="A14" t="s">
        <v>980</v>
      </c>
      <c r="B14" t="s">
        <v>949</v>
      </c>
      <c r="C14" t="s">
        <v>31</v>
      </c>
    </row>
    <row r="15" spans="1:3" x14ac:dyDescent="0.25">
      <c r="A15" t="s">
        <v>981</v>
      </c>
      <c r="B15" t="s">
        <v>982</v>
      </c>
      <c r="C15" t="s">
        <v>357</v>
      </c>
    </row>
    <row r="16" spans="1:3" x14ac:dyDescent="0.25">
      <c r="A16" t="s">
        <v>983</v>
      </c>
      <c r="B16" t="s">
        <v>984</v>
      </c>
      <c r="C16" t="s">
        <v>357</v>
      </c>
    </row>
    <row r="17" spans="1:3" x14ac:dyDescent="0.25">
      <c r="A17" t="s">
        <v>985</v>
      </c>
      <c r="B17" t="s">
        <v>986</v>
      </c>
      <c r="C17" t="s">
        <v>357</v>
      </c>
    </row>
    <row r="18" spans="1:3" x14ac:dyDescent="0.25">
      <c r="A18" t="s">
        <v>987</v>
      </c>
      <c r="B18" t="s">
        <v>988</v>
      </c>
      <c r="C18" t="s">
        <v>357</v>
      </c>
    </row>
    <row r="19" spans="1:3" x14ac:dyDescent="0.25">
      <c r="A19" t="s">
        <v>989</v>
      </c>
      <c r="B19" t="s">
        <v>990</v>
      </c>
      <c r="C19" t="s">
        <v>357</v>
      </c>
    </row>
    <row r="20" spans="1:3" x14ac:dyDescent="0.25">
      <c r="A20" t="s">
        <v>991</v>
      </c>
      <c r="B20" t="s">
        <v>992</v>
      </c>
      <c r="C20" t="s">
        <v>31</v>
      </c>
    </row>
    <row r="21" spans="1:3" x14ac:dyDescent="0.25">
      <c r="A21" t="s">
        <v>993</v>
      </c>
      <c r="B21" t="s">
        <v>994</v>
      </c>
      <c r="C21" t="s">
        <v>34</v>
      </c>
    </row>
    <row r="22" spans="1:3" x14ac:dyDescent="0.25">
      <c r="A22" t="s">
        <v>995</v>
      </c>
      <c r="B22" t="s">
        <v>996</v>
      </c>
      <c r="C22" t="s">
        <v>34</v>
      </c>
    </row>
    <row r="23" spans="1:3" x14ac:dyDescent="0.25">
      <c r="A23" t="s">
        <v>997</v>
      </c>
      <c r="B23" t="s">
        <v>998</v>
      </c>
      <c r="C23" t="s">
        <v>31</v>
      </c>
    </row>
    <row r="24" spans="1:3" x14ac:dyDescent="0.25">
      <c r="A24" t="s">
        <v>999</v>
      </c>
      <c r="B24" t="s">
        <v>1000</v>
      </c>
      <c r="C24" t="s">
        <v>31</v>
      </c>
    </row>
    <row r="25" spans="1:3" x14ac:dyDescent="0.25">
      <c r="A25" t="s">
        <v>1001</v>
      </c>
      <c r="B25" t="s">
        <v>1002</v>
      </c>
      <c r="C25" t="s">
        <v>68</v>
      </c>
    </row>
    <row r="26" spans="1:3" x14ac:dyDescent="0.25">
      <c r="A26" t="s">
        <v>1003</v>
      </c>
      <c r="B26" t="s">
        <v>1004</v>
      </c>
      <c r="C26" t="s">
        <v>68</v>
      </c>
    </row>
    <row r="27" spans="1:3" x14ac:dyDescent="0.25">
      <c r="A27" t="s">
        <v>1005</v>
      </c>
      <c r="B27" t="s">
        <v>1006</v>
      </c>
      <c r="C27" t="s">
        <v>26</v>
      </c>
    </row>
  </sheetData>
  <phoneticPr fontId="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C24"/>
  <sheetViews>
    <sheetView workbookViewId="0"/>
  </sheetViews>
  <sheetFormatPr defaultRowHeight="14" x14ac:dyDescent="0.25"/>
  <sheetData>
    <row r="1" spans="1:3" x14ac:dyDescent="0.25">
      <c r="A1" t="s">
        <v>1007</v>
      </c>
    </row>
    <row r="2" spans="1:3" x14ac:dyDescent="0.25">
      <c r="A2" t="s">
        <v>1</v>
      </c>
      <c r="B2" t="s">
        <v>1008</v>
      </c>
      <c r="C2" t="s">
        <v>3</v>
      </c>
    </row>
    <row r="3" spans="1:3" x14ac:dyDescent="0.25">
      <c r="A3" t="s">
        <v>1009</v>
      </c>
      <c r="B3" t="s">
        <v>592</v>
      </c>
      <c r="C3" t="s">
        <v>6</v>
      </c>
    </row>
    <row r="4" spans="1:3" x14ac:dyDescent="0.25">
      <c r="A4" t="s">
        <v>1009</v>
      </c>
      <c r="B4" t="s">
        <v>592</v>
      </c>
      <c r="C4" t="s">
        <v>6</v>
      </c>
    </row>
    <row r="5" spans="1:3" x14ac:dyDescent="0.25">
      <c r="A5" t="s">
        <v>819</v>
      </c>
      <c r="B5" t="s">
        <v>1010</v>
      </c>
      <c r="C5" t="s">
        <v>411</v>
      </c>
    </row>
    <row r="6" spans="1:3" x14ac:dyDescent="0.25">
      <c r="A6">
        <v>7.31</v>
      </c>
      <c r="B6">
        <v>15.91</v>
      </c>
    </row>
    <row r="7" spans="1:3" x14ac:dyDescent="0.25">
      <c r="A7">
        <f>A6+11.19</f>
        <v>18.5</v>
      </c>
      <c r="B7">
        <v>12.18</v>
      </c>
    </row>
    <row r="8" spans="1:3" x14ac:dyDescent="0.25">
      <c r="A8">
        <f>A7+9</f>
        <v>27.5</v>
      </c>
      <c r="B8">
        <f>B7</f>
        <v>12.18</v>
      </c>
    </row>
    <row r="9" spans="1:3" x14ac:dyDescent="0.25">
      <c r="A9">
        <f>A8+11.53</f>
        <v>39.03</v>
      </c>
      <c r="B9">
        <f>B8+11.53/3</f>
        <v>16.023333333333333</v>
      </c>
    </row>
    <row r="10" spans="1:3" x14ac:dyDescent="0.25">
      <c r="A10" t="s">
        <v>1011</v>
      </c>
      <c r="B10" t="s">
        <v>1012</v>
      </c>
      <c r="C10" t="s">
        <v>68</v>
      </c>
    </row>
    <row r="11" spans="1:3" x14ac:dyDescent="0.25">
      <c r="A11" t="s">
        <v>1013</v>
      </c>
      <c r="B11" t="s">
        <v>1014</v>
      </c>
      <c r="C11" t="s">
        <v>68</v>
      </c>
    </row>
    <row r="12" spans="1:3" x14ac:dyDescent="0.25">
      <c r="A12" t="s">
        <v>1015</v>
      </c>
      <c r="B12" t="s">
        <v>1016</v>
      </c>
      <c r="C12" t="s">
        <v>357</v>
      </c>
    </row>
    <row r="13" spans="1:3" x14ac:dyDescent="0.25">
      <c r="A13" t="s">
        <v>1017</v>
      </c>
      <c r="B13" t="s">
        <v>1018</v>
      </c>
      <c r="C13" t="s">
        <v>357</v>
      </c>
    </row>
    <row r="14" spans="1:3" x14ac:dyDescent="0.25">
      <c r="A14" t="s">
        <v>1019</v>
      </c>
      <c r="B14" t="s">
        <v>824</v>
      </c>
      <c r="C14" t="s">
        <v>240</v>
      </c>
    </row>
    <row r="15" spans="1:3" x14ac:dyDescent="0.25">
      <c r="A15" t="s">
        <v>1020</v>
      </c>
      <c r="B15" t="s">
        <v>1021</v>
      </c>
      <c r="C15" t="s">
        <v>240</v>
      </c>
    </row>
    <row r="16" spans="1:3" x14ac:dyDescent="0.25">
      <c r="A16" t="s">
        <v>1022</v>
      </c>
      <c r="B16" t="s">
        <v>976</v>
      </c>
      <c r="C16" t="s">
        <v>357</v>
      </c>
    </row>
    <row r="17" spans="1:3" x14ac:dyDescent="0.25">
      <c r="A17" t="s">
        <v>1023</v>
      </c>
      <c r="B17" t="s">
        <v>1024</v>
      </c>
      <c r="C17" t="s">
        <v>357</v>
      </c>
    </row>
    <row r="18" spans="1:3" x14ac:dyDescent="0.25">
      <c r="A18" t="s">
        <v>1025</v>
      </c>
      <c r="B18" t="s">
        <v>1026</v>
      </c>
      <c r="C18" t="s">
        <v>357</v>
      </c>
    </row>
    <row r="19" spans="1:3" x14ac:dyDescent="0.25">
      <c r="A19" t="s">
        <v>1027</v>
      </c>
      <c r="B19" t="s">
        <v>1028</v>
      </c>
      <c r="C19" t="s">
        <v>31</v>
      </c>
    </row>
    <row r="20" spans="1:3" x14ac:dyDescent="0.25">
      <c r="A20" t="s">
        <v>1029</v>
      </c>
      <c r="B20" t="s">
        <v>1030</v>
      </c>
      <c r="C20" t="s">
        <v>34</v>
      </c>
    </row>
    <row r="21" spans="1:3" x14ac:dyDescent="0.25">
      <c r="A21" t="s">
        <v>1031</v>
      </c>
      <c r="B21" t="s">
        <v>410</v>
      </c>
      <c r="C21" t="s">
        <v>34</v>
      </c>
    </row>
    <row r="22" spans="1:3" x14ac:dyDescent="0.25">
      <c r="A22" t="s">
        <v>1032</v>
      </c>
      <c r="B22" t="s">
        <v>1033</v>
      </c>
      <c r="C22" t="s">
        <v>31</v>
      </c>
    </row>
    <row r="23" spans="1:3" x14ac:dyDescent="0.25">
      <c r="A23" t="s">
        <v>1034</v>
      </c>
      <c r="B23" t="s">
        <v>1035</v>
      </c>
      <c r="C23" t="s">
        <v>357</v>
      </c>
    </row>
    <row r="24" spans="1:3" x14ac:dyDescent="0.25">
      <c r="A24" t="s">
        <v>1036</v>
      </c>
      <c r="B24" t="s">
        <v>369</v>
      </c>
      <c r="C24" t="s">
        <v>26</v>
      </c>
    </row>
  </sheetData>
  <phoneticPr fontId="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C29"/>
  <sheetViews>
    <sheetView workbookViewId="0"/>
  </sheetViews>
  <sheetFormatPr defaultRowHeight="14" x14ac:dyDescent="0.25"/>
  <sheetData>
    <row r="1" spans="1:3" x14ac:dyDescent="0.25">
      <c r="A1" t="s">
        <v>1037</v>
      </c>
    </row>
    <row r="2" spans="1:3" x14ac:dyDescent="0.25">
      <c r="A2" t="s">
        <v>1</v>
      </c>
      <c r="B2" t="s">
        <v>1038</v>
      </c>
      <c r="C2" t="s">
        <v>3</v>
      </c>
    </row>
    <row r="3" spans="1:3" x14ac:dyDescent="0.25">
      <c r="A3" t="s">
        <v>1039</v>
      </c>
      <c r="B3" t="s">
        <v>1040</v>
      </c>
      <c r="C3" t="s">
        <v>409</v>
      </c>
    </row>
    <row r="4" spans="1:3" x14ac:dyDescent="0.25">
      <c r="A4" t="s">
        <v>1041</v>
      </c>
      <c r="B4" t="s">
        <v>72</v>
      </c>
      <c r="C4" t="s">
        <v>411</v>
      </c>
    </row>
    <row r="5" spans="1:3" x14ac:dyDescent="0.25">
      <c r="A5" t="s">
        <v>1042</v>
      </c>
      <c r="B5" t="s">
        <v>1043</v>
      </c>
      <c r="C5" t="s">
        <v>31</v>
      </c>
    </row>
    <row r="6" spans="1:3" x14ac:dyDescent="0.25">
      <c r="A6" t="s">
        <v>1044</v>
      </c>
      <c r="B6" t="s">
        <v>1045</v>
      </c>
      <c r="C6" t="s">
        <v>34</v>
      </c>
    </row>
    <row r="7" spans="1:3" x14ac:dyDescent="0.25">
      <c r="A7" t="s">
        <v>1046</v>
      </c>
      <c r="B7" t="s">
        <v>1047</v>
      </c>
      <c r="C7" t="s">
        <v>34</v>
      </c>
    </row>
    <row r="8" spans="1:3" x14ac:dyDescent="0.25">
      <c r="A8" t="s">
        <v>1048</v>
      </c>
      <c r="B8" t="s">
        <v>1049</v>
      </c>
      <c r="C8" t="s">
        <v>31</v>
      </c>
    </row>
    <row r="9" spans="1:3" x14ac:dyDescent="0.25">
      <c r="A9" t="s">
        <v>1050</v>
      </c>
      <c r="B9" t="s">
        <v>1051</v>
      </c>
      <c r="C9" t="s">
        <v>31</v>
      </c>
    </row>
    <row r="10" spans="1:3" x14ac:dyDescent="0.25">
      <c r="A10" t="s">
        <v>1052</v>
      </c>
      <c r="B10" t="s">
        <v>1053</v>
      </c>
      <c r="C10" t="s">
        <v>34</v>
      </c>
    </row>
    <row r="11" spans="1:3" x14ac:dyDescent="0.25">
      <c r="A11" t="s">
        <v>1054</v>
      </c>
      <c r="B11" t="s">
        <v>1055</v>
      </c>
      <c r="C11" t="s">
        <v>411</v>
      </c>
    </row>
    <row r="12" spans="1:3" x14ac:dyDescent="0.25">
      <c r="A12">
        <f>A11+10.57</f>
        <v>24.36</v>
      </c>
      <c r="B12">
        <v>12.15</v>
      </c>
    </row>
    <row r="13" spans="1:3" x14ac:dyDescent="0.25">
      <c r="A13">
        <f>A12+8.5</f>
        <v>32.86</v>
      </c>
      <c r="B13">
        <f>B12</f>
        <v>12.15</v>
      </c>
    </row>
    <row r="14" spans="1:3" x14ac:dyDescent="0.25">
      <c r="A14">
        <f>A13+11.17</f>
        <v>44.03</v>
      </c>
      <c r="B14">
        <v>15.87</v>
      </c>
    </row>
    <row r="15" spans="1:3" x14ac:dyDescent="0.25">
      <c r="A15" t="s">
        <v>1057</v>
      </c>
      <c r="B15" t="s">
        <v>1058</v>
      </c>
      <c r="C15" t="s">
        <v>68</v>
      </c>
    </row>
    <row r="16" spans="1:3" x14ac:dyDescent="0.25">
      <c r="A16" t="s">
        <v>1059</v>
      </c>
      <c r="B16" t="s">
        <v>1060</v>
      </c>
      <c r="C16" t="s">
        <v>68</v>
      </c>
    </row>
    <row r="17" spans="1:3" x14ac:dyDescent="0.25">
      <c r="A17" t="s">
        <v>1061</v>
      </c>
      <c r="B17" t="s">
        <v>1062</v>
      </c>
      <c r="C17" t="s">
        <v>68</v>
      </c>
    </row>
    <row r="18" spans="1:3" x14ac:dyDescent="0.25">
      <c r="A18" t="s">
        <v>1063</v>
      </c>
      <c r="B18" t="s">
        <v>1064</v>
      </c>
      <c r="C18" t="s">
        <v>68</v>
      </c>
    </row>
    <row r="19" spans="1:3" x14ac:dyDescent="0.25">
      <c r="A19" t="s">
        <v>1065</v>
      </c>
      <c r="B19" t="s">
        <v>1066</v>
      </c>
      <c r="C19" t="s">
        <v>357</v>
      </c>
    </row>
    <row r="20" spans="1:3" x14ac:dyDescent="0.25">
      <c r="A20" t="s">
        <v>1067</v>
      </c>
      <c r="B20" t="s">
        <v>1068</v>
      </c>
      <c r="C20" t="s">
        <v>357</v>
      </c>
    </row>
    <row r="21" spans="1:3" x14ac:dyDescent="0.25">
      <c r="A21" t="s">
        <v>1069</v>
      </c>
      <c r="B21" t="s">
        <v>724</v>
      </c>
      <c r="C21" t="s">
        <v>409</v>
      </c>
    </row>
    <row r="22" spans="1:3" x14ac:dyDescent="0.25">
      <c r="A22" t="s">
        <v>1070</v>
      </c>
      <c r="B22" t="s">
        <v>1071</v>
      </c>
      <c r="C22" t="s">
        <v>411</v>
      </c>
    </row>
    <row r="23" spans="1:3" x14ac:dyDescent="0.25">
      <c r="A23" t="s">
        <v>1072</v>
      </c>
      <c r="B23" t="s">
        <v>587</v>
      </c>
      <c r="C23" t="s">
        <v>357</v>
      </c>
    </row>
    <row r="24" spans="1:3" x14ac:dyDescent="0.25">
      <c r="A24" t="s">
        <v>1073</v>
      </c>
      <c r="B24" t="s">
        <v>1074</v>
      </c>
      <c r="C24" t="s">
        <v>411</v>
      </c>
    </row>
    <row r="25" spans="1:3" x14ac:dyDescent="0.25">
      <c r="A25" t="s">
        <v>1075</v>
      </c>
      <c r="B25" t="s">
        <v>929</v>
      </c>
      <c r="C25" t="s">
        <v>409</v>
      </c>
    </row>
    <row r="26" spans="1:3" x14ac:dyDescent="0.25">
      <c r="A26" t="s">
        <v>1076</v>
      </c>
      <c r="B26" t="s">
        <v>1077</v>
      </c>
      <c r="C26" t="s">
        <v>68</v>
      </c>
    </row>
    <row r="27" spans="1:3" x14ac:dyDescent="0.25">
      <c r="A27" t="s">
        <v>1078</v>
      </c>
      <c r="B27" t="s">
        <v>974</v>
      </c>
      <c r="C27" t="s">
        <v>68</v>
      </c>
    </row>
    <row r="28" spans="1:3" x14ac:dyDescent="0.25">
      <c r="A28" t="s">
        <v>1079</v>
      </c>
      <c r="B28" t="s">
        <v>1080</v>
      </c>
      <c r="C28" t="s">
        <v>68</v>
      </c>
    </row>
    <row r="29" spans="1:3" x14ac:dyDescent="0.25">
      <c r="A29" t="s">
        <v>1081</v>
      </c>
      <c r="B29" t="s">
        <v>574</v>
      </c>
      <c r="C29" t="s">
        <v>26</v>
      </c>
    </row>
  </sheetData>
  <phoneticPr fontId="1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C31"/>
  <sheetViews>
    <sheetView workbookViewId="0"/>
  </sheetViews>
  <sheetFormatPr defaultRowHeight="14" x14ac:dyDescent="0.25"/>
  <sheetData>
    <row r="1" spans="1:3" x14ac:dyDescent="0.25">
      <c r="A1" t="s">
        <v>1082</v>
      </c>
    </row>
    <row r="2" spans="1:3" x14ac:dyDescent="0.25">
      <c r="A2" t="s">
        <v>1</v>
      </c>
      <c r="B2" t="s">
        <v>1083</v>
      </c>
      <c r="C2" t="s">
        <v>3</v>
      </c>
    </row>
    <row r="3" spans="1:3" x14ac:dyDescent="0.25">
      <c r="A3" t="s">
        <v>1084</v>
      </c>
      <c r="B3" t="s">
        <v>927</v>
      </c>
      <c r="C3" t="s">
        <v>31</v>
      </c>
    </row>
    <row r="4" spans="1:3" x14ac:dyDescent="0.25">
      <c r="A4" t="s">
        <v>1085</v>
      </c>
      <c r="B4" t="s">
        <v>1086</v>
      </c>
      <c r="C4" t="s">
        <v>34</v>
      </c>
    </row>
    <row r="5" spans="1:3" x14ac:dyDescent="0.25">
      <c r="A5" t="s">
        <v>1087</v>
      </c>
      <c r="B5" t="s">
        <v>1088</v>
      </c>
      <c r="C5" t="s">
        <v>31</v>
      </c>
    </row>
    <row r="6" spans="1:3" x14ac:dyDescent="0.25">
      <c r="A6" t="s">
        <v>1089</v>
      </c>
      <c r="B6" t="s">
        <v>1090</v>
      </c>
      <c r="C6" t="s">
        <v>34</v>
      </c>
    </row>
    <row r="7" spans="1:3" x14ac:dyDescent="0.25">
      <c r="A7">
        <v>8.67</v>
      </c>
      <c r="B7">
        <v>15.4</v>
      </c>
    </row>
    <row r="8" spans="1:3" x14ac:dyDescent="0.25">
      <c r="A8">
        <v>18.53</v>
      </c>
      <c r="B8">
        <v>12.11</v>
      </c>
    </row>
    <row r="9" spans="1:3" x14ac:dyDescent="0.25">
      <c r="A9">
        <v>27.53</v>
      </c>
      <c r="B9">
        <v>12.11</v>
      </c>
    </row>
    <row r="10" spans="1:3" x14ac:dyDescent="0.25">
      <c r="A10">
        <v>38.510000000000005</v>
      </c>
      <c r="B10">
        <v>15.77</v>
      </c>
    </row>
    <row r="11" spans="1:3" x14ac:dyDescent="0.25">
      <c r="A11" t="s">
        <v>1091</v>
      </c>
      <c r="B11" t="s">
        <v>1092</v>
      </c>
      <c r="C11" t="s">
        <v>68</v>
      </c>
    </row>
    <row r="12" spans="1:3" x14ac:dyDescent="0.25">
      <c r="A12" t="s">
        <v>1093</v>
      </c>
      <c r="B12" t="s">
        <v>850</v>
      </c>
      <c r="C12" t="s">
        <v>68</v>
      </c>
    </row>
    <row r="13" spans="1:3" x14ac:dyDescent="0.25">
      <c r="A13" t="s">
        <v>1094</v>
      </c>
      <c r="B13" t="s">
        <v>551</v>
      </c>
      <c r="C13" t="s">
        <v>68</v>
      </c>
    </row>
    <row r="14" spans="1:3" x14ac:dyDescent="0.25">
      <c r="A14" t="s">
        <v>1095</v>
      </c>
      <c r="B14" t="s">
        <v>1096</v>
      </c>
      <c r="C14" t="s">
        <v>68</v>
      </c>
    </row>
    <row r="15" spans="1:3" x14ac:dyDescent="0.25">
      <c r="A15" t="s">
        <v>1097</v>
      </c>
      <c r="B15" t="s">
        <v>1098</v>
      </c>
      <c r="C15" t="s">
        <v>357</v>
      </c>
    </row>
    <row r="16" spans="1:3" x14ac:dyDescent="0.25">
      <c r="A16" t="s">
        <v>1099</v>
      </c>
      <c r="B16" t="s">
        <v>1100</v>
      </c>
      <c r="C16" t="s">
        <v>6</v>
      </c>
    </row>
    <row r="17" spans="1:3" x14ac:dyDescent="0.25">
      <c r="A17" t="s">
        <v>1101</v>
      </c>
      <c r="B17" t="s">
        <v>1102</v>
      </c>
      <c r="C17" t="s">
        <v>357</v>
      </c>
    </row>
    <row r="18" spans="1:3" x14ac:dyDescent="0.25">
      <c r="A18" t="s">
        <v>1103</v>
      </c>
      <c r="B18" t="s">
        <v>1104</v>
      </c>
      <c r="C18" t="s">
        <v>357</v>
      </c>
    </row>
    <row r="19" spans="1:3" x14ac:dyDescent="0.25">
      <c r="A19" t="s">
        <v>1105</v>
      </c>
      <c r="B19" t="s">
        <v>1106</v>
      </c>
      <c r="C19" t="s">
        <v>357</v>
      </c>
    </row>
    <row r="20" spans="1:3" x14ac:dyDescent="0.25">
      <c r="A20" t="s">
        <v>1107</v>
      </c>
      <c r="B20" t="s">
        <v>1108</v>
      </c>
      <c r="C20" t="s">
        <v>240</v>
      </c>
    </row>
    <row r="21" spans="1:3" x14ac:dyDescent="0.25">
      <c r="A21" t="s">
        <v>1109</v>
      </c>
      <c r="B21" t="s">
        <v>1110</v>
      </c>
      <c r="C21" t="s">
        <v>240</v>
      </c>
    </row>
    <row r="22" spans="1:3" x14ac:dyDescent="0.25">
      <c r="A22" t="s">
        <v>1111</v>
      </c>
      <c r="B22" t="s">
        <v>314</v>
      </c>
      <c r="C22" t="s">
        <v>31</v>
      </c>
    </row>
    <row r="23" spans="1:3" x14ac:dyDescent="0.25">
      <c r="A23" t="s">
        <v>1112</v>
      </c>
      <c r="B23" t="s">
        <v>1053</v>
      </c>
      <c r="C23" t="s">
        <v>34</v>
      </c>
    </row>
    <row r="24" spans="1:3" x14ac:dyDescent="0.25">
      <c r="A24" t="s">
        <v>1113</v>
      </c>
      <c r="B24" t="s">
        <v>1114</v>
      </c>
      <c r="C24" t="s">
        <v>31</v>
      </c>
    </row>
    <row r="25" spans="1:3" x14ac:dyDescent="0.25">
      <c r="A25" t="s">
        <v>1115</v>
      </c>
      <c r="B25" t="s">
        <v>1116</v>
      </c>
      <c r="C25" t="s">
        <v>34</v>
      </c>
    </row>
    <row r="26" spans="1:3" x14ac:dyDescent="0.25">
      <c r="A26" t="s">
        <v>1117</v>
      </c>
      <c r="B26" t="s">
        <v>1118</v>
      </c>
      <c r="C26" t="s">
        <v>34</v>
      </c>
    </row>
    <row r="27" spans="1:3" x14ac:dyDescent="0.25">
      <c r="A27" t="s">
        <v>1119</v>
      </c>
      <c r="B27" t="s">
        <v>1120</v>
      </c>
      <c r="C27" t="s">
        <v>31</v>
      </c>
    </row>
    <row r="28" spans="1:3" x14ac:dyDescent="0.25">
      <c r="A28" t="s">
        <v>1121</v>
      </c>
      <c r="B28" t="s">
        <v>1122</v>
      </c>
      <c r="C28" t="s">
        <v>34</v>
      </c>
    </row>
    <row r="29" spans="1:3" x14ac:dyDescent="0.25">
      <c r="A29" t="s">
        <v>1123</v>
      </c>
      <c r="B29" t="s">
        <v>282</v>
      </c>
      <c r="C29" t="s">
        <v>31</v>
      </c>
    </row>
    <row r="30" spans="1:3" x14ac:dyDescent="0.25">
      <c r="A30" t="s">
        <v>1124</v>
      </c>
      <c r="B30" t="s">
        <v>823</v>
      </c>
      <c r="C30" t="s">
        <v>68</v>
      </c>
    </row>
    <row r="31" spans="1:3" x14ac:dyDescent="0.25">
      <c r="A31" t="s">
        <v>1125</v>
      </c>
      <c r="B31" t="s">
        <v>1126</v>
      </c>
      <c r="C31" t="s">
        <v>26</v>
      </c>
    </row>
  </sheetData>
  <phoneticPr fontId="1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C29"/>
  <sheetViews>
    <sheetView workbookViewId="0"/>
  </sheetViews>
  <sheetFormatPr defaultRowHeight="14" x14ac:dyDescent="0.25"/>
  <sheetData>
    <row r="1" spans="1:3" x14ac:dyDescent="0.25">
      <c r="A1" t="s">
        <v>1127</v>
      </c>
    </row>
    <row r="2" spans="1:3" x14ac:dyDescent="0.25">
      <c r="A2" t="s">
        <v>1</v>
      </c>
      <c r="B2" t="s">
        <v>1128</v>
      </c>
      <c r="C2" t="s">
        <v>3</v>
      </c>
    </row>
    <row r="3" spans="1:3" x14ac:dyDescent="0.25">
      <c r="A3" t="s">
        <v>705</v>
      </c>
      <c r="B3" t="s">
        <v>1129</v>
      </c>
      <c r="C3" t="s">
        <v>6</v>
      </c>
    </row>
    <row r="4" spans="1:3" x14ac:dyDescent="0.25">
      <c r="A4" t="s">
        <v>1130</v>
      </c>
      <c r="B4" t="s">
        <v>1060</v>
      </c>
      <c r="C4" t="s">
        <v>6</v>
      </c>
    </row>
    <row r="5" spans="1:3" x14ac:dyDescent="0.25">
      <c r="A5">
        <v>12.91</v>
      </c>
      <c r="B5">
        <v>15.86</v>
      </c>
    </row>
    <row r="6" spans="1:3" x14ac:dyDescent="0.25">
      <c r="A6">
        <f>A5+11.34</f>
        <v>24.25</v>
      </c>
      <c r="B6">
        <f>B5-11.34/3</f>
        <v>12.08</v>
      </c>
    </row>
    <row r="7" spans="1:3" x14ac:dyDescent="0.25">
      <c r="A7">
        <f>A6+8.5</f>
        <v>32.75</v>
      </c>
      <c r="B7">
        <f>B6</f>
        <v>12.08</v>
      </c>
    </row>
    <row r="8" spans="1:3" x14ac:dyDescent="0.25">
      <c r="A8">
        <f>A7+10.97</f>
        <v>43.72</v>
      </c>
      <c r="B8">
        <f>B7+10.97/3</f>
        <v>15.736666666666666</v>
      </c>
    </row>
    <row r="9" spans="1:3" x14ac:dyDescent="0.25">
      <c r="A9" t="s">
        <v>1131</v>
      </c>
      <c r="B9" t="s">
        <v>1132</v>
      </c>
      <c r="C9" t="s">
        <v>6</v>
      </c>
    </row>
    <row r="10" spans="1:3" x14ac:dyDescent="0.25">
      <c r="A10" t="s">
        <v>1133</v>
      </c>
      <c r="B10" t="s">
        <v>723</v>
      </c>
      <c r="C10" t="s">
        <v>6</v>
      </c>
    </row>
    <row r="11" spans="1:3" x14ac:dyDescent="0.25">
      <c r="A11" t="s">
        <v>1134</v>
      </c>
      <c r="B11" t="s">
        <v>1135</v>
      </c>
      <c r="C11" t="s">
        <v>6</v>
      </c>
    </row>
    <row r="12" spans="1:3" x14ac:dyDescent="0.25">
      <c r="A12" t="s">
        <v>1136</v>
      </c>
      <c r="B12" t="s">
        <v>1137</v>
      </c>
      <c r="C12" t="s">
        <v>357</v>
      </c>
    </row>
    <row r="13" spans="1:3" x14ac:dyDescent="0.25">
      <c r="A13" t="s">
        <v>1138</v>
      </c>
      <c r="B13" t="s">
        <v>1139</v>
      </c>
      <c r="C13" t="s">
        <v>357</v>
      </c>
    </row>
    <row r="14" spans="1:3" x14ac:dyDescent="0.25">
      <c r="A14" t="s">
        <v>1140</v>
      </c>
      <c r="B14" t="s">
        <v>361</v>
      </c>
      <c r="C14" t="s">
        <v>357</v>
      </c>
    </row>
    <row r="15" spans="1:3" x14ac:dyDescent="0.25">
      <c r="A15" t="s">
        <v>1141</v>
      </c>
      <c r="B15" t="s">
        <v>1142</v>
      </c>
      <c r="C15" t="s">
        <v>6</v>
      </c>
    </row>
    <row r="16" spans="1:3" x14ac:dyDescent="0.25">
      <c r="A16" t="s">
        <v>1143</v>
      </c>
      <c r="B16" t="s">
        <v>312</v>
      </c>
      <c r="C16" t="s">
        <v>357</v>
      </c>
    </row>
    <row r="17" spans="1:3" x14ac:dyDescent="0.25">
      <c r="A17" t="s">
        <v>1144</v>
      </c>
      <c r="B17" t="s">
        <v>1145</v>
      </c>
      <c r="C17" t="s">
        <v>357</v>
      </c>
    </row>
    <row r="18" spans="1:3" x14ac:dyDescent="0.25">
      <c r="A18" t="s">
        <v>1146</v>
      </c>
      <c r="B18" t="s">
        <v>828</v>
      </c>
      <c r="C18" t="s">
        <v>240</v>
      </c>
    </row>
    <row r="19" spans="1:3" x14ac:dyDescent="0.25">
      <c r="A19" t="s">
        <v>1147</v>
      </c>
      <c r="B19" t="s">
        <v>1148</v>
      </c>
      <c r="C19" t="s">
        <v>240</v>
      </c>
    </row>
    <row r="20" spans="1:3" x14ac:dyDescent="0.25">
      <c r="A20" t="s">
        <v>1149</v>
      </c>
      <c r="B20" t="s">
        <v>1150</v>
      </c>
      <c r="C20" t="s">
        <v>31</v>
      </c>
    </row>
    <row r="21" spans="1:3" x14ac:dyDescent="0.25">
      <c r="A21" t="s">
        <v>1151</v>
      </c>
      <c r="B21" t="s">
        <v>788</v>
      </c>
      <c r="C21" t="s">
        <v>34</v>
      </c>
    </row>
    <row r="22" spans="1:3" x14ac:dyDescent="0.25">
      <c r="A22" t="s">
        <v>1152</v>
      </c>
      <c r="B22" t="s">
        <v>1153</v>
      </c>
      <c r="C22" t="s">
        <v>6</v>
      </c>
    </row>
    <row r="23" spans="1:3" x14ac:dyDescent="0.25">
      <c r="A23" t="s">
        <v>1154</v>
      </c>
      <c r="B23" t="s">
        <v>1155</v>
      </c>
      <c r="C23" t="s">
        <v>34</v>
      </c>
    </row>
    <row r="24" spans="1:3" x14ac:dyDescent="0.25">
      <c r="A24" t="s">
        <v>1156</v>
      </c>
      <c r="B24" t="s">
        <v>1157</v>
      </c>
      <c r="C24" t="s">
        <v>31</v>
      </c>
    </row>
    <row r="25" spans="1:3" x14ac:dyDescent="0.25">
      <c r="A25" t="s">
        <v>1158</v>
      </c>
      <c r="B25" t="s">
        <v>1159</v>
      </c>
      <c r="C25" t="s">
        <v>31</v>
      </c>
    </row>
    <row r="26" spans="1:3" x14ac:dyDescent="0.25">
      <c r="A26" t="s">
        <v>1160</v>
      </c>
      <c r="B26" t="s">
        <v>1161</v>
      </c>
      <c r="C26" t="s">
        <v>357</v>
      </c>
    </row>
    <row r="27" spans="1:3" x14ac:dyDescent="0.25">
      <c r="A27" t="s">
        <v>1162</v>
      </c>
      <c r="B27" t="s">
        <v>1056</v>
      </c>
      <c r="C27" t="s">
        <v>31</v>
      </c>
    </row>
    <row r="28" spans="1:3" x14ac:dyDescent="0.25">
      <c r="A28" t="s">
        <v>1163</v>
      </c>
      <c r="B28" t="s">
        <v>1164</v>
      </c>
      <c r="C28" t="s">
        <v>34</v>
      </c>
    </row>
    <row r="29" spans="1:3" x14ac:dyDescent="0.25">
      <c r="A29" t="s">
        <v>1165</v>
      </c>
      <c r="B29" t="s">
        <v>1166</v>
      </c>
      <c r="C29" t="s">
        <v>26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"/>
  <sheetViews>
    <sheetView workbookViewId="0">
      <selection activeCell="D3" sqref="D3"/>
    </sheetView>
  </sheetViews>
  <sheetFormatPr defaultRowHeight="14" x14ac:dyDescent="0.25"/>
  <sheetData>
    <row r="1" spans="1:3" x14ac:dyDescent="0.25">
      <c r="A1" t="s">
        <v>2610</v>
      </c>
    </row>
    <row r="2" spans="1:3" x14ac:dyDescent="0.25">
      <c r="A2" t="s">
        <v>1</v>
      </c>
      <c r="B2" t="s">
        <v>93</v>
      </c>
      <c r="C2" t="s">
        <v>3</v>
      </c>
    </row>
    <row r="3" spans="1:3" x14ac:dyDescent="0.25">
      <c r="A3" t="s">
        <v>94</v>
      </c>
      <c r="B3" t="s">
        <v>95</v>
      </c>
      <c r="C3" t="s">
        <v>31</v>
      </c>
    </row>
    <row r="4" spans="1:3" x14ac:dyDescent="0.25">
      <c r="A4" t="s">
        <v>54</v>
      </c>
      <c r="B4" t="s">
        <v>96</v>
      </c>
      <c r="C4" t="s">
        <v>34</v>
      </c>
    </row>
    <row r="5" spans="1:3" x14ac:dyDescent="0.25">
      <c r="A5" t="s">
        <v>97</v>
      </c>
      <c r="B5" t="s">
        <v>98</v>
      </c>
      <c r="C5" t="s">
        <v>34</v>
      </c>
    </row>
    <row r="6" spans="1:3" x14ac:dyDescent="0.25">
      <c r="A6" t="s">
        <v>99</v>
      </c>
      <c r="B6" t="s">
        <v>100</v>
      </c>
      <c r="C6" t="s">
        <v>31</v>
      </c>
    </row>
    <row r="7" spans="1:3" x14ac:dyDescent="0.25">
      <c r="A7" t="s">
        <v>101</v>
      </c>
      <c r="B7" t="s">
        <v>102</v>
      </c>
      <c r="C7" t="s">
        <v>31</v>
      </c>
    </row>
    <row r="8" spans="1:3" x14ac:dyDescent="0.25">
      <c r="A8" t="s">
        <v>103</v>
      </c>
      <c r="B8" t="s">
        <v>104</v>
      </c>
      <c r="C8" t="s">
        <v>34</v>
      </c>
    </row>
    <row r="9" spans="1:3" x14ac:dyDescent="0.25">
      <c r="A9">
        <f>A8+3.85</f>
        <v>16.87</v>
      </c>
      <c r="B9">
        <f>B8-0.03</f>
        <v>16.544</v>
      </c>
    </row>
    <row r="10" spans="1:3" x14ac:dyDescent="0.25">
      <c r="A10">
        <f>A9+2.42</f>
        <v>19.29</v>
      </c>
      <c r="B10">
        <v>14.12</v>
      </c>
    </row>
    <row r="11" spans="1:3" x14ac:dyDescent="0.25">
      <c r="A11">
        <f>A10+3.5</f>
        <v>22.79</v>
      </c>
      <c r="B11">
        <f>B10</f>
        <v>14.12</v>
      </c>
    </row>
    <row r="12" spans="1:3" x14ac:dyDescent="0.25">
      <c r="A12">
        <f>A11+2.49</f>
        <v>25.28</v>
      </c>
      <c r="B12">
        <f>B11+2.49</f>
        <v>16.61</v>
      </c>
    </row>
    <row r="13" spans="1:3" x14ac:dyDescent="0.25">
      <c r="A13" t="s">
        <v>90</v>
      </c>
      <c r="B13" t="s">
        <v>105</v>
      </c>
      <c r="C13" t="s">
        <v>11</v>
      </c>
    </row>
    <row r="14" spans="1:3" x14ac:dyDescent="0.25">
      <c r="A14" t="s">
        <v>106</v>
      </c>
      <c r="B14" t="s">
        <v>107</v>
      </c>
      <c r="C14" t="s">
        <v>6</v>
      </c>
    </row>
    <row r="15" spans="1:3" x14ac:dyDescent="0.25">
      <c r="A15" t="s">
        <v>108</v>
      </c>
      <c r="B15" t="s">
        <v>109</v>
      </c>
      <c r="C15" t="s">
        <v>6</v>
      </c>
    </row>
    <row r="16" spans="1:3" x14ac:dyDescent="0.25">
      <c r="A16" t="s">
        <v>110</v>
      </c>
      <c r="B16" t="s">
        <v>111</v>
      </c>
      <c r="C16" t="s">
        <v>6</v>
      </c>
    </row>
    <row r="17" spans="1:3" x14ac:dyDescent="0.25">
      <c r="A17" t="s">
        <v>112</v>
      </c>
      <c r="B17" t="s">
        <v>113</v>
      </c>
      <c r="C17" t="s">
        <v>6</v>
      </c>
    </row>
    <row r="18" spans="1:3" x14ac:dyDescent="0.25">
      <c r="A18" t="s">
        <v>114</v>
      </c>
      <c r="B18" t="s">
        <v>115</v>
      </c>
      <c r="C18" t="s">
        <v>6</v>
      </c>
    </row>
    <row r="19" spans="1:3" x14ac:dyDescent="0.25">
      <c r="A19" t="s">
        <v>116</v>
      </c>
      <c r="B19" t="s">
        <v>117</v>
      </c>
      <c r="C19" t="s">
        <v>6</v>
      </c>
    </row>
    <row r="20" spans="1:3" x14ac:dyDescent="0.25">
      <c r="A20" t="s">
        <v>118</v>
      </c>
      <c r="B20" t="s">
        <v>119</v>
      </c>
      <c r="C20" t="s">
        <v>31</v>
      </c>
    </row>
    <row r="21" spans="1:3" x14ac:dyDescent="0.25">
      <c r="A21" t="s">
        <v>24</v>
      </c>
      <c r="B21" t="s">
        <v>120</v>
      </c>
      <c r="C21" t="s">
        <v>26</v>
      </c>
    </row>
  </sheetData>
  <phoneticPr fontId="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C32"/>
  <sheetViews>
    <sheetView workbookViewId="0"/>
  </sheetViews>
  <sheetFormatPr defaultRowHeight="14" x14ac:dyDescent="0.25"/>
  <sheetData>
    <row r="1" spans="1:3" x14ac:dyDescent="0.25">
      <c r="A1" t="s">
        <v>1167</v>
      </c>
    </row>
    <row r="2" spans="1:3" x14ac:dyDescent="0.25">
      <c r="A2" t="s">
        <v>1</v>
      </c>
      <c r="B2" t="s">
        <v>369</v>
      </c>
      <c r="C2" t="s">
        <v>3</v>
      </c>
    </row>
    <row r="3" spans="1:3" x14ac:dyDescent="0.25">
      <c r="A3" t="s">
        <v>1168</v>
      </c>
      <c r="B3" t="s">
        <v>1169</v>
      </c>
      <c r="C3" t="s">
        <v>31</v>
      </c>
    </row>
    <row r="4" spans="1:3" x14ac:dyDescent="0.25">
      <c r="A4" t="s">
        <v>1170</v>
      </c>
      <c r="B4" t="s">
        <v>1171</v>
      </c>
      <c r="C4" t="s">
        <v>34</v>
      </c>
    </row>
    <row r="5" spans="1:3" x14ac:dyDescent="0.25">
      <c r="A5">
        <v>14.35</v>
      </c>
      <c r="B5">
        <f>16-0.91</f>
        <v>15.09</v>
      </c>
    </row>
    <row r="6" spans="1:3" x14ac:dyDescent="0.25">
      <c r="A6">
        <f>A5+9.15</f>
        <v>23.5</v>
      </c>
      <c r="B6">
        <f>B5-3.05</f>
        <v>12.04</v>
      </c>
    </row>
    <row r="7" spans="1:3" x14ac:dyDescent="0.25">
      <c r="A7">
        <f>A6+9</f>
        <v>32.5</v>
      </c>
      <c r="B7">
        <f>B6</f>
        <v>12.04</v>
      </c>
    </row>
    <row r="8" spans="1:3" x14ac:dyDescent="0.25">
      <c r="A8">
        <f>A7+10.03</f>
        <v>42.53</v>
      </c>
      <c r="B8">
        <f>16-0.62</f>
        <v>15.38</v>
      </c>
    </row>
    <row r="9" spans="1:3" x14ac:dyDescent="0.25">
      <c r="A9" t="s">
        <v>1172</v>
      </c>
      <c r="B9" t="s">
        <v>1173</v>
      </c>
      <c r="C9" t="s">
        <v>68</v>
      </c>
    </row>
    <row r="10" spans="1:3" x14ac:dyDescent="0.25">
      <c r="A10" t="s">
        <v>1174</v>
      </c>
      <c r="B10" t="s">
        <v>1175</v>
      </c>
      <c r="C10" t="s">
        <v>68</v>
      </c>
    </row>
    <row r="11" spans="1:3" x14ac:dyDescent="0.25">
      <c r="A11" t="s">
        <v>1176</v>
      </c>
      <c r="B11" t="s">
        <v>1177</v>
      </c>
      <c r="C11" t="s">
        <v>68</v>
      </c>
    </row>
    <row r="12" spans="1:3" x14ac:dyDescent="0.25">
      <c r="A12" t="s">
        <v>1178</v>
      </c>
      <c r="B12" t="s">
        <v>1179</v>
      </c>
      <c r="C12" t="s">
        <v>240</v>
      </c>
    </row>
    <row r="13" spans="1:3" x14ac:dyDescent="0.25">
      <c r="A13" t="s">
        <v>1180</v>
      </c>
      <c r="B13" t="s">
        <v>751</v>
      </c>
      <c r="C13" t="s">
        <v>240</v>
      </c>
    </row>
    <row r="14" spans="1:3" x14ac:dyDescent="0.25">
      <c r="A14" t="s">
        <v>1181</v>
      </c>
      <c r="B14" t="s">
        <v>1108</v>
      </c>
      <c r="C14" t="s">
        <v>357</v>
      </c>
    </row>
    <row r="15" spans="1:3" x14ac:dyDescent="0.25">
      <c r="A15" t="s">
        <v>1182</v>
      </c>
      <c r="B15" t="s">
        <v>1183</v>
      </c>
      <c r="C15" t="s">
        <v>357</v>
      </c>
    </row>
    <row r="16" spans="1:3" x14ac:dyDescent="0.25">
      <c r="A16" t="s">
        <v>1184</v>
      </c>
      <c r="B16" t="s">
        <v>654</v>
      </c>
      <c r="C16" t="s">
        <v>357</v>
      </c>
    </row>
    <row r="17" spans="1:3" x14ac:dyDescent="0.25">
      <c r="A17" t="s">
        <v>1140</v>
      </c>
      <c r="B17" t="s">
        <v>1185</v>
      </c>
      <c r="C17" t="s">
        <v>357</v>
      </c>
    </row>
    <row r="18" spans="1:3" x14ac:dyDescent="0.25">
      <c r="A18" t="s">
        <v>1186</v>
      </c>
      <c r="B18" t="s">
        <v>1187</v>
      </c>
      <c r="C18" t="s">
        <v>1188</v>
      </c>
    </row>
    <row r="19" spans="1:3" x14ac:dyDescent="0.25">
      <c r="A19" t="s">
        <v>1189</v>
      </c>
      <c r="B19" t="s">
        <v>1190</v>
      </c>
      <c r="C19" t="s">
        <v>6</v>
      </c>
    </row>
    <row r="20" spans="1:3" x14ac:dyDescent="0.25">
      <c r="A20" t="s">
        <v>1191</v>
      </c>
      <c r="B20" t="s">
        <v>1192</v>
      </c>
      <c r="C20" t="s">
        <v>1188</v>
      </c>
    </row>
    <row r="21" spans="1:3" x14ac:dyDescent="0.25">
      <c r="A21" t="s">
        <v>1193</v>
      </c>
      <c r="B21" t="s">
        <v>1194</v>
      </c>
      <c r="C21" t="s">
        <v>34</v>
      </c>
    </row>
    <row r="22" spans="1:3" x14ac:dyDescent="0.25">
      <c r="A22" t="s">
        <v>1195</v>
      </c>
      <c r="B22" t="s">
        <v>1196</v>
      </c>
      <c r="C22" t="s">
        <v>240</v>
      </c>
    </row>
    <row r="23" spans="1:3" x14ac:dyDescent="0.25">
      <c r="A23" t="s">
        <v>1197</v>
      </c>
      <c r="B23" t="s">
        <v>1198</v>
      </c>
      <c r="C23" t="s">
        <v>240</v>
      </c>
    </row>
    <row r="24" spans="1:3" x14ac:dyDescent="0.25">
      <c r="A24" t="s">
        <v>1199</v>
      </c>
      <c r="B24" t="s">
        <v>1194</v>
      </c>
      <c r="C24" t="s">
        <v>31</v>
      </c>
    </row>
    <row r="25" spans="1:3" x14ac:dyDescent="0.25">
      <c r="A25" t="s">
        <v>1200</v>
      </c>
      <c r="B25" t="s">
        <v>1201</v>
      </c>
      <c r="C25" t="s">
        <v>34</v>
      </c>
    </row>
    <row r="26" spans="1:3" x14ac:dyDescent="0.25">
      <c r="A26" t="s">
        <v>1202</v>
      </c>
      <c r="B26" t="s">
        <v>1203</v>
      </c>
      <c r="C26" t="s">
        <v>34</v>
      </c>
    </row>
    <row r="27" spans="1:3" x14ac:dyDescent="0.25">
      <c r="A27" t="s">
        <v>1204</v>
      </c>
      <c r="B27" t="s">
        <v>1205</v>
      </c>
      <c r="C27" t="s">
        <v>31</v>
      </c>
    </row>
    <row r="28" spans="1:3" x14ac:dyDescent="0.25">
      <c r="A28" t="s">
        <v>1206</v>
      </c>
      <c r="B28" t="s">
        <v>1207</v>
      </c>
      <c r="C28" t="s">
        <v>31</v>
      </c>
    </row>
    <row r="29" spans="1:3" x14ac:dyDescent="0.25">
      <c r="A29" t="s">
        <v>1208</v>
      </c>
      <c r="B29" t="s">
        <v>1209</v>
      </c>
      <c r="C29" t="s">
        <v>34</v>
      </c>
    </row>
    <row r="30" spans="1:3" x14ac:dyDescent="0.25">
      <c r="A30" t="s">
        <v>1210</v>
      </c>
      <c r="B30" t="s">
        <v>1211</v>
      </c>
      <c r="C30" t="s">
        <v>34</v>
      </c>
    </row>
    <row r="31" spans="1:3" x14ac:dyDescent="0.25">
      <c r="A31" t="s">
        <v>1212</v>
      </c>
      <c r="B31" t="s">
        <v>1213</v>
      </c>
      <c r="C31" t="s">
        <v>31</v>
      </c>
    </row>
    <row r="32" spans="1:3" x14ac:dyDescent="0.25">
      <c r="A32" t="s">
        <v>1214</v>
      </c>
      <c r="B32" t="s">
        <v>1215</v>
      </c>
      <c r="C32" t="s">
        <v>26</v>
      </c>
    </row>
  </sheetData>
  <phoneticPr fontId="1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C28"/>
  <sheetViews>
    <sheetView workbookViewId="0"/>
  </sheetViews>
  <sheetFormatPr defaultRowHeight="14" x14ac:dyDescent="0.25"/>
  <sheetData>
    <row r="1" spans="1:3" x14ac:dyDescent="0.25">
      <c r="A1" t="s">
        <v>1216</v>
      </c>
    </row>
    <row r="2" spans="1:3" x14ac:dyDescent="0.25">
      <c r="A2" t="s">
        <v>1</v>
      </c>
      <c r="B2" t="s">
        <v>1217</v>
      </c>
      <c r="C2" t="s">
        <v>3</v>
      </c>
    </row>
    <row r="3" spans="1:3" x14ac:dyDescent="0.25">
      <c r="A3" t="s">
        <v>1218</v>
      </c>
      <c r="B3" t="s">
        <v>1219</v>
      </c>
      <c r="C3" t="s">
        <v>6</v>
      </c>
    </row>
    <row r="4" spans="1:3" x14ac:dyDescent="0.25">
      <c r="A4">
        <v>11.84</v>
      </c>
      <c r="B4">
        <v>14.31</v>
      </c>
    </row>
    <row r="5" spans="1:3" x14ac:dyDescent="0.25">
      <c r="A5">
        <f>A4+1.01</f>
        <v>12.85</v>
      </c>
      <c r="B5">
        <f>B4+0.5</f>
        <v>14.81</v>
      </c>
    </row>
    <row r="6" spans="1:3" x14ac:dyDescent="0.25">
      <c r="A6">
        <f>A5+3</f>
        <v>15.85</v>
      </c>
      <c r="B6">
        <f>B5</f>
        <v>14.81</v>
      </c>
    </row>
    <row r="7" spans="1:3" x14ac:dyDescent="0.25">
      <c r="A7">
        <f>A6+8.4</f>
        <v>24.25</v>
      </c>
      <c r="B7">
        <f>B6-8.4/3</f>
        <v>12.01</v>
      </c>
    </row>
    <row r="8" spans="1:3" x14ac:dyDescent="0.25">
      <c r="A8">
        <f>A7+8.5</f>
        <v>32.75</v>
      </c>
      <c r="B8">
        <f>B7</f>
        <v>12.01</v>
      </c>
    </row>
    <row r="9" spans="1:3" x14ac:dyDescent="0.25">
      <c r="A9">
        <f>A8+9.68</f>
        <v>42.43</v>
      </c>
      <c r="B9">
        <f>B8+9.68/3</f>
        <v>15.236666666666666</v>
      </c>
    </row>
    <row r="10" spans="1:3" x14ac:dyDescent="0.25">
      <c r="A10">
        <f>A9+3.37</f>
        <v>45.8</v>
      </c>
      <c r="B10">
        <f>B9</f>
        <v>15.236666666666666</v>
      </c>
    </row>
    <row r="11" spans="1:3" x14ac:dyDescent="0.25">
      <c r="A11" t="s">
        <v>1221</v>
      </c>
      <c r="B11" t="s">
        <v>1222</v>
      </c>
      <c r="C11" t="s">
        <v>68</v>
      </c>
    </row>
    <row r="12" spans="1:3" x14ac:dyDescent="0.25">
      <c r="A12" t="s">
        <v>1223</v>
      </c>
      <c r="B12" t="s">
        <v>1224</v>
      </c>
      <c r="C12" t="s">
        <v>68</v>
      </c>
    </row>
    <row r="13" spans="1:3" x14ac:dyDescent="0.25">
      <c r="A13" t="s">
        <v>1225</v>
      </c>
      <c r="B13" t="s">
        <v>1226</v>
      </c>
      <c r="C13" t="s">
        <v>68</v>
      </c>
    </row>
    <row r="14" spans="1:3" x14ac:dyDescent="0.25">
      <c r="A14" t="s">
        <v>1227</v>
      </c>
      <c r="B14" t="s">
        <v>1228</v>
      </c>
      <c r="C14" t="s">
        <v>357</v>
      </c>
    </row>
    <row r="15" spans="1:3" x14ac:dyDescent="0.25">
      <c r="A15" t="s">
        <v>1229</v>
      </c>
      <c r="B15" t="s">
        <v>670</v>
      </c>
      <c r="C15" t="s">
        <v>357</v>
      </c>
    </row>
    <row r="16" spans="1:3" x14ac:dyDescent="0.25">
      <c r="A16" t="s">
        <v>1230</v>
      </c>
      <c r="B16" t="s">
        <v>670</v>
      </c>
      <c r="C16" t="s">
        <v>357</v>
      </c>
    </row>
    <row r="17" spans="1:3" x14ac:dyDescent="0.25">
      <c r="A17" t="s">
        <v>1231</v>
      </c>
      <c r="B17" t="s">
        <v>1232</v>
      </c>
      <c r="C17" t="s">
        <v>1233</v>
      </c>
    </row>
    <row r="18" spans="1:3" x14ac:dyDescent="0.25">
      <c r="A18" t="s">
        <v>1234</v>
      </c>
      <c r="B18" t="s">
        <v>1235</v>
      </c>
      <c r="C18" t="s">
        <v>6</v>
      </c>
    </row>
    <row r="19" spans="1:3" x14ac:dyDescent="0.25">
      <c r="A19" t="s">
        <v>1236</v>
      </c>
      <c r="B19" t="s">
        <v>1237</v>
      </c>
      <c r="C19" t="s">
        <v>6</v>
      </c>
    </row>
    <row r="20" spans="1:3" x14ac:dyDescent="0.25">
      <c r="A20" t="s">
        <v>1238</v>
      </c>
      <c r="B20" t="s">
        <v>1239</v>
      </c>
      <c r="C20" t="s">
        <v>1233</v>
      </c>
    </row>
    <row r="21" spans="1:3" x14ac:dyDescent="0.25">
      <c r="A21" t="s">
        <v>1240</v>
      </c>
      <c r="B21" t="s">
        <v>1241</v>
      </c>
      <c r="C21" t="s">
        <v>240</v>
      </c>
    </row>
    <row r="22" spans="1:3" x14ac:dyDescent="0.25">
      <c r="A22" t="s">
        <v>1242</v>
      </c>
      <c r="B22" t="s">
        <v>1243</v>
      </c>
      <c r="C22" t="s">
        <v>240</v>
      </c>
    </row>
    <row r="23" spans="1:3" x14ac:dyDescent="0.25">
      <c r="A23" t="s">
        <v>1244</v>
      </c>
      <c r="B23" t="s">
        <v>1245</v>
      </c>
      <c r="C23" t="s">
        <v>31</v>
      </c>
    </row>
    <row r="24" spans="1:3" x14ac:dyDescent="0.25">
      <c r="A24" t="s">
        <v>1246</v>
      </c>
      <c r="B24" t="s">
        <v>1247</v>
      </c>
      <c r="C24" t="s">
        <v>34</v>
      </c>
    </row>
    <row r="25" spans="1:3" x14ac:dyDescent="0.25">
      <c r="A25" t="s">
        <v>1248</v>
      </c>
      <c r="B25" t="s">
        <v>1249</v>
      </c>
      <c r="C25" t="s">
        <v>34</v>
      </c>
    </row>
    <row r="26" spans="1:3" x14ac:dyDescent="0.25">
      <c r="A26" t="s">
        <v>1250</v>
      </c>
      <c r="B26" t="s">
        <v>1251</v>
      </c>
      <c r="C26" t="s">
        <v>31</v>
      </c>
    </row>
    <row r="27" spans="1:3" x14ac:dyDescent="0.25">
      <c r="A27" t="s">
        <v>1252</v>
      </c>
      <c r="B27" t="s">
        <v>154</v>
      </c>
      <c r="C27" t="s">
        <v>357</v>
      </c>
    </row>
    <row r="28" spans="1:3" x14ac:dyDescent="0.25">
      <c r="A28" t="s">
        <v>1253</v>
      </c>
      <c r="B28" t="s">
        <v>1254</v>
      </c>
      <c r="C28" t="s">
        <v>26</v>
      </c>
    </row>
  </sheetData>
  <phoneticPr fontId="1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>
    <tabColor theme="9"/>
  </sheetPr>
  <dimension ref="A1:C28"/>
  <sheetViews>
    <sheetView workbookViewId="0"/>
  </sheetViews>
  <sheetFormatPr defaultRowHeight="14" x14ac:dyDescent="0.25"/>
  <sheetData>
    <row r="1" spans="1:3" x14ac:dyDescent="0.25">
      <c r="A1" t="s">
        <v>1255</v>
      </c>
    </row>
    <row r="2" spans="1:3" x14ac:dyDescent="0.25">
      <c r="A2" t="s">
        <v>1</v>
      </c>
      <c r="B2" t="s">
        <v>1256</v>
      </c>
      <c r="C2" t="s">
        <v>3</v>
      </c>
    </row>
    <row r="3" spans="1:3" x14ac:dyDescent="0.25">
      <c r="A3" t="s">
        <v>653</v>
      </c>
      <c r="B3" t="s">
        <v>1257</v>
      </c>
      <c r="C3" t="s">
        <v>6</v>
      </c>
    </row>
    <row r="4" spans="1:3" x14ac:dyDescent="0.25">
      <c r="A4" t="s">
        <v>1258</v>
      </c>
      <c r="B4" t="s">
        <v>1259</v>
      </c>
      <c r="C4" t="s">
        <v>6</v>
      </c>
    </row>
    <row r="5" spans="1:3" x14ac:dyDescent="0.25">
      <c r="A5">
        <f>5+2.93</f>
        <v>7.93</v>
      </c>
      <c r="B5">
        <f>15.52</f>
        <v>15.52</v>
      </c>
    </row>
    <row r="6" spans="1:3" x14ac:dyDescent="0.25">
      <c r="A6">
        <f>A5+10.57</f>
        <v>18.5</v>
      </c>
      <c r="B6">
        <v>12</v>
      </c>
    </row>
    <row r="7" spans="1:3" x14ac:dyDescent="0.25">
      <c r="A7">
        <f>A6+9</f>
        <v>27.5</v>
      </c>
      <c r="B7">
        <f>B6</f>
        <v>12</v>
      </c>
    </row>
    <row r="8" spans="1:3" x14ac:dyDescent="0.25">
      <c r="A8">
        <f>A7+11.49</f>
        <v>38.99</v>
      </c>
      <c r="B8">
        <f>B7+11.49/3</f>
        <v>15.83</v>
      </c>
    </row>
    <row r="9" spans="1:3" x14ac:dyDescent="0.25">
      <c r="A9" t="s">
        <v>1262</v>
      </c>
      <c r="B9" t="s">
        <v>1263</v>
      </c>
      <c r="C9" t="s">
        <v>68</v>
      </c>
    </row>
    <row r="10" spans="1:3" x14ac:dyDescent="0.25">
      <c r="A10" t="s">
        <v>1264</v>
      </c>
      <c r="B10" t="s">
        <v>1265</v>
      </c>
      <c r="C10" t="s">
        <v>68</v>
      </c>
    </row>
    <row r="11" spans="1:3" x14ac:dyDescent="0.25">
      <c r="A11" t="s">
        <v>1266</v>
      </c>
      <c r="B11" t="s">
        <v>1220</v>
      </c>
      <c r="C11" t="s">
        <v>1188</v>
      </c>
    </row>
    <row r="12" spans="1:3" x14ac:dyDescent="0.25">
      <c r="A12" t="s">
        <v>1267</v>
      </c>
      <c r="B12" t="s">
        <v>1268</v>
      </c>
      <c r="C12" t="s">
        <v>6</v>
      </c>
    </row>
    <row r="13" spans="1:3" x14ac:dyDescent="0.25">
      <c r="A13" t="s">
        <v>1269</v>
      </c>
      <c r="B13" t="s">
        <v>1270</v>
      </c>
      <c r="C13" t="s">
        <v>6</v>
      </c>
    </row>
    <row r="14" spans="1:3" x14ac:dyDescent="0.25">
      <c r="A14" t="s">
        <v>1271</v>
      </c>
      <c r="B14" t="s">
        <v>1272</v>
      </c>
      <c r="C14" t="s">
        <v>6</v>
      </c>
    </row>
    <row r="15" spans="1:3" x14ac:dyDescent="0.25">
      <c r="A15" t="s">
        <v>1273</v>
      </c>
      <c r="B15" t="s">
        <v>1274</v>
      </c>
      <c r="C15" t="s">
        <v>6</v>
      </c>
    </row>
    <row r="16" spans="1:3" x14ac:dyDescent="0.25">
      <c r="A16" t="s">
        <v>1275</v>
      </c>
      <c r="B16" t="s">
        <v>1276</v>
      </c>
      <c r="C16" t="s">
        <v>1188</v>
      </c>
    </row>
    <row r="17" spans="1:3" x14ac:dyDescent="0.25">
      <c r="A17" t="s">
        <v>1277</v>
      </c>
      <c r="B17" t="s">
        <v>1278</v>
      </c>
      <c r="C17" t="s">
        <v>240</v>
      </c>
    </row>
    <row r="18" spans="1:3" x14ac:dyDescent="0.25">
      <c r="A18" t="s">
        <v>1279</v>
      </c>
      <c r="B18" t="s">
        <v>1280</v>
      </c>
      <c r="C18" t="s">
        <v>31</v>
      </c>
    </row>
    <row r="19" spans="1:3" x14ac:dyDescent="0.25">
      <c r="A19" t="s">
        <v>1281</v>
      </c>
      <c r="B19" t="s">
        <v>1282</v>
      </c>
      <c r="C19" t="s">
        <v>34</v>
      </c>
    </row>
    <row r="20" spans="1:3" x14ac:dyDescent="0.25">
      <c r="A20" t="s">
        <v>1283</v>
      </c>
      <c r="B20" t="s">
        <v>1284</v>
      </c>
      <c r="C20" t="s">
        <v>31</v>
      </c>
    </row>
    <row r="21" spans="1:3" x14ac:dyDescent="0.25">
      <c r="A21" t="s">
        <v>1285</v>
      </c>
      <c r="B21" t="s">
        <v>1286</v>
      </c>
      <c r="C21" t="s">
        <v>34</v>
      </c>
    </row>
    <row r="22" spans="1:3" x14ac:dyDescent="0.25">
      <c r="A22" t="s">
        <v>1287</v>
      </c>
      <c r="B22" t="s">
        <v>1288</v>
      </c>
      <c r="C22" t="s">
        <v>6</v>
      </c>
    </row>
    <row r="23" spans="1:3" x14ac:dyDescent="0.25">
      <c r="A23" t="s">
        <v>1289</v>
      </c>
      <c r="B23" t="s">
        <v>1290</v>
      </c>
      <c r="C23" t="s">
        <v>34</v>
      </c>
    </row>
    <row r="24" spans="1:3" x14ac:dyDescent="0.25">
      <c r="A24" t="s">
        <v>1291</v>
      </c>
      <c r="B24" t="s">
        <v>1292</v>
      </c>
      <c r="C24" t="s">
        <v>31</v>
      </c>
    </row>
    <row r="25" spans="1:3" x14ac:dyDescent="0.25">
      <c r="A25" t="s">
        <v>1293</v>
      </c>
      <c r="B25" t="s">
        <v>348</v>
      </c>
      <c r="C25" t="s">
        <v>34</v>
      </c>
    </row>
    <row r="26" spans="1:3" x14ac:dyDescent="0.25">
      <c r="A26" t="s">
        <v>1294</v>
      </c>
      <c r="B26" t="s">
        <v>1295</v>
      </c>
      <c r="C26" t="s">
        <v>31</v>
      </c>
    </row>
    <row r="27" spans="1:3" x14ac:dyDescent="0.25">
      <c r="A27" t="s">
        <v>1296</v>
      </c>
      <c r="B27" t="s">
        <v>1297</v>
      </c>
      <c r="C27" t="s">
        <v>6</v>
      </c>
    </row>
    <row r="28" spans="1:3" x14ac:dyDescent="0.25">
      <c r="A28" t="s">
        <v>1298</v>
      </c>
      <c r="B28" t="s">
        <v>1299</v>
      </c>
      <c r="C28" t="s">
        <v>26</v>
      </c>
    </row>
  </sheetData>
  <phoneticPr fontId="1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C27"/>
  <sheetViews>
    <sheetView workbookViewId="0"/>
  </sheetViews>
  <sheetFormatPr defaultRowHeight="14" x14ac:dyDescent="0.25"/>
  <sheetData>
    <row r="1" spans="1:3" x14ac:dyDescent="0.25">
      <c r="A1" t="s">
        <v>1300</v>
      </c>
    </row>
    <row r="2" spans="1:3" x14ac:dyDescent="0.25">
      <c r="A2" t="s">
        <v>1</v>
      </c>
      <c r="B2" t="s">
        <v>982</v>
      </c>
      <c r="C2" t="s">
        <v>3</v>
      </c>
    </row>
    <row r="3" spans="1:3" x14ac:dyDescent="0.25">
      <c r="A3" t="s">
        <v>1301</v>
      </c>
      <c r="B3" t="s">
        <v>1302</v>
      </c>
      <c r="C3" t="s">
        <v>31</v>
      </c>
    </row>
    <row r="4" spans="1:3" x14ac:dyDescent="0.25">
      <c r="A4">
        <v>5.13</v>
      </c>
      <c r="B4">
        <v>15.03</v>
      </c>
    </row>
    <row r="5" spans="1:3" x14ac:dyDescent="0.25">
      <c r="A5">
        <f>A4+7.1</f>
        <v>12.23</v>
      </c>
      <c r="B5">
        <f>B4</f>
        <v>15.03</v>
      </c>
    </row>
    <row r="6" spans="1:3" x14ac:dyDescent="0.25">
      <c r="A6">
        <f>A5+9.19</f>
        <v>21.42</v>
      </c>
      <c r="B6">
        <v>11.97</v>
      </c>
    </row>
    <row r="7" spans="1:3" x14ac:dyDescent="0.25">
      <c r="A7">
        <f>A6+9</f>
        <v>30.42</v>
      </c>
      <c r="B7">
        <f>B6</f>
        <v>11.97</v>
      </c>
    </row>
    <row r="8" spans="1:3" x14ac:dyDescent="0.25">
      <c r="A8">
        <f>A7+11.04</f>
        <v>41.46</v>
      </c>
      <c r="B8">
        <f>B7+11.04/3</f>
        <v>15.65</v>
      </c>
    </row>
    <row r="9" spans="1:3" x14ac:dyDescent="0.25">
      <c r="A9" t="s">
        <v>1303</v>
      </c>
      <c r="B9" t="s">
        <v>1304</v>
      </c>
      <c r="C9" t="s">
        <v>6</v>
      </c>
    </row>
    <row r="10" spans="1:3" x14ac:dyDescent="0.25">
      <c r="A10" t="s">
        <v>1305</v>
      </c>
      <c r="B10" t="s">
        <v>650</v>
      </c>
      <c r="C10" t="s">
        <v>225</v>
      </c>
    </row>
    <row r="11" spans="1:3" x14ac:dyDescent="0.25">
      <c r="A11" t="s">
        <v>1306</v>
      </c>
      <c r="B11" t="s">
        <v>1307</v>
      </c>
      <c r="C11" t="s">
        <v>68</v>
      </c>
    </row>
    <row r="12" spans="1:3" x14ac:dyDescent="0.25">
      <c r="A12" t="s">
        <v>1308</v>
      </c>
      <c r="B12" t="s">
        <v>798</v>
      </c>
      <c r="C12" t="s">
        <v>357</v>
      </c>
    </row>
    <row r="13" spans="1:3" x14ac:dyDescent="0.25">
      <c r="A13" t="s">
        <v>1309</v>
      </c>
      <c r="B13" t="s">
        <v>1310</v>
      </c>
      <c r="C13" t="s">
        <v>6</v>
      </c>
    </row>
    <row r="14" spans="1:3" x14ac:dyDescent="0.25">
      <c r="A14" t="s">
        <v>1311</v>
      </c>
      <c r="B14" t="s">
        <v>1312</v>
      </c>
      <c r="C14" t="s">
        <v>357</v>
      </c>
    </row>
    <row r="15" spans="1:3" x14ac:dyDescent="0.25">
      <c r="A15" t="s">
        <v>1313</v>
      </c>
      <c r="B15" t="s">
        <v>1314</v>
      </c>
      <c r="C15" t="s">
        <v>357</v>
      </c>
    </row>
    <row r="16" spans="1:3" x14ac:dyDescent="0.25">
      <c r="A16" t="s">
        <v>1315</v>
      </c>
      <c r="B16" t="s">
        <v>1316</v>
      </c>
      <c r="C16" t="s">
        <v>357</v>
      </c>
    </row>
    <row r="17" spans="1:3" x14ac:dyDescent="0.25">
      <c r="A17" t="s">
        <v>1317</v>
      </c>
      <c r="B17" t="s">
        <v>1318</v>
      </c>
      <c r="C17" t="s">
        <v>357</v>
      </c>
    </row>
    <row r="18" spans="1:3" x14ac:dyDescent="0.25">
      <c r="A18" t="s">
        <v>1319</v>
      </c>
      <c r="B18" t="s">
        <v>1320</v>
      </c>
      <c r="C18" t="s">
        <v>240</v>
      </c>
    </row>
    <row r="19" spans="1:3" x14ac:dyDescent="0.25">
      <c r="A19" t="s">
        <v>1321</v>
      </c>
      <c r="B19" t="s">
        <v>726</v>
      </c>
      <c r="C19" t="s">
        <v>240</v>
      </c>
    </row>
    <row r="20" spans="1:3" x14ac:dyDescent="0.25">
      <c r="A20" t="s">
        <v>1322</v>
      </c>
      <c r="B20" t="s">
        <v>1323</v>
      </c>
      <c r="C20" t="s">
        <v>31</v>
      </c>
    </row>
    <row r="21" spans="1:3" x14ac:dyDescent="0.25">
      <c r="A21" t="s">
        <v>1324</v>
      </c>
      <c r="B21" t="s">
        <v>167</v>
      </c>
      <c r="C21" t="s">
        <v>31</v>
      </c>
    </row>
    <row r="22" spans="1:3" x14ac:dyDescent="0.25">
      <c r="A22" t="s">
        <v>1325</v>
      </c>
      <c r="B22" t="s">
        <v>1326</v>
      </c>
      <c r="C22" t="s">
        <v>34</v>
      </c>
    </row>
    <row r="23" spans="1:3" x14ac:dyDescent="0.25">
      <c r="A23" t="s">
        <v>1327</v>
      </c>
      <c r="B23" t="s">
        <v>1328</v>
      </c>
      <c r="C23" t="s">
        <v>68</v>
      </c>
    </row>
    <row r="24" spans="1:3" x14ac:dyDescent="0.25">
      <c r="A24" t="s">
        <v>1329</v>
      </c>
      <c r="B24" t="s">
        <v>1330</v>
      </c>
      <c r="C24" t="s">
        <v>34</v>
      </c>
    </row>
    <row r="25" spans="1:3" x14ac:dyDescent="0.25">
      <c r="A25" t="s">
        <v>1331</v>
      </c>
      <c r="B25" t="s">
        <v>1332</v>
      </c>
      <c r="C25" t="s">
        <v>31</v>
      </c>
    </row>
    <row r="26" spans="1:3" x14ac:dyDescent="0.25">
      <c r="A26" t="s">
        <v>1333</v>
      </c>
      <c r="B26" t="s">
        <v>1334</v>
      </c>
      <c r="C26" t="s">
        <v>68</v>
      </c>
    </row>
    <row r="27" spans="1:3" x14ac:dyDescent="0.25">
      <c r="A27" t="s">
        <v>1335</v>
      </c>
      <c r="B27" t="s">
        <v>1336</v>
      </c>
      <c r="C27" t="s">
        <v>26</v>
      </c>
    </row>
  </sheetData>
  <phoneticPr fontId="1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C34"/>
  <sheetViews>
    <sheetView workbookViewId="0"/>
  </sheetViews>
  <sheetFormatPr defaultRowHeight="14" x14ac:dyDescent="0.25"/>
  <sheetData>
    <row r="1" spans="1:3" x14ac:dyDescent="0.25">
      <c r="A1" t="s">
        <v>1337</v>
      </c>
    </row>
    <row r="2" spans="1:3" x14ac:dyDescent="0.25">
      <c r="A2" t="s">
        <v>1</v>
      </c>
      <c r="B2" t="s">
        <v>1338</v>
      </c>
      <c r="C2" t="s">
        <v>3</v>
      </c>
    </row>
    <row r="3" spans="1:3" x14ac:dyDescent="0.25">
      <c r="A3" t="s">
        <v>1339</v>
      </c>
      <c r="B3" t="s">
        <v>1340</v>
      </c>
      <c r="C3" t="s">
        <v>6</v>
      </c>
    </row>
    <row r="4" spans="1:3" x14ac:dyDescent="0.25">
      <c r="A4" t="s">
        <v>1341</v>
      </c>
      <c r="B4" t="s">
        <v>1342</v>
      </c>
      <c r="C4" t="s">
        <v>6</v>
      </c>
    </row>
    <row r="5" spans="1:3" x14ac:dyDescent="0.25">
      <c r="A5" t="s">
        <v>530</v>
      </c>
      <c r="B5" t="s">
        <v>1343</v>
      </c>
      <c r="C5" t="s">
        <v>6</v>
      </c>
    </row>
    <row r="6" spans="1:3" x14ac:dyDescent="0.25">
      <c r="A6" t="s">
        <v>1344</v>
      </c>
      <c r="B6" t="s">
        <v>1345</v>
      </c>
      <c r="C6" t="s">
        <v>6</v>
      </c>
    </row>
    <row r="7" spans="1:3" x14ac:dyDescent="0.25">
      <c r="A7">
        <f>15-1.57</f>
        <v>13.43</v>
      </c>
      <c r="B7">
        <v>14.7</v>
      </c>
    </row>
    <row r="8" spans="1:3" x14ac:dyDescent="0.25">
      <c r="A8">
        <f>A7+2.17</f>
        <v>15.6</v>
      </c>
      <c r="B8">
        <f>B7</f>
        <v>14.7</v>
      </c>
    </row>
    <row r="9" spans="1:3" x14ac:dyDescent="0.25">
      <c r="A9">
        <f>A8+8.4</f>
        <v>24</v>
      </c>
      <c r="B9">
        <f>B8-2.8</f>
        <v>11.899999999999999</v>
      </c>
    </row>
    <row r="10" spans="1:3" x14ac:dyDescent="0.25">
      <c r="A10">
        <f>A9+9</f>
        <v>33</v>
      </c>
      <c r="B10">
        <f>B9</f>
        <v>11.899999999999999</v>
      </c>
    </row>
    <row r="11" spans="1:3" x14ac:dyDescent="0.25">
      <c r="A11">
        <f>A10+8.81</f>
        <v>41.81</v>
      </c>
      <c r="B11">
        <f>B10+2.94</f>
        <v>14.839999999999998</v>
      </c>
    </row>
    <row r="12" spans="1:3" x14ac:dyDescent="0.25">
      <c r="A12" t="s">
        <v>1346</v>
      </c>
      <c r="B12" t="s">
        <v>1347</v>
      </c>
      <c r="C12" t="s">
        <v>6</v>
      </c>
    </row>
    <row r="13" spans="1:3" x14ac:dyDescent="0.25">
      <c r="A13" t="s">
        <v>1348</v>
      </c>
      <c r="B13" t="s">
        <v>892</v>
      </c>
      <c r="C13" t="s">
        <v>68</v>
      </c>
    </row>
    <row r="14" spans="1:3" x14ac:dyDescent="0.25">
      <c r="A14" t="s">
        <v>1349</v>
      </c>
      <c r="B14" t="s">
        <v>1350</v>
      </c>
      <c r="C14" t="s">
        <v>6</v>
      </c>
    </row>
    <row r="15" spans="1:3" x14ac:dyDescent="0.25">
      <c r="A15" t="s">
        <v>1351</v>
      </c>
      <c r="B15" t="s">
        <v>1352</v>
      </c>
      <c r="C15" t="s">
        <v>68</v>
      </c>
    </row>
    <row r="16" spans="1:3" x14ac:dyDescent="0.25">
      <c r="A16" t="s">
        <v>1353</v>
      </c>
      <c r="B16" t="s">
        <v>1354</v>
      </c>
      <c r="C16" t="s">
        <v>6</v>
      </c>
    </row>
    <row r="17" spans="1:3" x14ac:dyDescent="0.25">
      <c r="A17" t="s">
        <v>1355</v>
      </c>
      <c r="B17" t="s">
        <v>1356</v>
      </c>
      <c r="C17" t="s">
        <v>68</v>
      </c>
    </row>
    <row r="18" spans="1:3" x14ac:dyDescent="0.25">
      <c r="A18" t="s">
        <v>1357</v>
      </c>
      <c r="B18" t="s">
        <v>1358</v>
      </c>
      <c r="C18" t="s">
        <v>68</v>
      </c>
    </row>
    <row r="19" spans="1:3" x14ac:dyDescent="0.25">
      <c r="A19" t="s">
        <v>1186</v>
      </c>
      <c r="B19" t="s">
        <v>1359</v>
      </c>
      <c r="C19" t="s">
        <v>68</v>
      </c>
    </row>
    <row r="20" spans="1:3" x14ac:dyDescent="0.25">
      <c r="A20" t="s">
        <v>1360</v>
      </c>
      <c r="B20" t="s">
        <v>1361</v>
      </c>
      <c r="C20" t="s">
        <v>6</v>
      </c>
    </row>
    <row r="21" spans="1:3" x14ac:dyDescent="0.25">
      <c r="A21" t="s">
        <v>1362</v>
      </c>
      <c r="B21" t="s">
        <v>1363</v>
      </c>
      <c r="C21" t="s">
        <v>68</v>
      </c>
    </row>
    <row r="22" spans="1:3" x14ac:dyDescent="0.25">
      <c r="A22" t="s">
        <v>1364</v>
      </c>
      <c r="B22" t="s">
        <v>1365</v>
      </c>
      <c r="C22" t="s">
        <v>240</v>
      </c>
    </row>
    <row r="23" spans="1:3" x14ac:dyDescent="0.25">
      <c r="A23" t="s">
        <v>1366</v>
      </c>
      <c r="B23" t="s">
        <v>1367</v>
      </c>
      <c r="C23" t="s">
        <v>240</v>
      </c>
    </row>
    <row r="24" spans="1:3" x14ac:dyDescent="0.25">
      <c r="A24" t="s">
        <v>1368</v>
      </c>
      <c r="B24" t="s">
        <v>1369</v>
      </c>
      <c r="C24" t="s">
        <v>6</v>
      </c>
    </row>
    <row r="25" spans="1:3" x14ac:dyDescent="0.25">
      <c r="A25" t="s">
        <v>1370</v>
      </c>
      <c r="B25" t="s">
        <v>1371</v>
      </c>
      <c r="C25" t="s">
        <v>240</v>
      </c>
    </row>
    <row r="26" spans="1:3" x14ac:dyDescent="0.25">
      <c r="A26" t="s">
        <v>1372</v>
      </c>
      <c r="B26" t="s">
        <v>1373</v>
      </c>
      <c r="C26" t="s">
        <v>240</v>
      </c>
    </row>
    <row r="27" spans="1:3" x14ac:dyDescent="0.25">
      <c r="A27" t="s">
        <v>1374</v>
      </c>
      <c r="B27" t="s">
        <v>1375</v>
      </c>
      <c r="C27" t="s">
        <v>31</v>
      </c>
    </row>
    <row r="28" spans="1:3" x14ac:dyDescent="0.25">
      <c r="A28" t="s">
        <v>1376</v>
      </c>
      <c r="B28" t="s">
        <v>1377</v>
      </c>
      <c r="C28" t="s">
        <v>34</v>
      </c>
    </row>
    <row r="29" spans="1:3" x14ac:dyDescent="0.25">
      <c r="A29" t="s">
        <v>1378</v>
      </c>
      <c r="B29" t="s">
        <v>1379</v>
      </c>
      <c r="C29" t="s">
        <v>34</v>
      </c>
    </row>
    <row r="30" spans="1:3" x14ac:dyDescent="0.25">
      <c r="A30" t="s">
        <v>1380</v>
      </c>
      <c r="B30" t="s">
        <v>1381</v>
      </c>
      <c r="C30" t="s">
        <v>31</v>
      </c>
    </row>
    <row r="31" spans="1:3" x14ac:dyDescent="0.25">
      <c r="A31" t="s">
        <v>1382</v>
      </c>
      <c r="B31" t="s">
        <v>1383</v>
      </c>
      <c r="C31" t="s">
        <v>68</v>
      </c>
    </row>
    <row r="32" spans="1:3" x14ac:dyDescent="0.25">
      <c r="A32" t="s">
        <v>1384</v>
      </c>
      <c r="B32" t="s">
        <v>1385</v>
      </c>
      <c r="C32" t="s">
        <v>34</v>
      </c>
    </row>
    <row r="33" spans="1:3" x14ac:dyDescent="0.25">
      <c r="A33" t="s">
        <v>1386</v>
      </c>
      <c r="B33" t="s">
        <v>1387</v>
      </c>
      <c r="C33" t="s">
        <v>31</v>
      </c>
    </row>
    <row r="34" spans="1:3" x14ac:dyDescent="0.25">
      <c r="A34" t="s">
        <v>1388</v>
      </c>
      <c r="B34" t="s">
        <v>1389</v>
      </c>
      <c r="C34" t="s">
        <v>26</v>
      </c>
    </row>
  </sheetData>
  <phoneticPr fontId="1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C29"/>
  <sheetViews>
    <sheetView workbookViewId="0"/>
  </sheetViews>
  <sheetFormatPr defaultRowHeight="14" x14ac:dyDescent="0.25"/>
  <sheetData>
    <row r="1" spans="1:3" x14ac:dyDescent="0.25">
      <c r="A1" t="s">
        <v>1390</v>
      </c>
    </row>
    <row r="2" spans="1:3" x14ac:dyDescent="0.25">
      <c r="A2" t="s">
        <v>1</v>
      </c>
      <c r="B2" t="s">
        <v>1391</v>
      </c>
      <c r="C2" t="s">
        <v>3</v>
      </c>
    </row>
    <row r="3" spans="1:3" x14ac:dyDescent="0.25">
      <c r="A3" t="s">
        <v>1392</v>
      </c>
      <c r="B3" t="s">
        <v>1393</v>
      </c>
      <c r="C3" t="s">
        <v>6</v>
      </c>
    </row>
    <row r="4" spans="1:3" x14ac:dyDescent="0.25">
      <c r="A4" t="s">
        <v>1394</v>
      </c>
      <c r="B4" t="s">
        <v>1395</v>
      </c>
      <c r="C4" t="s">
        <v>6</v>
      </c>
    </row>
    <row r="5" spans="1:3" x14ac:dyDescent="0.25">
      <c r="A5">
        <v>15.16</v>
      </c>
      <c r="B5">
        <v>14.9</v>
      </c>
    </row>
    <row r="6" spans="1:3" x14ac:dyDescent="0.25">
      <c r="A6">
        <f>A5+9.09</f>
        <v>24.25</v>
      </c>
      <c r="B6">
        <f>B5-3.03</f>
        <v>11.870000000000001</v>
      </c>
    </row>
    <row r="7" spans="1:3" x14ac:dyDescent="0.25">
      <c r="A7">
        <f>A6+8.5</f>
        <v>32.75</v>
      </c>
      <c r="B7">
        <f>B6</f>
        <v>11.870000000000001</v>
      </c>
    </row>
    <row r="8" spans="1:3" x14ac:dyDescent="0.25">
      <c r="A8">
        <f>A7+9.09</f>
        <v>41.84</v>
      </c>
      <c r="B8">
        <f>B7+3.03</f>
        <v>14.9</v>
      </c>
    </row>
    <row r="9" spans="1:3" x14ac:dyDescent="0.25">
      <c r="A9" t="s">
        <v>1396</v>
      </c>
      <c r="B9" t="s">
        <v>1397</v>
      </c>
      <c r="C9" t="s">
        <v>6</v>
      </c>
    </row>
    <row r="10" spans="1:3" x14ac:dyDescent="0.25">
      <c r="A10" t="s">
        <v>1398</v>
      </c>
      <c r="B10" t="s">
        <v>1399</v>
      </c>
      <c r="C10" t="s">
        <v>6</v>
      </c>
    </row>
    <row r="11" spans="1:3" x14ac:dyDescent="0.25">
      <c r="A11" t="s">
        <v>1400</v>
      </c>
      <c r="B11" t="s">
        <v>1401</v>
      </c>
      <c r="C11" t="s">
        <v>6</v>
      </c>
    </row>
    <row r="12" spans="1:3" x14ac:dyDescent="0.25">
      <c r="A12" t="s">
        <v>1402</v>
      </c>
      <c r="B12" t="s">
        <v>1403</v>
      </c>
      <c r="C12" t="s">
        <v>6</v>
      </c>
    </row>
    <row r="13" spans="1:3" x14ac:dyDescent="0.25">
      <c r="A13" t="s">
        <v>1404</v>
      </c>
      <c r="B13" t="s">
        <v>1405</v>
      </c>
      <c r="C13" t="s">
        <v>6</v>
      </c>
    </row>
    <row r="14" spans="1:3" x14ac:dyDescent="0.25">
      <c r="A14" t="s">
        <v>1406</v>
      </c>
      <c r="B14" t="s">
        <v>1407</v>
      </c>
      <c r="C14" t="s">
        <v>155</v>
      </c>
    </row>
    <row r="15" spans="1:3" x14ac:dyDescent="0.25">
      <c r="A15" t="s">
        <v>1408</v>
      </c>
      <c r="B15" t="s">
        <v>1409</v>
      </c>
      <c r="C15" t="s">
        <v>240</v>
      </c>
    </row>
    <row r="16" spans="1:3" x14ac:dyDescent="0.25">
      <c r="A16" t="s">
        <v>1410</v>
      </c>
      <c r="B16" t="s">
        <v>1411</v>
      </c>
      <c r="C16" t="s">
        <v>240</v>
      </c>
    </row>
    <row r="17" spans="1:3" x14ac:dyDescent="0.25">
      <c r="A17" t="s">
        <v>1412</v>
      </c>
      <c r="B17" t="s">
        <v>1413</v>
      </c>
      <c r="C17" t="s">
        <v>6</v>
      </c>
    </row>
    <row r="18" spans="1:3" x14ac:dyDescent="0.25">
      <c r="A18" t="s">
        <v>1414</v>
      </c>
      <c r="B18" t="s">
        <v>1415</v>
      </c>
      <c r="C18" t="s">
        <v>6</v>
      </c>
    </row>
    <row r="19" spans="1:3" x14ac:dyDescent="0.25">
      <c r="A19" t="s">
        <v>1416</v>
      </c>
      <c r="B19" t="s">
        <v>1417</v>
      </c>
      <c r="C19" t="s">
        <v>6</v>
      </c>
    </row>
    <row r="20" spans="1:3" x14ac:dyDescent="0.25">
      <c r="A20" t="s">
        <v>1418</v>
      </c>
      <c r="B20" t="s">
        <v>1419</v>
      </c>
      <c r="C20" t="s">
        <v>34</v>
      </c>
    </row>
    <row r="21" spans="1:3" x14ac:dyDescent="0.25">
      <c r="A21" t="s">
        <v>1420</v>
      </c>
      <c r="B21" t="s">
        <v>1421</v>
      </c>
      <c r="C21" t="s">
        <v>31</v>
      </c>
    </row>
    <row r="22" spans="1:3" x14ac:dyDescent="0.25">
      <c r="A22" t="s">
        <v>1372</v>
      </c>
      <c r="B22" t="s">
        <v>1422</v>
      </c>
      <c r="C22" t="s">
        <v>31</v>
      </c>
    </row>
    <row r="23" spans="1:3" x14ac:dyDescent="0.25">
      <c r="A23" t="s">
        <v>1423</v>
      </c>
      <c r="B23" t="s">
        <v>1424</v>
      </c>
      <c r="C23" t="s">
        <v>34</v>
      </c>
    </row>
    <row r="24" spans="1:3" x14ac:dyDescent="0.25">
      <c r="A24" t="s">
        <v>1425</v>
      </c>
      <c r="B24" t="s">
        <v>1426</v>
      </c>
      <c r="C24" t="s">
        <v>31</v>
      </c>
    </row>
    <row r="25" spans="1:3" x14ac:dyDescent="0.25">
      <c r="A25" t="s">
        <v>1427</v>
      </c>
      <c r="B25" t="s">
        <v>1428</v>
      </c>
      <c r="C25" t="s">
        <v>34</v>
      </c>
    </row>
    <row r="26" spans="1:3" x14ac:dyDescent="0.25">
      <c r="A26" t="s">
        <v>1429</v>
      </c>
      <c r="B26" t="s">
        <v>1430</v>
      </c>
      <c r="C26" t="s">
        <v>34</v>
      </c>
    </row>
    <row r="27" spans="1:3" x14ac:dyDescent="0.25">
      <c r="A27" t="s">
        <v>1431</v>
      </c>
      <c r="B27" t="s">
        <v>262</v>
      </c>
      <c r="C27" t="s">
        <v>31</v>
      </c>
    </row>
    <row r="28" spans="1:3" x14ac:dyDescent="0.25">
      <c r="A28" t="s">
        <v>1432</v>
      </c>
      <c r="B28" t="s">
        <v>1433</v>
      </c>
      <c r="C28" t="s">
        <v>6</v>
      </c>
    </row>
    <row r="29" spans="1:3" x14ac:dyDescent="0.25">
      <c r="A29" t="s">
        <v>1434</v>
      </c>
      <c r="B29" t="s">
        <v>1369</v>
      </c>
      <c r="C29" t="s">
        <v>26</v>
      </c>
    </row>
  </sheetData>
  <phoneticPr fontId="1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>
    <tabColor theme="6"/>
  </sheetPr>
  <dimension ref="A1:C24"/>
  <sheetViews>
    <sheetView workbookViewId="0"/>
  </sheetViews>
  <sheetFormatPr defaultRowHeight="14" x14ac:dyDescent="0.25"/>
  <sheetData>
    <row r="1" spans="1:3" x14ac:dyDescent="0.25">
      <c r="A1" t="s">
        <v>1435</v>
      </c>
      <c r="B1" t="s">
        <v>2609</v>
      </c>
    </row>
    <row r="2" spans="1:3" x14ac:dyDescent="0.25">
      <c r="A2" t="s">
        <v>1</v>
      </c>
      <c r="B2" t="s">
        <v>1436</v>
      </c>
      <c r="C2" t="s">
        <v>3</v>
      </c>
    </row>
    <row r="3" spans="1:3" x14ac:dyDescent="0.25">
      <c r="A3" t="s">
        <v>1437</v>
      </c>
      <c r="B3" t="s">
        <v>1438</v>
      </c>
      <c r="C3" t="s">
        <v>34</v>
      </c>
    </row>
    <row r="4" spans="1:3" x14ac:dyDescent="0.25">
      <c r="A4" t="s">
        <v>1439</v>
      </c>
      <c r="B4" t="s">
        <v>1440</v>
      </c>
      <c r="C4" t="s">
        <v>31</v>
      </c>
    </row>
    <row r="5" spans="1:3" x14ac:dyDescent="0.25">
      <c r="A5" t="s">
        <v>1441</v>
      </c>
      <c r="B5" t="s">
        <v>1442</v>
      </c>
      <c r="C5" t="s">
        <v>240</v>
      </c>
    </row>
    <row r="6" spans="1:3" x14ac:dyDescent="0.25">
      <c r="A6" t="s">
        <v>1443</v>
      </c>
      <c r="B6" t="s">
        <v>1444</v>
      </c>
      <c r="C6" t="s">
        <v>240</v>
      </c>
    </row>
    <row r="7" spans="1:3" x14ac:dyDescent="0.25">
      <c r="A7" t="s">
        <v>1445</v>
      </c>
      <c r="B7" t="s">
        <v>32</v>
      </c>
      <c r="C7" t="s">
        <v>6</v>
      </c>
    </row>
    <row r="8" spans="1:3" x14ac:dyDescent="0.25">
      <c r="A8" t="s">
        <v>525</v>
      </c>
      <c r="B8" t="s">
        <v>1446</v>
      </c>
      <c r="C8" t="s">
        <v>11</v>
      </c>
    </row>
    <row r="9" spans="1:3" x14ac:dyDescent="0.25">
      <c r="A9" t="s">
        <v>1447</v>
      </c>
      <c r="B9" t="s">
        <v>1448</v>
      </c>
      <c r="C9" t="s">
        <v>6</v>
      </c>
    </row>
    <row r="10" spans="1:3" x14ac:dyDescent="0.25">
      <c r="A10" t="s">
        <v>1449</v>
      </c>
      <c r="B10" t="s">
        <v>264</v>
      </c>
      <c r="C10" t="s">
        <v>6</v>
      </c>
    </row>
    <row r="11" spans="1:3" x14ac:dyDescent="0.25">
      <c r="A11" t="s">
        <v>1450</v>
      </c>
      <c r="B11" t="s">
        <v>1451</v>
      </c>
      <c r="C11" t="s">
        <v>6</v>
      </c>
    </row>
    <row r="12" spans="1:3" x14ac:dyDescent="0.25">
      <c r="A12" t="s">
        <v>1452</v>
      </c>
      <c r="B12" t="s">
        <v>1453</v>
      </c>
      <c r="C12" t="s">
        <v>6</v>
      </c>
    </row>
    <row r="13" spans="1:3" x14ac:dyDescent="0.25">
      <c r="A13" t="s">
        <v>1454</v>
      </c>
      <c r="B13" t="s">
        <v>35</v>
      </c>
      <c r="C13" t="s">
        <v>6</v>
      </c>
    </row>
    <row r="14" spans="1:3" x14ac:dyDescent="0.25">
      <c r="A14" t="s">
        <v>1455</v>
      </c>
      <c r="B14" t="s">
        <v>1456</v>
      </c>
      <c r="C14" t="s">
        <v>6</v>
      </c>
    </row>
    <row r="15" spans="1:3" x14ac:dyDescent="0.25">
      <c r="A15" t="s">
        <v>1457</v>
      </c>
      <c r="B15" t="s">
        <v>1458</v>
      </c>
      <c r="C15" t="s">
        <v>6</v>
      </c>
    </row>
    <row r="16" spans="1:3" x14ac:dyDescent="0.25">
      <c r="A16" t="s">
        <v>1459</v>
      </c>
      <c r="B16" t="s">
        <v>1460</v>
      </c>
      <c r="C16" t="s">
        <v>34</v>
      </c>
    </row>
    <row r="17" spans="1:3" x14ac:dyDescent="0.25">
      <c r="A17" t="s">
        <v>1461</v>
      </c>
      <c r="B17" t="s">
        <v>1462</v>
      </c>
      <c r="C17" t="s">
        <v>31</v>
      </c>
    </row>
    <row r="18" spans="1:3" x14ac:dyDescent="0.25">
      <c r="A18" t="s">
        <v>1463</v>
      </c>
      <c r="B18" t="s">
        <v>1464</v>
      </c>
      <c r="C18" t="s">
        <v>31</v>
      </c>
    </row>
    <row r="19" spans="1:3" x14ac:dyDescent="0.25">
      <c r="A19" t="s">
        <v>1465</v>
      </c>
      <c r="B19" t="s">
        <v>1466</v>
      </c>
      <c r="C19" t="s">
        <v>34</v>
      </c>
    </row>
    <row r="20" spans="1:3" x14ac:dyDescent="0.25">
      <c r="A20" t="s">
        <v>1467</v>
      </c>
      <c r="B20" t="s">
        <v>1468</v>
      </c>
      <c r="C20" t="s">
        <v>34</v>
      </c>
    </row>
    <row r="21" spans="1:3" x14ac:dyDescent="0.25">
      <c r="A21" t="s">
        <v>1469</v>
      </c>
      <c r="B21" t="s">
        <v>234</v>
      </c>
      <c r="C21" t="s">
        <v>31</v>
      </c>
    </row>
    <row r="22" spans="1:3" x14ac:dyDescent="0.25">
      <c r="A22" t="s">
        <v>1470</v>
      </c>
      <c r="B22" t="s">
        <v>1471</v>
      </c>
      <c r="C22" t="s">
        <v>34</v>
      </c>
    </row>
    <row r="23" spans="1:3" x14ac:dyDescent="0.25">
      <c r="A23" t="s">
        <v>1472</v>
      </c>
      <c r="B23" t="s">
        <v>1473</v>
      </c>
      <c r="C23" t="s">
        <v>31</v>
      </c>
    </row>
    <row r="24" spans="1:3" x14ac:dyDescent="0.25">
      <c r="A24" t="s">
        <v>1474</v>
      </c>
      <c r="B24" t="s">
        <v>1475</v>
      </c>
      <c r="C24" t="s">
        <v>26</v>
      </c>
    </row>
  </sheetData>
  <phoneticPr fontId="1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C26"/>
  <sheetViews>
    <sheetView workbookViewId="0">
      <selection activeCell="A2" sqref="A2:XFD2"/>
    </sheetView>
  </sheetViews>
  <sheetFormatPr defaultRowHeight="14" x14ac:dyDescent="0.25"/>
  <sheetData>
    <row r="1" spans="1:3" x14ac:dyDescent="0.25">
      <c r="A1" t="s">
        <v>1476</v>
      </c>
    </row>
    <row r="2" spans="1:3" x14ac:dyDescent="0.25">
      <c r="A2">
        <f>A3-29.76</f>
        <v>-57.150000000000006</v>
      </c>
      <c r="B2">
        <v>15.25</v>
      </c>
    </row>
    <row r="3" spans="1:3" x14ac:dyDescent="0.25">
      <c r="A3">
        <f>A4-5.1</f>
        <v>-27.39</v>
      </c>
      <c r="B3">
        <v>13.5</v>
      </c>
    </row>
    <row r="4" spans="1:3" x14ac:dyDescent="0.25">
      <c r="A4">
        <v>-22.29</v>
      </c>
      <c r="B4">
        <v>14.5</v>
      </c>
    </row>
    <row r="5" spans="1:3" x14ac:dyDescent="0.25">
      <c r="A5" t="s">
        <v>1</v>
      </c>
      <c r="B5" t="s">
        <v>1477</v>
      </c>
      <c r="C5" t="s">
        <v>3</v>
      </c>
    </row>
    <row r="6" spans="1:3" x14ac:dyDescent="0.25">
      <c r="A6" t="s">
        <v>1478</v>
      </c>
      <c r="B6" t="s">
        <v>1479</v>
      </c>
      <c r="C6" t="s">
        <v>240</v>
      </c>
    </row>
    <row r="7" spans="1:3" x14ac:dyDescent="0.25">
      <c r="A7" t="s">
        <v>1480</v>
      </c>
      <c r="B7" t="s">
        <v>1481</v>
      </c>
      <c r="C7" t="s">
        <v>31</v>
      </c>
    </row>
    <row r="8" spans="1:3" x14ac:dyDescent="0.25">
      <c r="A8">
        <v>15.85</v>
      </c>
      <c r="B8" t="str">
        <f>B7</f>
        <v>14.528</v>
      </c>
    </row>
    <row r="9" spans="1:3" x14ac:dyDescent="0.25">
      <c r="A9">
        <f>A8+8.4</f>
        <v>24.25</v>
      </c>
      <c r="B9">
        <f>B8-2.8</f>
        <v>11.728000000000002</v>
      </c>
    </row>
    <row r="10" spans="1:3" x14ac:dyDescent="0.25">
      <c r="A10">
        <f>A9+8.5</f>
        <v>32.75</v>
      </c>
      <c r="B10">
        <f>B9</f>
        <v>11.728000000000002</v>
      </c>
    </row>
    <row r="11" spans="1:3" x14ac:dyDescent="0.25">
      <c r="A11">
        <f>A10+8.4</f>
        <v>41.15</v>
      </c>
      <c r="B11">
        <f>B10+2.8</f>
        <v>14.528000000000002</v>
      </c>
    </row>
    <row r="12" spans="1:3" x14ac:dyDescent="0.25">
      <c r="A12" t="s">
        <v>1483</v>
      </c>
      <c r="B12" t="s">
        <v>1484</v>
      </c>
      <c r="C12" t="s">
        <v>6</v>
      </c>
    </row>
    <row r="13" spans="1:3" x14ac:dyDescent="0.25">
      <c r="A13" t="s">
        <v>1485</v>
      </c>
      <c r="B13" t="s">
        <v>1486</v>
      </c>
      <c r="C13" t="s">
        <v>6</v>
      </c>
    </row>
    <row r="14" spans="1:3" x14ac:dyDescent="0.25">
      <c r="A14" t="s">
        <v>1487</v>
      </c>
      <c r="B14" t="s">
        <v>1488</v>
      </c>
      <c r="C14" t="s">
        <v>240</v>
      </c>
    </row>
    <row r="15" spans="1:3" x14ac:dyDescent="0.25">
      <c r="A15" t="s">
        <v>1489</v>
      </c>
      <c r="B15" t="s">
        <v>1490</v>
      </c>
      <c r="C15" t="s">
        <v>240</v>
      </c>
    </row>
    <row r="16" spans="1:3" x14ac:dyDescent="0.25">
      <c r="A16" t="s">
        <v>1491</v>
      </c>
      <c r="B16" t="s">
        <v>1492</v>
      </c>
      <c r="C16" t="s">
        <v>31</v>
      </c>
    </row>
    <row r="17" spans="1:3" x14ac:dyDescent="0.25">
      <c r="A17" t="s">
        <v>1493</v>
      </c>
      <c r="B17" t="s">
        <v>1494</v>
      </c>
      <c r="C17" t="s">
        <v>34</v>
      </c>
    </row>
    <row r="18" spans="1:3" x14ac:dyDescent="0.25">
      <c r="A18" t="s">
        <v>1495</v>
      </c>
      <c r="B18" t="s">
        <v>1496</v>
      </c>
      <c r="C18" t="s">
        <v>31</v>
      </c>
    </row>
    <row r="19" spans="1:3" x14ac:dyDescent="0.25">
      <c r="A19" t="s">
        <v>1497</v>
      </c>
      <c r="B19" t="s">
        <v>1498</v>
      </c>
      <c r="C19" t="s">
        <v>34</v>
      </c>
    </row>
    <row r="20" spans="1:3" x14ac:dyDescent="0.25">
      <c r="A20" t="s">
        <v>1499</v>
      </c>
      <c r="B20" t="s">
        <v>1500</v>
      </c>
      <c r="C20" t="s">
        <v>6</v>
      </c>
    </row>
    <row r="21" spans="1:3" x14ac:dyDescent="0.25">
      <c r="A21" t="s">
        <v>1501</v>
      </c>
      <c r="B21" t="s">
        <v>1502</v>
      </c>
      <c r="C21" t="s">
        <v>240</v>
      </c>
    </row>
    <row r="22" spans="1:3" x14ac:dyDescent="0.25">
      <c r="A22" t="s">
        <v>1503</v>
      </c>
      <c r="B22" t="s">
        <v>1504</v>
      </c>
      <c r="C22" t="s">
        <v>240</v>
      </c>
    </row>
    <row r="23" spans="1:3" x14ac:dyDescent="0.25">
      <c r="A23" t="s">
        <v>1505</v>
      </c>
      <c r="B23" t="s">
        <v>1506</v>
      </c>
      <c r="C23" t="s">
        <v>34</v>
      </c>
    </row>
    <row r="24" spans="1:3" x14ac:dyDescent="0.25">
      <c r="A24" t="s">
        <v>1507</v>
      </c>
      <c r="B24" t="s">
        <v>664</v>
      </c>
      <c r="C24" t="s">
        <v>31</v>
      </c>
    </row>
    <row r="25" spans="1:3" x14ac:dyDescent="0.25">
      <c r="A25" t="s">
        <v>1508</v>
      </c>
      <c r="B25" t="s">
        <v>1509</v>
      </c>
      <c r="C25" t="s">
        <v>6</v>
      </c>
    </row>
    <row r="26" spans="1:3" x14ac:dyDescent="0.25">
      <c r="A26" t="s">
        <v>1510</v>
      </c>
      <c r="B26" t="s">
        <v>1511</v>
      </c>
      <c r="C26" t="s">
        <v>26</v>
      </c>
    </row>
  </sheetData>
  <phoneticPr fontId="1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1:C19"/>
  <sheetViews>
    <sheetView workbookViewId="0">
      <selection activeCell="C45" sqref="C45"/>
    </sheetView>
  </sheetViews>
  <sheetFormatPr defaultRowHeight="14" x14ac:dyDescent="0.25"/>
  <sheetData>
    <row r="1" spans="1:3" x14ac:dyDescent="0.25">
      <c r="A1" t="s">
        <v>1512</v>
      </c>
    </row>
    <row r="2" spans="1:3" x14ac:dyDescent="0.25">
      <c r="A2" t="s">
        <v>1</v>
      </c>
      <c r="B2" t="s">
        <v>1513</v>
      </c>
      <c r="C2" t="s">
        <v>3</v>
      </c>
    </row>
    <row r="3" spans="1:3" x14ac:dyDescent="0.25">
      <c r="A3" t="s">
        <v>625</v>
      </c>
      <c r="B3" t="s">
        <v>263</v>
      </c>
      <c r="C3" t="s">
        <v>6</v>
      </c>
    </row>
    <row r="4" spans="1:3" x14ac:dyDescent="0.25">
      <c r="A4" t="s">
        <v>1514</v>
      </c>
      <c r="B4" t="s">
        <v>1515</v>
      </c>
      <c r="C4" t="s">
        <v>6</v>
      </c>
    </row>
    <row r="5" spans="1:3" x14ac:dyDescent="0.25">
      <c r="A5" t="s">
        <v>1516</v>
      </c>
      <c r="B5" t="s">
        <v>1517</v>
      </c>
      <c r="C5" t="s">
        <v>11</v>
      </c>
    </row>
    <row r="6" spans="1:3" x14ac:dyDescent="0.25">
      <c r="A6" t="s">
        <v>1518</v>
      </c>
      <c r="B6" t="s">
        <v>1519</v>
      </c>
      <c r="C6" t="s">
        <v>240</v>
      </c>
    </row>
    <row r="7" spans="1:3" x14ac:dyDescent="0.25">
      <c r="A7" t="s">
        <v>1520</v>
      </c>
      <c r="B7" t="s">
        <v>1521</v>
      </c>
      <c r="C7" t="s">
        <v>240</v>
      </c>
    </row>
    <row r="8" spans="1:3" x14ac:dyDescent="0.25">
      <c r="A8">
        <f>30.53</f>
        <v>30.53</v>
      </c>
      <c r="B8">
        <v>14.56</v>
      </c>
    </row>
    <row r="9" spans="1:3" x14ac:dyDescent="0.25">
      <c r="A9">
        <f>A8+8.4</f>
        <v>38.93</v>
      </c>
      <c r="B9">
        <f>B8-2.8</f>
        <v>11.760000000000002</v>
      </c>
    </row>
    <row r="10" spans="1:3" x14ac:dyDescent="0.25">
      <c r="A10">
        <f>A9+9</f>
        <v>47.93</v>
      </c>
      <c r="B10">
        <f>B9</f>
        <v>11.760000000000002</v>
      </c>
    </row>
    <row r="11" spans="1:3" x14ac:dyDescent="0.25">
      <c r="A11">
        <f>A10+8.4</f>
        <v>56.33</v>
      </c>
      <c r="B11">
        <f>B10+2.8</f>
        <v>14.560000000000002</v>
      </c>
    </row>
    <row r="12" spans="1:3" x14ac:dyDescent="0.25">
      <c r="A12">
        <f>A11+6.75</f>
        <v>63.08</v>
      </c>
      <c r="B12">
        <f>B11</f>
        <v>14.560000000000002</v>
      </c>
    </row>
    <row r="13" spans="1:3" x14ac:dyDescent="0.25">
      <c r="A13" t="s">
        <v>1522</v>
      </c>
      <c r="B13" t="s">
        <v>1523</v>
      </c>
      <c r="C13" t="s">
        <v>31</v>
      </c>
    </row>
    <row r="14" spans="1:3" x14ac:dyDescent="0.25">
      <c r="A14" t="s">
        <v>1524</v>
      </c>
      <c r="B14" t="s">
        <v>1525</v>
      </c>
      <c r="C14" t="s">
        <v>240</v>
      </c>
    </row>
    <row r="15" spans="1:3" x14ac:dyDescent="0.25">
      <c r="A15" t="s">
        <v>1526</v>
      </c>
      <c r="B15" t="s">
        <v>1527</v>
      </c>
      <c r="C15" t="s">
        <v>240</v>
      </c>
    </row>
    <row r="16" spans="1:3" x14ac:dyDescent="0.25">
      <c r="A16" t="s">
        <v>1528</v>
      </c>
      <c r="B16" t="s">
        <v>1529</v>
      </c>
      <c r="C16" t="s">
        <v>1530</v>
      </c>
    </row>
    <row r="17" spans="1:3" x14ac:dyDescent="0.25">
      <c r="A17" t="s">
        <v>1531</v>
      </c>
      <c r="B17" t="s">
        <v>1532</v>
      </c>
      <c r="C17" t="s">
        <v>1530</v>
      </c>
    </row>
    <row r="18" spans="1:3" x14ac:dyDescent="0.25">
      <c r="A18" t="s">
        <v>1533</v>
      </c>
      <c r="B18" t="s">
        <v>1534</v>
      </c>
      <c r="C18" t="s">
        <v>1530</v>
      </c>
    </row>
    <row r="19" spans="1:3" x14ac:dyDescent="0.25">
      <c r="A19" t="s">
        <v>1535</v>
      </c>
      <c r="B19" t="s">
        <v>1536</v>
      </c>
      <c r="C19" t="s">
        <v>26</v>
      </c>
    </row>
  </sheetData>
  <phoneticPr fontId="1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1:C18"/>
  <sheetViews>
    <sheetView workbookViewId="0"/>
  </sheetViews>
  <sheetFormatPr defaultRowHeight="14" x14ac:dyDescent="0.25"/>
  <sheetData>
    <row r="1" spans="1:3" x14ac:dyDescent="0.25">
      <c r="A1" t="s">
        <v>1537</v>
      </c>
    </row>
    <row r="2" spans="1:3" x14ac:dyDescent="0.25">
      <c r="A2" t="s">
        <v>1</v>
      </c>
      <c r="B2" t="s">
        <v>1538</v>
      </c>
      <c r="C2" t="s">
        <v>3</v>
      </c>
    </row>
    <row r="3" spans="1:3" x14ac:dyDescent="0.25">
      <c r="A3" t="s">
        <v>1539</v>
      </c>
      <c r="B3" t="s">
        <v>1540</v>
      </c>
      <c r="C3" t="s">
        <v>240</v>
      </c>
    </row>
    <row r="4" spans="1:3" x14ac:dyDescent="0.25">
      <c r="A4" t="s">
        <v>1541</v>
      </c>
      <c r="B4" t="s">
        <v>1542</v>
      </c>
      <c r="C4" t="s">
        <v>6</v>
      </c>
    </row>
    <row r="5" spans="1:3" x14ac:dyDescent="0.25">
      <c r="A5" t="s">
        <v>1543</v>
      </c>
      <c r="B5" t="s">
        <v>1544</v>
      </c>
      <c r="C5" t="s">
        <v>240</v>
      </c>
    </row>
    <row r="6" spans="1:3" x14ac:dyDescent="0.25">
      <c r="A6">
        <f>25+1.99</f>
        <v>26.99</v>
      </c>
      <c r="B6">
        <v>14.72</v>
      </c>
    </row>
    <row r="7" spans="1:3" x14ac:dyDescent="0.25">
      <c r="A7">
        <f>A6+2.42</f>
        <v>29.409999999999997</v>
      </c>
      <c r="B7">
        <f>B6</f>
        <v>14.72</v>
      </c>
    </row>
    <row r="8" spans="1:3" x14ac:dyDescent="0.25">
      <c r="A8">
        <f>A7+9</f>
        <v>38.409999999999997</v>
      </c>
      <c r="B8">
        <f>B7-3</f>
        <v>11.72</v>
      </c>
    </row>
    <row r="9" spans="1:3" x14ac:dyDescent="0.25">
      <c r="A9">
        <f>A8+14.05</f>
        <v>52.459999999999994</v>
      </c>
      <c r="B9">
        <f>B8</f>
        <v>11.72</v>
      </c>
    </row>
    <row r="10" spans="1:3" x14ac:dyDescent="0.25">
      <c r="A10" t="s">
        <v>1545</v>
      </c>
      <c r="B10" t="s">
        <v>1546</v>
      </c>
      <c r="C10" t="s">
        <v>31</v>
      </c>
    </row>
    <row r="11" spans="1:3" x14ac:dyDescent="0.25">
      <c r="A11" t="s">
        <v>1547</v>
      </c>
      <c r="B11" t="s">
        <v>1548</v>
      </c>
      <c r="C11" t="s">
        <v>34</v>
      </c>
    </row>
    <row r="12" spans="1:3" x14ac:dyDescent="0.25">
      <c r="A12" t="s">
        <v>1549</v>
      </c>
      <c r="B12" t="s">
        <v>1102</v>
      </c>
      <c r="C12" t="s">
        <v>31</v>
      </c>
    </row>
    <row r="13" spans="1:3" x14ac:dyDescent="0.25">
      <c r="A13" t="s">
        <v>1550</v>
      </c>
      <c r="B13" t="s">
        <v>1100</v>
      </c>
      <c r="C13" t="s">
        <v>240</v>
      </c>
    </row>
    <row r="14" spans="1:3" x14ac:dyDescent="0.25">
      <c r="A14" t="s">
        <v>1551</v>
      </c>
      <c r="B14" t="s">
        <v>153</v>
      </c>
      <c r="C14" t="s">
        <v>240</v>
      </c>
    </row>
    <row r="15" spans="1:3" x14ac:dyDescent="0.25">
      <c r="A15" t="s">
        <v>1552</v>
      </c>
      <c r="B15" t="s">
        <v>1553</v>
      </c>
      <c r="C15" t="s">
        <v>31</v>
      </c>
    </row>
    <row r="16" spans="1:3" x14ac:dyDescent="0.25">
      <c r="A16" t="s">
        <v>1554</v>
      </c>
      <c r="B16" t="s">
        <v>1555</v>
      </c>
      <c r="C16" t="s">
        <v>34</v>
      </c>
    </row>
    <row r="17" spans="1:3" x14ac:dyDescent="0.25">
      <c r="A17" t="s">
        <v>1556</v>
      </c>
      <c r="B17" t="s">
        <v>1557</v>
      </c>
      <c r="C17" t="s">
        <v>68</v>
      </c>
    </row>
    <row r="18" spans="1:3" x14ac:dyDescent="0.25">
      <c r="A18" t="s">
        <v>1558</v>
      </c>
      <c r="B18" t="s">
        <v>1559</v>
      </c>
      <c r="C18" t="s">
        <v>26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7"/>
  <sheetViews>
    <sheetView workbookViewId="0">
      <selection activeCell="E16" sqref="E16"/>
    </sheetView>
  </sheetViews>
  <sheetFormatPr defaultRowHeight="14" x14ac:dyDescent="0.25"/>
  <sheetData>
    <row r="1" spans="1:3" x14ac:dyDescent="0.25">
      <c r="A1" t="s">
        <v>156</v>
      </c>
    </row>
    <row r="2" spans="1:3" x14ac:dyDescent="0.25">
      <c r="A2" t="s">
        <v>1</v>
      </c>
      <c r="B2" t="s">
        <v>157</v>
      </c>
      <c r="C2" t="s">
        <v>3</v>
      </c>
    </row>
    <row r="3" spans="1:3" x14ac:dyDescent="0.25">
      <c r="A3" t="s">
        <v>158</v>
      </c>
      <c r="B3" t="s">
        <v>159</v>
      </c>
      <c r="C3" t="s">
        <v>31</v>
      </c>
    </row>
    <row r="4" spans="1:3" x14ac:dyDescent="0.25">
      <c r="A4" t="s">
        <v>160</v>
      </c>
      <c r="B4" t="s">
        <v>119</v>
      </c>
      <c r="C4" t="s">
        <v>34</v>
      </c>
    </row>
    <row r="5" spans="1:3" x14ac:dyDescent="0.25">
      <c r="A5" t="s">
        <v>161</v>
      </c>
      <c r="B5" t="s">
        <v>162</v>
      </c>
      <c r="C5" t="s">
        <v>6</v>
      </c>
    </row>
    <row r="6" spans="1:3" x14ac:dyDescent="0.25">
      <c r="A6" t="s">
        <v>163</v>
      </c>
      <c r="B6" t="s">
        <v>164</v>
      </c>
      <c r="C6" t="s">
        <v>6</v>
      </c>
    </row>
    <row r="7" spans="1:3" x14ac:dyDescent="0.25">
      <c r="A7" t="s">
        <v>165</v>
      </c>
      <c r="B7" t="s">
        <v>166</v>
      </c>
      <c r="C7" t="s">
        <v>6</v>
      </c>
    </row>
    <row r="8" spans="1:3" x14ac:dyDescent="0.25">
      <c r="A8">
        <v>15.47</v>
      </c>
      <c r="B8">
        <v>15.72</v>
      </c>
    </row>
    <row r="9" spans="1:3" x14ac:dyDescent="0.25">
      <c r="A9">
        <f>A8+0.81</f>
        <v>16.28</v>
      </c>
      <c r="B9">
        <f>B8+0.28</f>
        <v>16</v>
      </c>
    </row>
    <row r="10" spans="1:3" x14ac:dyDescent="0.25">
      <c r="A10">
        <f>A9+1.03</f>
        <v>17.310000000000002</v>
      </c>
      <c r="B10">
        <v>16.059999999999999</v>
      </c>
    </row>
    <row r="11" spans="1:3" x14ac:dyDescent="0.25">
      <c r="A11">
        <f>A10+5.88</f>
        <v>23.19</v>
      </c>
      <c r="B11">
        <v>14.1</v>
      </c>
    </row>
    <row r="12" spans="1:3" x14ac:dyDescent="0.25">
      <c r="A12">
        <f>A11+2.5</f>
        <v>25.69</v>
      </c>
      <c r="B12">
        <f>B11</f>
        <v>14.1</v>
      </c>
    </row>
    <row r="13" spans="1:3" x14ac:dyDescent="0.25">
      <c r="A13">
        <f>A12+5.1</f>
        <v>30.79</v>
      </c>
      <c r="B13">
        <v>15.7</v>
      </c>
    </row>
    <row r="14" spans="1:3" x14ac:dyDescent="0.25">
      <c r="A14">
        <f>A13+3</f>
        <v>33.79</v>
      </c>
      <c r="B14">
        <f>B13</f>
        <v>15.7</v>
      </c>
    </row>
    <row r="15" spans="1:3" x14ac:dyDescent="0.25">
      <c r="A15" t="s">
        <v>171</v>
      </c>
      <c r="B15" t="s">
        <v>172</v>
      </c>
      <c r="C15" t="s">
        <v>6</v>
      </c>
    </row>
    <row r="16" spans="1:3" x14ac:dyDescent="0.25">
      <c r="A16" t="s">
        <v>173</v>
      </c>
      <c r="B16" t="s">
        <v>174</v>
      </c>
      <c r="C16" t="s">
        <v>6</v>
      </c>
    </row>
    <row r="17" spans="1:3" x14ac:dyDescent="0.25">
      <c r="A17" t="s">
        <v>24</v>
      </c>
      <c r="B17" t="s">
        <v>175</v>
      </c>
      <c r="C17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1:C29"/>
  <sheetViews>
    <sheetView workbookViewId="0"/>
  </sheetViews>
  <sheetFormatPr defaultRowHeight="14" x14ac:dyDescent="0.25"/>
  <sheetData>
    <row r="1" spans="1:3" x14ac:dyDescent="0.25">
      <c r="A1" t="s">
        <v>1560</v>
      </c>
    </row>
    <row r="2" spans="1:3" x14ac:dyDescent="0.25">
      <c r="A2" t="s">
        <v>1</v>
      </c>
      <c r="B2" t="s">
        <v>1561</v>
      </c>
      <c r="C2" t="s">
        <v>3</v>
      </c>
    </row>
    <row r="3" spans="1:3" x14ac:dyDescent="0.25">
      <c r="A3" t="s">
        <v>1562</v>
      </c>
      <c r="B3" t="s">
        <v>1563</v>
      </c>
      <c r="C3" t="s">
        <v>31</v>
      </c>
    </row>
    <row r="4" spans="1:3" x14ac:dyDescent="0.25">
      <c r="A4" t="s">
        <v>1564</v>
      </c>
      <c r="B4" t="s">
        <v>1565</v>
      </c>
      <c r="C4" t="s">
        <v>34</v>
      </c>
    </row>
    <row r="5" spans="1:3" x14ac:dyDescent="0.25">
      <c r="A5" t="s">
        <v>1566</v>
      </c>
      <c r="B5" t="s">
        <v>1567</v>
      </c>
      <c r="C5" t="s">
        <v>6</v>
      </c>
    </row>
    <row r="6" spans="1:3" x14ac:dyDescent="0.25">
      <c r="A6" t="s">
        <v>552</v>
      </c>
      <c r="B6" t="s">
        <v>1568</v>
      </c>
      <c r="C6" t="s">
        <v>11</v>
      </c>
    </row>
    <row r="7" spans="1:3" x14ac:dyDescent="0.25">
      <c r="A7" t="s">
        <v>1569</v>
      </c>
      <c r="B7" t="s">
        <v>1570</v>
      </c>
      <c r="C7" t="s">
        <v>240</v>
      </c>
    </row>
    <row r="8" spans="1:3" x14ac:dyDescent="0.25">
      <c r="A8" t="s">
        <v>1571</v>
      </c>
      <c r="B8" t="s">
        <v>1572</v>
      </c>
      <c r="C8" t="s">
        <v>240</v>
      </c>
    </row>
    <row r="9" spans="1:3" x14ac:dyDescent="0.25">
      <c r="A9" t="s">
        <v>1573</v>
      </c>
      <c r="B9" t="s">
        <v>1574</v>
      </c>
      <c r="C9" t="s">
        <v>6</v>
      </c>
    </row>
    <row r="10" spans="1:3" x14ac:dyDescent="0.25">
      <c r="A10" t="s">
        <v>1575</v>
      </c>
      <c r="B10" t="s">
        <v>1576</v>
      </c>
      <c r="C10" t="s">
        <v>6</v>
      </c>
    </row>
    <row r="11" spans="1:3" x14ac:dyDescent="0.25">
      <c r="A11" t="s">
        <v>1577</v>
      </c>
      <c r="B11" t="s">
        <v>1578</v>
      </c>
      <c r="C11" t="s">
        <v>34</v>
      </c>
    </row>
    <row r="12" spans="1:3" x14ac:dyDescent="0.25">
      <c r="A12" t="s">
        <v>1579</v>
      </c>
      <c r="B12" t="s">
        <v>1580</v>
      </c>
      <c r="C12" t="s">
        <v>31</v>
      </c>
    </row>
    <row r="13" spans="1:3" x14ac:dyDescent="0.25">
      <c r="A13" t="s">
        <v>1581</v>
      </c>
      <c r="B13" t="s">
        <v>1582</v>
      </c>
      <c r="C13" t="s">
        <v>31</v>
      </c>
    </row>
    <row r="14" spans="1:3" x14ac:dyDescent="0.25">
      <c r="A14">
        <v>73.14</v>
      </c>
      <c r="B14">
        <v>14.69</v>
      </c>
    </row>
    <row r="15" spans="1:3" x14ac:dyDescent="0.25">
      <c r="A15">
        <f>A14+9</f>
        <v>82.14</v>
      </c>
      <c r="B15">
        <f>B14-3</f>
        <v>11.69</v>
      </c>
    </row>
    <row r="16" spans="1:3" x14ac:dyDescent="0.25">
      <c r="A16">
        <f>A15+11.27</f>
        <v>93.41</v>
      </c>
      <c r="B16">
        <f>B15</f>
        <v>11.69</v>
      </c>
    </row>
    <row r="17" spans="1:3" x14ac:dyDescent="0.25">
      <c r="A17" t="s">
        <v>1583</v>
      </c>
      <c r="B17" t="s">
        <v>1584</v>
      </c>
      <c r="C17" t="s">
        <v>34</v>
      </c>
    </row>
    <row r="18" spans="1:3" x14ac:dyDescent="0.25">
      <c r="A18" t="s">
        <v>1585</v>
      </c>
      <c r="B18" t="s">
        <v>1586</v>
      </c>
      <c r="C18" t="s">
        <v>31</v>
      </c>
    </row>
    <row r="19" spans="1:3" x14ac:dyDescent="0.25">
      <c r="A19" t="s">
        <v>1587</v>
      </c>
      <c r="B19" t="s">
        <v>1588</v>
      </c>
      <c r="C19" t="s">
        <v>34</v>
      </c>
    </row>
    <row r="20" spans="1:3" x14ac:dyDescent="0.25">
      <c r="A20" t="s">
        <v>1589</v>
      </c>
      <c r="B20" t="s">
        <v>1590</v>
      </c>
      <c r="C20" t="s">
        <v>31</v>
      </c>
    </row>
    <row r="21" spans="1:3" x14ac:dyDescent="0.25">
      <c r="A21" t="s">
        <v>1591</v>
      </c>
      <c r="B21" t="s">
        <v>1592</v>
      </c>
      <c r="C21" t="s">
        <v>6</v>
      </c>
    </row>
    <row r="22" spans="1:3" x14ac:dyDescent="0.25">
      <c r="A22" t="s">
        <v>1593</v>
      </c>
      <c r="B22" t="s">
        <v>757</v>
      </c>
      <c r="C22" t="s">
        <v>6</v>
      </c>
    </row>
    <row r="23" spans="1:3" x14ac:dyDescent="0.25">
      <c r="A23" t="s">
        <v>1594</v>
      </c>
      <c r="B23" t="s">
        <v>1595</v>
      </c>
      <c r="C23" t="s">
        <v>240</v>
      </c>
    </row>
    <row r="24" spans="1:3" x14ac:dyDescent="0.25">
      <c r="A24" t="s">
        <v>1596</v>
      </c>
      <c r="B24" t="s">
        <v>881</v>
      </c>
      <c r="C24" t="s">
        <v>240</v>
      </c>
    </row>
    <row r="25" spans="1:3" x14ac:dyDescent="0.25">
      <c r="A25" t="s">
        <v>1597</v>
      </c>
      <c r="B25" t="s">
        <v>1598</v>
      </c>
      <c r="C25" t="s">
        <v>31</v>
      </c>
    </row>
    <row r="26" spans="1:3" x14ac:dyDescent="0.25">
      <c r="A26" t="s">
        <v>1599</v>
      </c>
      <c r="B26" t="s">
        <v>1600</v>
      </c>
      <c r="C26" t="s">
        <v>34</v>
      </c>
    </row>
    <row r="27" spans="1:3" x14ac:dyDescent="0.25">
      <c r="A27" t="s">
        <v>1601</v>
      </c>
      <c r="B27" t="s">
        <v>1602</v>
      </c>
      <c r="C27" t="s">
        <v>68</v>
      </c>
    </row>
    <row r="28" spans="1:3" x14ac:dyDescent="0.25">
      <c r="A28" t="s">
        <v>1603</v>
      </c>
      <c r="B28" t="s">
        <v>1604</v>
      </c>
      <c r="C28" t="s">
        <v>68</v>
      </c>
    </row>
    <row r="29" spans="1:3" x14ac:dyDescent="0.25">
      <c r="A29" t="s">
        <v>1605</v>
      </c>
      <c r="B29" t="s">
        <v>1606</v>
      </c>
      <c r="C29" t="s">
        <v>26</v>
      </c>
    </row>
  </sheetData>
  <phoneticPr fontId="1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1:C26"/>
  <sheetViews>
    <sheetView workbookViewId="0"/>
  </sheetViews>
  <sheetFormatPr defaultRowHeight="14" x14ac:dyDescent="0.25"/>
  <sheetData>
    <row r="1" spans="1:3" x14ac:dyDescent="0.25">
      <c r="A1" t="s">
        <v>1607</v>
      </c>
    </row>
    <row r="2" spans="1:3" x14ac:dyDescent="0.25">
      <c r="A2" t="s">
        <v>1</v>
      </c>
      <c r="B2" t="s">
        <v>1608</v>
      </c>
      <c r="C2" t="s">
        <v>3</v>
      </c>
    </row>
    <row r="3" spans="1:3" x14ac:dyDescent="0.25">
      <c r="A3" t="s">
        <v>470</v>
      </c>
      <c r="B3" t="s">
        <v>1609</v>
      </c>
      <c r="C3" t="s">
        <v>240</v>
      </c>
    </row>
    <row r="4" spans="1:3" x14ac:dyDescent="0.25">
      <c r="A4" t="s">
        <v>1610</v>
      </c>
      <c r="B4" t="s">
        <v>1611</v>
      </c>
      <c r="C4" t="s">
        <v>6</v>
      </c>
    </row>
    <row r="5" spans="1:3" x14ac:dyDescent="0.25">
      <c r="A5" t="s">
        <v>1612</v>
      </c>
      <c r="B5" t="s">
        <v>283</v>
      </c>
      <c r="C5" t="s">
        <v>240</v>
      </c>
    </row>
    <row r="6" spans="1:3" x14ac:dyDescent="0.25">
      <c r="A6" t="s">
        <v>1613</v>
      </c>
      <c r="B6" t="s">
        <v>1614</v>
      </c>
      <c r="C6" t="s">
        <v>240</v>
      </c>
    </row>
    <row r="7" spans="1:3" x14ac:dyDescent="0.25">
      <c r="A7" t="s">
        <v>1615</v>
      </c>
      <c r="B7" t="s">
        <v>1616</v>
      </c>
      <c r="C7" t="s">
        <v>6</v>
      </c>
    </row>
    <row r="8" spans="1:3" x14ac:dyDescent="0.25">
      <c r="A8" t="s">
        <v>1617</v>
      </c>
      <c r="B8" t="s">
        <v>1618</v>
      </c>
      <c r="C8" t="s">
        <v>11</v>
      </c>
    </row>
    <row r="9" spans="1:3" x14ac:dyDescent="0.25">
      <c r="A9" t="s">
        <v>1619</v>
      </c>
      <c r="B9" t="s">
        <v>1620</v>
      </c>
      <c r="C9" t="s">
        <v>6</v>
      </c>
    </row>
    <row r="10" spans="1:3" x14ac:dyDescent="0.25">
      <c r="A10" t="s">
        <v>1621</v>
      </c>
      <c r="B10" t="s">
        <v>814</v>
      </c>
      <c r="C10" t="s">
        <v>6</v>
      </c>
    </row>
    <row r="11" spans="1:3" x14ac:dyDescent="0.25">
      <c r="A11">
        <f>55+1.23</f>
        <v>56.23</v>
      </c>
      <c r="B11">
        <v>14.65</v>
      </c>
    </row>
    <row r="12" spans="1:3" x14ac:dyDescent="0.25">
      <c r="A12">
        <f>A11+2.71</f>
        <v>58.94</v>
      </c>
      <c r="B12">
        <f>B11</f>
        <v>14.65</v>
      </c>
    </row>
    <row r="13" spans="1:3" x14ac:dyDescent="0.25">
      <c r="A13">
        <f>A12+9</f>
        <v>67.94</v>
      </c>
      <c r="B13">
        <f>B12-3</f>
        <v>11.65</v>
      </c>
    </row>
    <row r="14" spans="1:3" x14ac:dyDescent="0.25">
      <c r="A14">
        <f>A13+12.06</f>
        <v>80</v>
      </c>
      <c r="B14">
        <f>B13</f>
        <v>11.65</v>
      </c>
    </row>
    <row r="15" spans="1:3" x14ac:dyDescent="0.25">
      <c r="A15" t="s">
        <v>1623</v>
      </c>
      <c r="B15" t="s">
        <v>1624</v>
      </c>
      <c r="C15" t="s">
        <v>34</v>
      </c>
    </row>
    <row r="16" spans="1:3" x14ac:dyDescent="0.25">
      <c r="A16" t="s">
        <v>1625</v>
      </c>
      <c r="B16" t="s">
        <v>1626</v>
      </c>
      <c r="C16" t="s">
        <v>31</v>
      </c>
    </row>
    <row r="17" spans="1:3" x14ac:dyDescent="0.25">
      <c r="A17" t="s">
        <v>1627</v>
      </c>
      <c r="B17" t="s">
        <v>1628</v>
      </c>
      <c r="C17" t="s">
        <v>34</v>
      </c>
    </row>
    <row r="18" spans="1:3" x14ac:dyDescent="0.25">
      <c r="A18" t="s">
        <v>1629</v>
      </c>
      <c r="B18" t="s">
        <v>685</v>
      </c>
      <c r="C18" t="s">
        <v>31</v>
      </c>
    </row>
    <row r="19" spans="1:3" x14ac:dyDescent="0.25">
      <c r="A19" t="s">
        <v>1630</v>
      </c>
      <c r="B19" t="s">
        <v>1631</v>
      </c>
      <c r="C19" t="s">
        <v>240</v>
      </c>
    </row>
    <row r="20" spans="1:3" x14ac:dyDescent="0.25">
      <c r="A20" t="s">
        <v>1632</v>
      </c>
      <c r="B20" t="s">
        <v>1633</v>
      </c>
      <c r="C20" t="s">
        <v>240</v>
      </c>
    </row>
    <row r="21" spans="1:3" x14ac:dyDescent="0.25">
      <c r="A21" t="s">
        <v>1634</v>
      </c>
      <c r="B21" t="s">
        <v>828</v>
      </c>
      <c r="C21" t="s">
        <v>31</v>
      </c>
    </row>
    <row r="22" spans="1:3" x14ac:dyDescent="0.25">
      <c r="A22" t="s">
        <v>1635</v>
      </c>
      <c r="B22" t="s">
        <v>1636</v>
      </c>
      <c r="C22" t="s">
        <v>34</v>
      </c>
    </row>
    <row r="23" spans="1:3" x14ac:dyDescent="0.25">
      <c r="A23" t="s">
        <v>1637</v>
      </c>
      <c r="B23" t="s">
        <v>1638</v>
      </c>
      <c r="C23" t="s">
        <v>31</v>
      </c>
    </row>
    <row r="24" spans="1:3" x14ac:dyDescent="0.25">
      <c r="A24" t="s">
        <v>1639</v>
      </c>
      <c r="B24" t="s">
        <v>1640</v>
      </c>
      <c r="C24" t="s">
        <v>34</v>
      </c>
    </row>
    <row r="25" spans="1:3" x14ac:dyDescent="0.25">
      <c r="A25" t="s">
        <v>1641</v>
      </c>
      <c r="B25" t="s">
        <v>1642</v>
      </c>
      <c r="C25" t="s">
        <v>68</v>
      </c>
    </row>
    <row r="26" spans="1:3" x14ac:dyDescent="0.25">
      <c r="A26" t="s">
        <v>1643</v>
      </c>
      <c r="B26" t="s">
        <v>1644</v>
      </c>
      <c r="C26" t="s">
        <v>26</v>
      </c>
    </row>
  </sheetData>
  <phoneticPr fontId="1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1:C26"/>
  <sheetViews>
    <sheetView workbookViewId="0"/>
  </sheetViews>
  <sheetFormatPr defaultRowHeight="14" x14ac:dyDescent="0.25"/>
  <sheetData>
    <row r="1" spans="1:3" x14ac:dyDescent="0.25">
      <c r="A1" t="s">
        <v>1645</v>
      </c>
    </row>
    <row r="2" spans="1:3" x14ac:dyDescent="0.25">
      <c r="A2" t="s">
        <v>1</v>
      </c>
      <c r="B2" t="s">
        <v>1646</v>
      </c>
      <c r="C2" t="s">
        <v>3</v>
      </c>
    </row>
    <row r="3" spans="1:3" x14ac:dyDescent="0.25">
      <c r="A3" t="s">
        <v>1647</v>
      </c>
      <c r="B3" t="s">
        <v>1648</v>
      </c>
      <c r="C3" t="s">
        <v>6</v>
      </c>
    </row>
    <row r="4" spans="1:3" x14ac:dyDescent="0.25">
      <c r="A4" t="s">
        <v>1649</v>
      </c>
      <c r="B4" t="s">
        <v>1650</v>
      </c>
      <c r="C4" t="s">
        <v>409</v>
      </c>
    </row>
    <row r="5" spans="1:3" x14ac:dyDescent="0.25">
      <c r="A5" t="s">
        <v>1651</v>
      </c>
      <c r="B5" t="s">
        <v>1652</v>
      </c>
      <c r="C5" t="s">
        <v>6</v>
      </c>
    </row>
    <row r="6" spans="1:3" x14ac:dyDescent="0.25">
      <c r="A6" t="s">
        <v>1653</v>
      </c>
      <c r="B6" t="s">
        <v>1654</v>
      </c>
      <c r="C6" t="s">
        <v>411</v>
      </c>
    </row>
    <row r="7" spans="1:3" x14ac:dyDescent="0.25">
      <c r="A7" t="s">
        <v>1655</v>
      </c>
      <c r="B7" t="s">
        <v>1656</v>
      </c>
      <c r="C7" t="s">
        <v>6</v>
      </c>
    </row>
    <row r="8" spans="1:3" x14ac:dyDescent="0.25">
      <c r="A8" t="s">
        <v>440</v>
      </c>
      <c r="B8" t="s">
        <v>1657</v>
      </c>
      <c r="C8" t="s">
        <v>411</v>
      </c>
    </row>
    <row r="9" spans="1:3" x14ac:dyDescent="0.25">
      <c r="A9" t="s">
        <v>1658</v>
      </c>
      <c r="B9" t="s">
        <v>1659</v>
      </c>
      <c r="C9" t="s">
        <v>6</v>
      </c>
    </row>
    <row r="10" spans="1:3" x14ac:dyDescent="0.25">
      <c r="A10" t="s">
        <v>1660</v>
      </c>
      <c r="B10" t="s">
        <v>1661</v>
      </c>
      <c r="C10" t="s">
        <v>11</v>
      </c>
    </row>
    <row r="11" spans="1:3" x14ac:dyDescent="0.25">
      <c r="A11" t="s">
        <v>1662</v>
      </c>
      <c r="B11" t="s">
        <v>1663</v>
      </c>
      <c r="C11" t="s">
        <v>409</v>
      </c>
    </row>
    <row r="12" spans="1:3" x14ac:dyDescent="0.25">
      <c r="A12" t="s">
        <v>1664</v>
      </c>
      <c r="B12" t="s">
        <v>1665</v>
      </c>
      <c r="C12" t="s">
        <v>357</v>
      </c>
    </row>
    <row r="13" spans="1:3" x14ac:dyDescent="0.25">
      <c r="A13" t="s">
        <v>1666</v>
      </c>
      <c r="B13" t="s">
        <v>1667</v>
      </c>
      <c r="C13" t="s">
        <v>357</v>
      </c>
    </row>
    <row r="14" spans="1:3" x14ac:dyDescent="0.25">
      <c r="A14" t="s">
        <v>1668</v>
      </c>
      <c r="B14" t="s">
        <v>1669</v>
      </c>
      <c r="C14" t="s">
        <v>34</v>
      </c>
    </row>
    <row r="15" spans="1:3" x14ac:dyDescent="0.25">
      <c r="A15" t="s">
        <v>1670</v>
      </c>
      <c r="B15" t="s">
        <v>1671</v>
      </c>
      <c r="C15" t="s">
        <v>31</v>
      </c>
    </row>
    <row r="16" spans="1:3" x14ac:dyDescent="0.25">
      <c r="A16">
        <v>75.5</v>
      </c>
      <c r="B16">
        <v>14.62</v>
      </c>
    </row>
    <row r="17" spans="1:3" x14ac:dyDescent="0.25">
      <c r="A17">
        <f>A16+9</f>
        <v>84.5</v>
      </c>
      <c r="B17">
        <f>B16-3</f>
        <v>11.62</v>
      </c>
    </row>
    <row r="18" spans="1:3" x14ac:dyDescent="0.25">
      <c r="A18">
        <f>A17+9</f>
        <v>93.5</v>
      </c>
      <c r="B18">
        <f>B17</f>
        <v>11.62</v>
      </c>
    </row>
    <row r="19" spans="1:3" x14ac:dyDescent="0.25">
      <c r="A19">
        <f>A18+9</f>
        <v>102.5</v>
      </c>
      <c r="B19">
        <f>B18+3</f>
        <v>14.62</v>
      </c>
    </row>
    <row r="20" spans="1:3" x14ac:dyDescent="0.25">
      <c r="A20" t="s">
        <v>1672</v>
      </c>
      <c r="B20" t="s">
        <v>297</v>
      </c>
      <c r="C20" t="s">
        <v>409</v>
      </c>
    </row>
    <row r="21" spans="1:3" x14ac:dyDescent="0.25">
      <c r="A21" t="s">
        <v>1673</v>
      </c>
      <c r="B21" t="s">
        <v>1674</v>
      </c>
      <c r="C21" t="s">
        <v>240</v>
      </c>
    </row>
    <row r="22" spans="1:3" x14ac:dyDescent="0.25">
      <c r="A22" t="s">
        <v>1675</v>
      </c>
      <c r="B22" t="s">
        <v>1676</v>
      </c>
      <c r="C22" t="s">
        <v>240</v>
      </c>
    </row>
    <row r="23" spans="1:3" x14ac:dyDescent="0.25">
      <c r="A23" t="s">
        <v>1677</v>
      </c>
      <c r="B23" t="s">
        <v>1137</v>
      </c>
      <c r="C23" t="s">
        <v>409</v>
      </c>
    </row>
    <row r="24" spans="1:3" x14ac:dyDescent="0.25">
      <c r="A24" t="s">
        <v>1678</v>
      </c>
      <c r="B24" t="s">
        <v>1679</v>
      </c>
      <c r="C24" t="s">
        <v>411</v>
      </c>
    </row>
    <row r="25" spans="1:3" x14ac:dyDescent="0.25">
      <c r="A25" t="s">
        <v>1680</v>
      </c>
      <c r="B25" t="s">
        <v>1681</v>
      </c>
      <c r="C25" t="s">
        <v>68</v>
      </c>
    </row>
    <row r="26" spans="1:3" x14ac:dyDescent="0.25">
      <c r="A26" t="s">
        <v>1682</v>
      </c>
      <c r="B26" t="s">
        <v>1683</v>
      </c>
      <c r="C26" t="s">
        <v>26</v>
      </c>
    </row>
  </sheetData>
  <phoneticPr fontId="1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/>
  <dimension ref="A1:C23"/>
  <sheetViews>
    <sheetView workbookViewId="0"/>
  </sheetViews>
  <sheetFormatPr defaultRowHeight="14" x14ac:dyDescent="0.25"/>
  <sheetData>
    <row r="1" spans="1:3" x14ac:dyDescent="0.25">
      <c r="A1" t="s">
        <v>1684</v>
      </c>
    </row>
    <row r="2" spans="1:3" x14ac:dyDescent="0.25">
      <c r="A2" t="s">
        <v>1</v>
      </c>
      <c r="B2" t="s">
        <v>1685</v>
      </c>
      <c r="C2" t="s">
        <v>3</v>
      </c>
    </row>
    <row r="3" spans="1:3" x14ac:dyDescent="0.25">
      <c r="A3" t="s">
        <v>1686</v>
      </c>
      <c r="B3" t="s">
        <v>1687</v>
      </c>
      <c r="C3" t="s">
        <v>6</v>
      </c>
    </row>
    <row r="4" spans="1:3" x14ac:dyDescent="0.25">
      <c r="A4" t="s">
        <v>771</v>
      </c>
      <c r="B4" t="s">
        <v>1688</v>
      </c>
      <c r="C4" t="s">
        <v>409</v>
      </c>
    </row>
    <row r="5" spans="1:3" x14ac:dyDescent="0.25">
      <c r="A5" t="s">
        <v>1689</v>
      </c>
      <c r="B5" t="s">
        <v>1690</v>
      </c>
      <c r="C5" t="s">
        <v>6</v>
      </c>
    </row>
    <row r="6" spans="1:3" x14ac:dyDescent="0.25">
      <c r="A6" t="s">
        <v>1691</v>
      </c>
      <c r="B6" t="s">
        <v>1692</v>
      </c>
      <c r="C6" t="s">
        <v>411</v>
      </c>
    </row>
    <row r="7" spans="1:3" x14ac:dyDescent="0.25">
      <c r="A7" t="s">
        <v>1693</v>
      </c>
      <c r="B7" t="s">
        <v>1694</v>
      </c>
      <c r="C7" t="s">
        <v>11</v>
      </c>
    </row>
    <row r="8" spans="1:3" x14ac:dyDescent="0.25">
      <c r="A8" t="s">
        <v>1695</v>
      </c>
      <c r="B8" t="s">
        <v>1696</v>
      </c>
      <c r="C8" t="s">
        <v>411</v>
      </c>
    </row>
    <row r="9" spans="1:3" x14ac:dyDescent="0.25">
      <c r="A9" t="s">
        <v>359</v>
      </c>
      <c r="B9" t="s">
        <v>1697</v>
      </c>
      <c r="C9" t="s">
        <v>409</v>
      </c>
    </row>
    <row r="10" spans="1:3" x14ac:dyDescent="0.25">
      <c r="A10">
        <v>38</v>
      </c>
      <c r="B10">
        <v>15.01</v>
      </c>
    </row>
    <row r="11" spans="1:3" x14ac:dyDescent="0.25">
      <c r="A11">
        <f>A10+2.9</f>
        <v>40.9</v>
      </c>
      <c r="B11">
        <f>B10</f>
        <v>15.01</v>
      </c>
    </row>
    <row r="12" spans="1:3" x14ac:dyDescent="0.25">
      <c r="A12">
        <f>A11+10.3</f>
        <v>51.2</v>
      </c>
      <c r="B12">
        <f>B11-3.43</f>
        <v>11.58</v>
      </c>
    </row>
    <row r="13" spans="1:3" x14ac:dyDescent="0.25">
      <c r="A13">
        <f>A12+11.71</f>
        <v>62.910000000000004</v>
      </c>
      <c r="B13">
        <f>B12</f>
        <v>11.58</v>
      </c>
    </row>
    <row r="14" spans="1:3" x14ac:dyDescent="0.25">
      <c r="A14" t="s">
        <v>1698</v>
      </c>
      <c r="B14" t="s">
        <v>1699</v>
      </c>
      <c r="C14" t="s">
        <v>411</v>
      </c>
    </row>
    <row r="15" spans="1:3" x14ac:dyDescent="0.25">
      <c r="A15" t="s">
        <v>1700</v>
      </c>
      <c r="B15" t="s">
        <v>1701</v>
      </c>
      <c r="C15" t="s">
        <v>6</v>
      </c>
    </row>
    <row r="16" spans="1:3" x14ac:dyDescent="0.25">
      <c r="A16" t="s">
        <v>1622</v>
      </c>
      <c r="B16" t="s">
        <v>1409</v>
      </c>
      <c r="C16" t="s">
        <v>409</v>
      </c>
    </row>
    <row r="17" spans="1:3" x14ac:dyDescent="0.25">
      <c r="A17" t="s">
        <v>1702</v>
      </c>
      <c r="B17" t="s">
        <v>868</v>
      </c>
      <c r="C17" t="s">
        <v>240</v>
      </c>
    </row>
    <row r="18" spans="1:3" x14ac:dyDescent="0.25">
      <c r="A18" t="s">
        <v>1703</v>
      </c>
      <c r="B18" t="s">
        <v>478</v>
      </c>
      <c r="C18" t="s">
        <v>240</v>
      </c>
    </row>
    <row r="19" spans="1:3" x14ac:dyDescent="0.25">
      <c r="A19" t="s">
        <v>1704</v>
      </c>
      <c r="B19" t="s">
        <v>1705</v>
      </c>
      <c r="C19" t="s">
        <v>409</v>
      </c>
    </row>
    <row r="20" spans="1:3" x14ac:dyDescent="0.25">
      <c r="A20" t="s">
        <v>1706</v>
      </c>
      <c r="B20" t="s">
        <v>1707</v>
      </c>
      <c r="C20" t="s">
        <v>411</v>
      </c>
    </row>
    <row r="21" spans="1:3" x14ac:dyDescent="0.25">
      <c r="A21" t="s">
        <v>1708</v>
      </c>
      <c r="B21" t="s">
        <v>1709</v>
      </c>
      <c r="C21" t="s">
        <v>68</v>
      </c>
    </row>
    <row r="22" spans="1:3" x14ac:dyDescent="0.25">
      <c r="A22" t="s">
        <v>1710</v>
      </c>
      <c r="B22" t="s">
        <v>1711</v>
      </c>
      <c r="C22" t="s">
        <v>240</v>
      </c>
    </row>
    <row r="23" spans="1:3" x14ac:dyDescent="0.25">
      <c r="A23" t="s">
        <v>1712</v>
      </c>
      <c r="B23" t="s">
        <v>1697</v>
      </c>
      <c r="C23" t="s">
        <v>26</v>
      </c>
    </row>
  </sheetData>
  <phoneticPr fontId="1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1:C22"/>
  <sheetViews>
    <sheetView workbookViewId="0"/>
  </sheetViews>
  <sheetFormatPr defaultRowHeight="14" x14ac:dyDescent="0.25"/>
  <sheetData>
    <row r="1" spans="1:3" x14ac:dyDescent="0.25">
      <c r="A1" t="s">
        <v>1713</v>
      </c>
    </row>
    <row r="2" spans="1:3" x14ac:dyDescent="0.25">
      <c r="A2" t="s">
        <v>1</v>
      </c>
      <c r="B2" t="s">
        <v>1714</v>
      </c>
      <c r="C2" t="s">
        <v>3</v>
      </c>
    </row>
    <row r="3" spans="1:3" x14ac:dyDescent="0.25">
      <c r="A3" t="s">
        <v>1715</v>
      </c>
      <c r="B3" t="s">
        <v>1716</v>
      </c>
      <c r="C3" t="s">
        <v>6</v>
      </c>
    </row>
    <row r="4" spans="1:3" x14ac:dyDescent="0.25">
      <c r="A4" t="s">
        <v>637</v>
      </c>
      <c r="B4" t="s">
        <v>1717</v>
      </c>
      <c r="C4" t="s">
        <v>6</v>
      </c>
    </row>
    <row r="5" spans="1:3" x14ac:dyDescent="0.25">
      <c r="A5" t="s">
        <v>101</v>
      </c>
      <c r="B5" t="s">
        <v>1718</v>
      </c>
      <c r="C5" t="s">
        <v>6</v>
      </c>
    </row>
    <row r="6" spans="1:3" x14ac:dyDescent="0.25">
      <c r="A6" t="s">
        <v>1719</v>
      </c>
      <c r="B6" t="s">
        <v>1720</v>
      </c>
      <c r="C6" t="s">
        <v>6</v>
      </c>
    </row>
    <row r="7" spans="1:3" x14ac:dyDescent="0.25">
      <c r="A7" t="s">
        <v>480</v>
      </c>
      <c r="B7" t="s">
        <v>1721</v>
      </c>
      <c r="C7" t="s">
        <v>11</v>
      </c>
    </row>
    <row r="8" spans="1:3" x14ac:dyDescent="0.25">
      <c r="A8" t="s">
        <v>1722</v>
      </c>
      <c r="B8" t="s">
        <v>1723</v>
      </c>
      <c r="C8" t="s">
        <v>6</v>
      </c>
    </row>
    <row r="9" spans="1:3" x14ac:dyDescent="0.25">
      <c r="A9">
        <v>40</v>
      </c>
      <c r="B9">
        <v>14.55</v>
      </c>
    </row>
    <row r="10" spans="1:3" x14ac:dyDescent="0.25">
      <c r="A10">
        <f>A9+3.41</f>
        <v>43.41</v>
      </c>
      <c r="B10">
        <f>B9</f>
        <v>14.55</v>
      </c>
    </row>
    <row r="11" spans="1:3" x14ac:dyDescent="0.25">
      <c r="A11">
        <f>A10+9</f>
        <v>52.41</v>
      </c>
      <c r="B11">
        <f>B10-3</f>
        <v>11.55</v>
      </c>
    </row>
    <row r="12" spans="1:3" x14ac:dyDescent="0.25">
      <c r="A12">
        <v>61.41</v>
      </c>
      <c r="B12">
        <v>11.55</v>
      </c>
    </row>
    <row r="13" spans="1:3" x14ac:dyDescent="0.25">
      <c r="A13">
        <f>A12+9</f>
        <v>70.41</v>
      </c>
      <c r="B13">
        <f>B12+3</f>
        <v>14.55</v>
      </c>
    </row>
    <row r="14" spans="1:3" x14ac:dyDescent="0.25">
      <c r="A14" t="s">
        <v>1728</v>
      </c>
      <c r="B14" t="s">
        <v>1729</v>
      </c>
      <c r="C14" t="s">
        <v>409</v>
      </c>
    </row>
    <row r="15" spans="1:3" x14ac:dyDescent="0.25">
      <c r="A15" t="s">
        <v>1730</v>
      </c>
      <c r="B15" t="s">
        <v>1542</v>
      </c>
      <c r="C15" t="s">
        <v>34</v>
      </c>
    </row>
    <row r="16" spans="1:3" x14ac:dyDescent="0.25">
      <c r="A16" t="s">
        <v>1731</v>
      </c>
      <c r="B16" t="s">
        <v>1732</v>
      </c>
      <c r="C16" t="s">
        <v>31</v>
      </c>
    </row>
    <row r="17" spans="1:3" x14ac:dyDescent="0.25">
      <c r="A17" t="s">
        <v>1733</v>
      </c>
      <c r="B17" t="s">
        <v>662</v>
      </c>
      <c r="C17" t="s">
        <v>240</v>
      </c>
    </row>
    <row r="18" spans="1:3" x14ac:dyDescent="0.25">
      <c r="A18" t="s">
        <v>1734</v>
      </c>
      <c r="B18" t="s">
        <v>1120</v>
      </c>
      <c r="C18" t="s">
        <v>240</v>
      </c>
    </row>
    <row r="19" spans="1:3" x14ac:dyDescent="0.25">
      <c r="A19" t="s">
        <v>1735</v>
      </c>
      <c r="B19" t="s">
        <v>1736</v>
      </c>
      <c r="C19" t="s">
        <v>1737</v>
      </c>
    </row>
    <row r="20" spans="1:3" x14ac:dyDescent="0.25">
      <c r="A20" t="s">
        <v>1738</v>
      </c>
      <c r="B20" t="s">
        <v>420</v>
      </c>
      <c r="C20" t="s">
        <v>409</v>
      </c>
    </row>
    <row r="21" spans="1:3" x14ac:dyDescent="0.25">
      <c r="A21" t="s">
        <v>1739</v>
      </c>
      <c r="B21" t="s">
        <v>1740</v>
      </c>
      <c r="C21" t="s">
        <v>411</v>
      </c>
    </row>
    <row r="22" spans="1:3" x14ac:dyDescent="0.25">
      <c r="A22" t="s">
        <v>1741</v>
      </c>
      <c r="B22" t="s">
        <v>1742</v>
      </c>
      <c r="C22" t="s">
        <v>26</v>
      </c>
    </row>
  </sheetData>
  <phoneticPr fontId="1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1:C23"/>
  <sheetViews>
    <sheetView workbookViewId="0"/>
  </sheetViews>
  <sheetFormatPr defaultRowHeight="14" x14ac:dyDescent="0.25"/>
  <sheetData>
    <row r="1" spans="1:3" x14ac:dyDescent="0.25">
      <c r="A1" t="s">
        <v>1743</v>
      </c>
    </row>
    <row r="2" spans="1:3" x14ac:dyDescent="0.25">
      <c r="A2" t="s">
        <v>1</v>
      </c>
      <c r="B2" t="s">
        <v>1744</v>
      </c>
      <c r="C2" t="s">
        <v>3</v>
      </c>
    </row>
    <row r="3" spans="1:3" x14ac:dyDescent="0.25">
      <c r="A3" t="s">
        <v>1745</v>
      </c>
      <c r="B3" t="s">
        <v>1746</v>
      </c>
      <c r="C3" t="s">
        <v>6</v>
      </c>
    </row>
    <row r="4" spans="1:3" x14ac:dyDescent="0.25">
      <c r="A4" t="s">
        <v>299</v>
      </c>
      <c r="B4" t="s">
        <v>1747</v>
      </c>
      <c r="C4" t="s">
        <v>6</v>
      </c>
    </row>
    <row r="5" spans="1:3" x14ac:dyDescent="0.25">
      <c r="A5" t="s">
        <v>1748</v>
      </c>
      <c r="B5" t="s">
        <v>1749</v>
      </c>
      <c r="C5" t="s">
        <v>6</v>
      </c>
    </row>
    <row r="6" spans="1:3" x14ac:dyDescent="0.25">
      <c r="A6" t="s">
        <v>1750</v>
      </c>
      <c r="B6" t="s">
        <v>1751</v>
      </c>
      <c r="C6" t="s">
        <v>11</v>
      </c>
    </row>
    <row r="7" spans="1:3" x14ac:dyDescent="0.25">
      <c r="A7" t="s">
        <v>1752</v>
      </c>
      <c r="B7" t="s">
        <v>1753</v>
      </c>
      <c r="C7" t="s">
        <v>6</v>
      </c>
    </row>
    <row r="8" spans="1:3" x14ac:dyDescent="0.25">
      <c r="A8" t="s">
        <v>1754</v>
      </c>
      <c r="B8" t="s">
        <v>1755</v>
      </c>
      <c r="C8" t="s">
        <v>6</v>
      </c>
    </row>
    <row r="9" spans="1:3" x14ac:dyDescent="0.25">
      <c r="A9">
        <v>55</v>
      </c>
      <c r="B9">
        <v>13.2</v>
      </c>
    </row>
    <row r="10" spans="1:3" x14ac:dyDescent="0.25">
      <c r="A10">
        <f>A9+2.32</f>
        <v>57.32</v>
      </c>
      <c r="B10">
        <f>B9+1.31</f>
        <v>14.51</v>
      </c>
    </row>
    <row r="11" spans="1:3" x14ac:dyDescent="0.25">
      <c r="A11">
        <f>A10+6</f>
        <v>63.32</v>
      </c>
      <c r="B11">
        <f>B10</f>
        <v>14.51</v>
      </c>
    </row>
    <row r="12" spans="1:3" x14ac:dyDescent="0.25">
      <c r="A12">
        <f>A11+9</f>
        <v>72.319999999999993</v>
      </c>
      <c r="B12">
        <f>B11-3</f>
        <v>11.51</v>
      </c>
    </row>
    <row r="13" spans="1:3" x14ac:dyDescent="0.25">
      <c r="A13" t="s">
        <v>1758</v>
      </c>
      <c r="B13" t="s">
        <v>1759</v>
      </c>
      <c r="C13" t="s">
        <v>411</v>
      </c>
    </row>
    <row r="14" spans="1:3" x14ac:dyDescent="0.25">
      <c r="A14" t="s">
        <v>1760</v>
      </c>
      <c r="B14" t="s">
        <v>1761</v>
      </c>
      <c r="C14" t="s">
        <v>6</v>
      </c>
    </row>
    <row r="15" spans="1:3" x14ac:dyDescent="0.25">
      <c r="A15" t="s">
        <v>1762</v>
      </c>
      <c r="B15" t="s">
        <v>1763</v>
      </c>
      <c r="C15" t="s">
        <v>409</v>
      </c>
    </row>
    <row r="16" spans="1:3" x14ac:dyDescent="0.25">
      <c r="A16" t="s">
        <v>1764</v>
      </c>
      <c r="B16" t="s">
        <v>1765</v>
      </c>
      <c r="C16" t="s">
        <v>34</v>
      </c>
    </row>
    <row r="17" spans="1:3" x14ac:dyDescent="0.25">
      <c r="A17" t="s">
        <v>1766</v>
      </c>
      <c r="B17" t="s">
        <v>1767</v>
      </c>
      <c r="C17" t="s">
        <v>31</v>
      </c>
    </row>
    <row r="18" spans="1:3" x14ac:dyDescent="0.25">
      <c r="A18" t="s">
        <v>1768</v>
      </c>
      <c r="B18" t="s">
        <v>1220</v>
      </c>
      <c r="C18" t="s">
        <v>240</v>
      </c>
    </row>
    <row r="19" spans="1:3" x14ac:dyDescent="0.25">
      <c r="A19" t="s">
        <v>1769</v>
      </c>
      <c r="B19" t="s">
        <v>752</v>
      </c>
      <c r="C19" t="s">
        <v>240</v>
      </c>
    </row>
    <row r="20" spans="1:3" x14ac:dyDescent="0.25">
      <c r="A20" t="s">
        <v>1770</v>
      </c>
      <c r="B20" t="s">
        <v>550</v>
      </c>
      <c r="C20" t="s">
        <v>1737</v>
      </c>
    </row>
    <row r="21" spans="1:3" x14ac:dyDescent="0.25">
      <c r="A21" t="s">
        <v>1771</v>
      </c>
      <c r="B21" t="s">
        <v>868</v>
      </c>
      <c r="C21" t="s">
        <v>409</v>
      </c>
    </row>
    <row r="22" spans="1:3" x14ac:dyDescent="0.25">
      <c r="A22" t="s">
        <v>1772</v>
      </c>
      <c r="B22" t="s">
        <v>1773</v>
      </c>
      <c r="C22" t="s">
        <v>411</v>
      </c>
    </row>
    <row r="23" spans="1:3" x14ac:dyDescent="0.25">
      <c r="A23" t="s">
        <v>1774</v>
      </c>
      <c r="B23" t="s">
        <v>1480</v>
      </c>
      <c r="C23" t="s">
        <v>26</v>
      </c>
    </row>
  </sheetData>
  <phoneticPr fontId="1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>
    <tabColor theme="6"/>
  </sheetPr>
  <dimension ref="A1:C23"/>
  <sheetViews>
    <sheetView workbookViewId="0"/>
  </sheetViews>
  <sheetFormatPr defaultRowHeight="14" x14ac:dyDescent="0.25"/>
  <sheetData>
    <row r="1" spans="1:3" x14ac:dyDescent="0.25">
      <c r="A1" t="s">
        <v>1775</v>
      </c>
      <c r="B1" s="7" t="s">
        <v>2607</v>
      </c>
      <c r="C1" t="s">
        <v>2608</v>
      </c>
    </row>
    <row r="2" spans="1:3" x14ac:dyDescent="0.25">
      <c r="A2" t="s">
        <v>1</v>
      </c>
      <c r="B2" t="s">
        <v>1776</v>
      </c>
      <c r="C2" t="s">
        <v>3</v>
      </c>
    </row>
    <row r="3" spans="1:3" x14ac:dyDescent="0.25">
      <c r="A3" t="s">
        <v>1777</v>
      </c>
      <c r="B3" t="s">
        <v>1778</v>
      </c>
      <c r="C3" t="s">
        <v>6</v>
      </c>
    </row>
    <row r="4" spans="1:3" x14ac:dyDescent="0.25">
      <c r="A4" t="s">
        <v>1779</v>
      </c>
      <c r="B4" t="s">
        <v>1780</v>
      </c>
      <c r="C4" t="s">
        <v>6</v>
      </c>
    </row>
    <row r="5" spans="1:3" x14ac:dyDescent="0.25">
      <c r="A5" t="s">
        <v>1781</v>
      </c>
      <c r="B5" t="s">
        <v>1782</v>
      </c>
      <c r="C5" t="s">
        <v>6</v>
      </c>
    </row>
    <row r="6" spans="1:3" x14ac:dyDescent="0.25">
      <c r="A6" t="s">
        <v>1783</v>
      </c>
      <c r="B6" t="s">
        <v>1784</v>
      </c>
      <c r="C6" t="s">
        <v>6</v>
      </c>
    </row>
    <row r="7" spans="1:3" x14ac:dyDescent="0.25">
      <c r="A7" t="s">
        <v>694</v>
      </c>
      <c r="B7" t="s">
        <v>1784</v>
      </c>
      <c r="C7" t="s">
        <v>11</v>
      </c>
    </row>
    <row r="8" spans="1:3" x14ac:dyDescent="0.25">
      <c r="A8" t="s">
        <v>1785</v>
      </c>
      <c r="B8" t="s">
        <v>1786</v>
      </c>
      <c r="C8" t="s">
        <v>6</v>
      </c>
    </row>
    <row r="9" spans="1:3" x14ac:dyDescent="0.25">
      <c r="A9" t="s">
        <v>1787</v>
      </c>
      <c r="B9" t="s">
        <v>1788</v>
      </c>
      <c r="C9" t="s">
        <v>6</v>
      </c>
    </row>
    <row r="10" spans="1:3" x14ac:dyDescent="0.25">
      <c r="A10" t="s">
        <v>1789</v>
      </c>
      <c r="B10" t="s">
        <v>1790</v>
      </c>
      <c r="C10" t="s">
        <v>6</v>
      </c>
    </row>
    <row r="11" spans="1:3" x14ac:dyDescent="0.25">
      <c r="A11" t="s">
        <v>1791</v>
      </c>
      <c r="B11" t="s">
        <v>1792</v>
      </c>
      <c r="C11" t="s">
        <v>411</v>
      </c>
    </row>
    <row r="12" spans="1:3" x14ac:dyDescent="0.25">
      <c r="A12" t="s">
        <v>1793</v>
      </c>
      <c r="B12" t="s">
        <v>1794</v>
      </c>
      <c r="C12" t="s">
        <v>409</v>
      </c>
    </row>
    <row r="13" spans="1:3" x14ac:dyDescent="0.25">
      <c r="A13" t="s">
        <v>1795</v>
      </c>
      <c r="B13" t="s">
        <v>1796</v>
      </c>
      <c r="C13" t="s">
        <v>409</v>
      </c>
    </row>
    <row r="14" spans="1:3" x14ac:dyDescent="0.25">
      <c r="A14" t="s">
        <v>1797</v>
      </c>
      <c r="B14" t="s">
        <v>1798</v>
      </c>
      <c r="C14" t="s">
        <v>411</v>
      </c>
    </row>
    <row r="15" spans="1:3" x14ac:dyDescent="0.25">
      <c r="A15" t="s">
        <v>1799</v>
      </c>
      <c r="B15" t="s">
        <v>1800</v>
      </c>
      <c r="C15" t="s">
        <v>6</v>
      </c>
    </row>
    <row r="16" spans="1:3" x14ac:dyDescent="0.25">
      <c r="A16" t="s">
        <v>1801</v>
      </c>
      <c r="B16" t="s">
        <v>1802</v>
      </c>
      <c r="C16" t="s">
        <v>6</v>
      </c>
    </row>
    <row r="17" spans="1:3" x14ac:dyDescent="0.25">
      <c r="A17" t="s">
        <v>1803</v>
      </c>
      <c r="B17" t="s">
        <v>1804</v>
      </c>
      <c r="C17" t="s">
        <v>6</v>
      </c>
    </row>
    <row r="18" spans="1:3" x14ac:dyDescent="0.25">
      <c r="A18" t="s">
        <v>1805</v>
      </c>
      <c r="B18" t="s">
        <v>1806</v>
      </c>
      <c r="C18" t="s">
        <v>6</v>
      </c>
    </row>
    <row r="19" spans="1:3" x14ac:dyDescent="0.25">
      <c r="A19" t="s">
        <v>1807</v>
      </c>
      <c r="B19" t="s">
        <v>1808</v>
      </c>
      <c r="C19" t="s">
        <v>6</v>
      </c>
    </row>
    <row r="20" spans="1:3" x14ac:dyDescent="0.25">
      <c r="A20" t="s">
        <v>1809</v>
      </c>
      <c r="B20" t="s">
        <v>1810</v>
      </c>
      <c r="C20" t="s">
        <v>240</v>
      </c>
    </row>
    <row r="21" spans="1:3" x14ac:dyDescent="0.25">
      <c r="A21" t="s">
        <v>1811</v>
      </c>
      <c r="B21" t="s">
        <v>1812</v>
      </c>
      <c r="C21" t="s">
        <v>240</v>
      </c>
    </row>
    <row r="22" spans="1:3" x14ac:dyDescent="0.25">
      <c r="A22" t="s">
        <v>1813</v>
      </c>
      <c r="B22" t="s">
        <v>1814</v>
      </c>
      <c r="C22" t="s">
        <v>1737</v>
      </c>
    </row>
    <row r="23" spans="1:3" x14ac:dyDescent="0.25">
      <c r="A23" t="s">
        <v>1815</v>
      </c>
      <c r="B23" t="s">
        <v>1816</v>
      </c>
      <c r="C23" t="s">
        <v>26</v>
      </c>
    </row>
  </sheetData>
  <phoneticPr fontId="1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8"/>
  <dimension ref="A1:C22"/>
  <sheetViews>
    <sheetView workbookViewId="0"/>
  </sheetViews>
  <sheetFormatPr defaultRowHeight="14" x14ac:dyDescent="0.25"/>
  <sheetData>
    <row r="1" spans="1:3" x14ac:dyDescent="0.25">
      <c r="A1" t="s">
        <v>1817</v>
      </c>
    </row>
    <row r="2" spans="1:3" x14ac:dyDescent="0.25">
      <c r="A2" t="s">
        <v>1</v>
      </c>
      <c r="B2" t="s">
        <v>1818</v>
      </c>
      <c r="C2" t="s">
        <v>3</v>
      </c>
    </row>
    <row r="3" spans="1:3" x14ac:dyDescent="0.25">
      <c r="A3" t="s">
        <v>1819</v>
      </c>
      <c r="B3" t="s">
        <v>1820</v>
      </c>
      <c r="C3" t="s">
        <v>6</v>
      </c>
    </row>
    <row r="4" spans="1:3" x14ac:dyDescent="0.25">
      <c r="A4" t="s">
        <v>1821</v>
      </c>
      <c r="B4" t="s">
        <v>1822</v>
      </c>
      <c r="C4" t="s">
        <v>6</v>
      </c>
    </row>
    <row r="5" spans="1:3" x14ac:dyDescent="0.25">
      <c r="A5" t="s">
        <v>1823</v>
      </c>
      <c r="B5" t="s">
        <v>1824</v>
      </c>
      <c r="C5" t="s">
        <v>6</v>
      </c>
    </row>
    <row r="6" spans="1:3" x14ac:dyDescent="0.25">
      <c r="A6" t="s">
        <v>667</v>
      </c>
      <c r="B6" t="s">
        <v>1825</v>
      </c>
      <c r="C6" t="s">
        <v>11</v>
      </c>
    </row>
    <row r="7" spans="1:3" x14ac:dyDescent="0.25">
      <c r="A7" t="s">
        <v>1826</v>
      </c>
      <c r="B7" t="s">
        <v>693</v>
      </c>
      <c r="C7" t="s">
        <v>6</v>
      </c>
    </row>
    <row r="8" spans="1:3" x14ac:dyDescent="0.25">
      <c r="A8" t="s">
        <v>1827</v>
      </c>
      <c r="B8" t="s">
        <v>1828</v>
      </c>
      <c r="C8" t="s">
        <v>411</v>
      </c>
    </row>
    <row r="9" spans="1:3" x14ac:dyDescent="0.25">
      <c r="A9">
        <v>52.56</v>
      </c>
      <c r="B9">
        <v>14.86</v>
      </c>
    </row>
    <row r="10" spans="1:3" x14ac:dyDescent="0.25">
      <c r="A10">
        <f>A9+2.18</f>
        <v>54.74</v>
      </c>
      <c r="B10">
        <f>B9</f>
        <v>14.86</v>
      </c>
    </row>
    <row r="11" spans="1:3" x14ac:dyDescent="0.25">
      <c r="A11">
        <v>65</v>
      </c>
      <c r="B11">
        <v>11.44</v>
      </c>
    </row>
    <row r="12" spans="1:3" x14ac:dyDescent="0.25">
      <c r="A12" t="s">
        <v>1829</v>
      </c>
      <c r="B12">
        <v>11.44</v>
      </c>
      <c r="C12" t="s">
        <v>411</v>
      </c>
    </row>
    <row r="13" spans="1:3" x14ac:dyDescent="0.25">
      <c r="A13" t="s">
        <v>1830</v>
      </c>
      <c r="B13" t="s">
        <v>1488</v>
      </c>
      <c r="C13" t="s">
        <v>409</v>
      </c>
    </row>
    <row r="14" spans="1:3" x14ac:dyDescent="0.25">
      <c r="A14" t="s">
        <v>1831</v>
      </c>
      <c r="B14" t="s">
        <v>358</v>
      </c>
      <c r="C14" t="s">
        <v>34</v>
      </c>
    </row>
    <row r="15" spans="1:3" x14ac:dyDescent="0.25">
      <c r="A15" t="s">
        <v>1758</v>
      </c>
      <c r="B15" t="s">
        <v>1832</v>
      </c>
      <c r="C15" t="s">
        <v>31</v>
      </c>
    </row>
    <row r="16" spans="1:3" x14ac:dyDescent="0.25">
      <c r="A16" t="s">
        <v>1833</v>
      </c>
      <c r="B16" t="s">
        <v>1834</v>
      </c>
      <c r="C16" t="s">
        <v>240</v>
      </c>
    </row>
    <row r="17" spans="1:3" x14ac:dyDescent="0.25">
      <c r="A17" t="s">
        <v>1835</v>
      </c>
      <c r="B17" t="s">
        <v>1836</v>
      </c>
      <c r="C17" t="s">
        <v>240</v>
      </c>
    </row>
    <row r="18" spans="1:3" x14ac:dyDescent="0.25">
      <c r="A18" t="s">
        <v>1837</v>
      </c>
      <c r="B18" t="s">
        <v>800</v>
      </c>
      <c r="C18" t="s">
        <v>409</v>
      </c>
    </row>
    <row r="19" spans="1:3" x14ac:dyDescent="0.25">
      <c r="A19" t="s">
        <v>1838</v>
      </c>
      <c r="B19" t="s">
        <v>1839</v>
      </c>
      <c r="C19" t="s">
        <v>411</v>
      </c>
    </row>
    <row r="20" spans="1:3" x14ac:dyDescent="0.25">
      <c r="A20" t="s">
        <v>1840</v>
      </c>
      <c r="B20" t="s">
        <v>1841</v>
      </c>
      <c r="C20" t="s">
        <v>649</v>
      </c>
    </row>
    <row r="21" spans="1:3" x14ac:dyDescent="0.25">
      <c r="A21" t="s">
        <v>1842</v>
      </c>
      <c r="B21" t="s">
        <v>1843</v>
      </c>
      <c r="C21" t="s">
        <v>649</v>
      </c>
    </row>
    <row r="22" spans="1:3" x14ac:dyDescent="0.25">
      <c r="A22" t="s">
        <v>1844</v>
      </c>
      <c r="B22" t="s">
        <v>1845</v>
      </c>
      <c r="C22" t="s">
        <v>26</v>
      </c>
    </row>
  </sheetData>
  <phoneticPr fontId="1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9">
    <tabColor theme="6"/>
  </sheetPr>
  <dimension ref="A1:C22"/>
  <sheetViews>
    <sheetView workbookViewId="0"/>
  </sheetViews>
  <sheetFormatPr defaultRowHeight="14" x14ac:dyDescent="0.25"/>
  <sheetData>
    <row r="1" spans="1:3" x14ac:dyDescent="0.25">
      <c r="A1" t="s">
        <v>1846</v>
      </c>
      <c r="B1" s="7" t="s">
        <v>2603</v>
      </c>
      <c r="C1" t="s">
        <v>2606</v>
      </c>
    </row>
    <row r="2" spans="1:3" x14ac:dyDescent="0.25">
      <c r="A2" t="s">
        <v>1</v>
      </c>
      <c r="B2" t="s">
        <v>1847</v>
      </c>
      <c r="C2" t="s">
        <v>3</v>
      </c>
    </row>
    <row r="3" spans="1:3" x14ac:dyDescent="0.25">
      <c r="A3" t="s">
        <v>1848</v>
      </c>
      <c r="B3" t="s">
        <v>1849</v>
      </c>
      <c r="C3" t="s">
        <v>649</v>
      </c>
    </row>
    <row r="4" spans="1:3" x14ac:dyDescent="0.25">
      <c r="A4" t="s">
        <v>1850</v>
      </c>
      <c r="B4" t="s">
        <v>1851</v>
      </c>
      <c r="C4" t="s">
        <v>649</v>
      </c>
    </row>
    <row r="5" spans="1:3" x14ac:dyDescent="0.25">
      <c r="A5" t="s">
        <v>327</v>
      </c>
      <c r="B5" t="s">
        <v>1852</v>
      </c>
      <c r="C5" t="s">
        <v>11</v>
      </c>
    </row>
    <row r="6" spans="1:3" x14ac:dyDescent="0.25">
      <c r="A6" t="s">
        <v>1853</v>
      </c>
      <c r="B6" t="s">
        <v>1854</v>
      </c>
      <c r="C6" t="s">
        <v>649</v>
      </c>
    </row>
    <row r="7" spans="1:3" x14ac:dyDescent="0.25">
      <c r="A7" t="s">
        <v>1855</v>
      </c>
      <c r="B7" t="s">
        <v>1856</v>
      </c>
      <c r="C7" t="s">
        <v>649</v>
      </c>
    </row>
    <row r="8" spans="1:3" x14ac:dyDescent="0.25">
      <c r="A8" t="s">
        <v>1857</v>
      </c>
      <c r="B8" t="s">
        <v>1858</v>
      </c>
      <c r="C8" t="s">
        <v>649</v>
      </c>
    </row>
    <row r="9" spans="1:3" x14ac:dyDescent="0.25">
      <c r="A9" t="s">
        <v>1859</v>
      </c>
      <c r="B9" t="s">
        <v>1860</v>
      </c>
      <c r="C9" t="s">
        <v>411</v>
      </c>
    </row>
    <row r="10" spans="1:3" x14ac:dyDescent="0.25">
      <c r="A10" t="s">
        <v>1861</v>
      </c>
      <c r="B10" t="s">
        <v>541</v>
      </c>
      <c r="C10" t="s">
        <v>409</v>
      </c>
    </row>
    <row r="11" spans="1:3" x14ac:dyDescent="0.25">
      <c r="A11" t="s">
        <v>1862</v>
      </c>
      <c r="B11" t="s">
        <v>1863</v>
      </c>
      <c r="C11" t="s">
        <v>409</v>
      </c>
    </row>
    <row r="12" spans="1:3" x14ac:dyDescent="0.25">
      <c r="A12" t="s">
        <v>1864</v>
      </c>
      <c r="B12" t="s">
        <v>1865</v>
      </c>
      <c r="C12" t="s">
        <v>411</v>
      </c>
    </row>
    <row r="13" spans="1:3" x14ac:dyDescent="0.25">
      <c r="A13" t="s">
        <v>1866</v>
      </c>
      <c r="B13" t="s">
        <v>1867</v>
      </c>
      <c r="C13" t="s">
        <v>409</v>
      </c>
    </row>
    <row r="14" spans="1:3" x14ac:dyDescent="0.25">
      <c r="A14">
        <v>71.16</v>
      </c>
      <c r="B14">
        <v>14.4</v>
      </c>
    </row>
    <row r="15" spans="1:3" x14ac:dyDescent="0.25">
      <c r="A15">
        <f>A14+9</f>
        <v>80.16</v>
      </c>
      <c r="B15">
        <f>B14-3</f>
        <v>11.4</v>
      </c>
    </row>
    <row r="16" spans="1:3" x14ac:dyDescent="0.25">
      <c r="A16">
        <f>A15+9</f>
        <v>89.16</v>
      </c>
      <c r="B16">
        <f>B15</f>
        <v>11.4</v>
      </c>
    </row>
    <row r="17" spans="1:3" x14ac:dyDescent="0.25">
      <c r="A17">
        <f>A16+9</f>
        <v>98.16</v>
      </c>
      <c r="B17">
        <f>B16+3</f>
        <v>14.4</v>
      </c>
    </row>
    <row r="18" spans="1:3" x14ac:dyDescent="0.25">
      <c r="A18" t="s">
        <v>1868</v>
      </c>
      <c r="B18" t="s">
        <v>1869</v>
      </c>
      <c r="C18" t="s">
        <v>31</v>
      </c>
    </row>
    <row r="19" spans="1:3" x14ac:dyDescent="0.25">
      <c r="A19" t="s">
        <v>1870</v>
      </c>
      <c r="B19" t="s">
        <v>1871</v>
      </c>
      <c r="C19" t="s">
        <v>34</v>
      </c>
    </row>
    <row r="20" spans="1:3" x14ac:dyDescent="0.25">
      <c r="A20" t="s">
        <v>1872</v>
      </c>
      <c r="B20" t="s">
        <v>1788</v>
      </c>
      <c r="C20" t="s">
        <v>68</v>
      </c>
    </row>
    <row r="21" spans="1:3" x14ac:dyDescent="0.25">
      <c r="A21" t="s">
        <v>1873</v>
      </c>
      <c r="B21" t="s">
        <v>1874</v>
      </c>
      <c r="C21" t="s">
        <v>68</v>
      </c>
    </row>
    <row r="22" spans="1:3" x14ac:dyDescent="0.25">
      <c r="A22" t="s">
        <v>1875</v>
      </c>
      <c r="B22" t="s">
        <v>1876</v>
      </c>
      <c r="C22" t="s">
        <v>26</v>
      </c>
    </row>
  </sheetData>
  <phoneticPr fontId="1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91"/>
  <dimension ref="A1:C22"/>
  <sheetViews>
    <sheetView workbookViewId="0"/>
  </sheetViews>
  <sheetFormatPr defaultRowHeight="14" x14ac:dyDescent="0.25"/>
  <sheetData>
    <row r="1" spans="1:3" x14ac:dyDescent="0.25">
      <c r="A1" t="s">
        <v>1877</v>
      </c>
    </row>
    <row r="2" spans="1:3" x14ac:dyDescent="0.25">
      <c r="A2" t="s">
        <v>1</v>
      </c>
      <c r="B2" t="s">
        <v>1878</v>
      </c>
      <c r="C2" t="s">
        <v>3</v>
      </c>
    </row>
    <row r="3" spans="1:3" x14ac:dyDescent="0.25">
      <c r="A3" t="s">
        <v>905</v>
      </c>
      <c r="B3" t="s">
        <v>288</v>
      </c>
      <c r="C3" t="s">
        <v>649</v>
      </c>
    </row>
    <row r="4" spans="1:3" x14ac:dyDescent="0.25">
      <c r="A4" t="s">
        <v>1879</v>
      </c>
      <c r="B4" t="s">
        <v>1880</v>
      </c>
      <c r="C4" t="s">
        <v>649</v>
      </c>
    </row>
    <row r="5" spans="1:3" x14ac:dyDescent="0.25">
      <c r="A5" t="s">
        <v>1881</v>
      </c>
      <c r="B5" t="s">
        <v>1882</v>
      </c>
      <c r="C5" t="s">
        <v>649</v>
      </c>
    </row>
    <row r="6" spans="1:3" x14ac:dyDescent="0.25">
      <c r="A6" t="s">
        <v>1883</v>
      </c>
      <c r="B6" t="s">
        <v>1884</v>
      </c>
      <c r="C6" t="s">
        <v>649</v>
      </c>
    </row>
    <row r="7" spans="1:3" x14ac:dyDescent="0.25">
      <c r="A7" t="s">
        <v>1885</v>
      </c>
      <c r="B7" t="s">
        <v>1886</v>
      </c>
      <c r="C7" t="s">
        <v>11</v>
      </c>
    </row>
    <row r="8" spans="1:3" x14ac:dyDescent="0.25">
      <c r="A8" t="s">
        <v>1887</v>
      </c>
      <c r="B8" t="s">
        <v>1888</v>
      </c>
      <c r="C8" t="s">
        <v>649</v>
      </c>
    </row>
    <row r="9" spans="1:3" x14ac:dyDescent="0.25">
      <c r="A9" t="s">
        <v>1889</v>
      </c>
      <c r="B9" t="s">
        <v>1890</v>
      </c>
      <c r="C9" t="s">
        <v>649</v>
      </c>
    </row>
    <row r="10" spans="1:3" x14ac:dyDescent="0.25">
      <c r="A10" t="s">
        <v>1891</v>
      </c>
      <c r="B10" t="s">
        <v>1892</v>
      </c>
      <c r="C10" t="s">
        <v>649</v>
      </c>
    </row>
    <row r="11" spans="1:3" x14ac:dyDescent="0.25">
      <c r="A11" t="s">
        <v>1893</v>
      </c>
      <c r="B11" t="s">
        <v>1894</v>
      </c>
      <c r="C11" t="s">
        <v>411</v>
      </c>
    </row>
    <row r="12" spans="1:3" x14ac:dyDescent="0.25">
      <c r="A12" t="s">
        <v>1895</v>
      </c>
      <c r="B12" t="s">
        <v>1415</v>
      </c>
      <c r="C12" t="s">
        <v>409</v>
      </c>
    </row>
    <row r="13" spans="1:3" x14ac:dyDescent="0.25">
      <c r="A13" t="s">
        <v>1896</v>
      </c>
      <c r="B13" t="s">
        <v>1897</v>
      </c>
      <c r="C13" t="s">
        <v>649</v>
      </c>
    </row>
    <row r="14" spans="1:3" x14ac:dyDescent="0.25">
      <c r="A14">
        <f>80-3.18</f>
        <v>76.819999999999993</v>
      </c>
      <c r="B14">
        <f>15.12</f>
        <v>15.12</v>
      </c>
    </row>
    <row r="15" spans="1:3" x14ac:dyDescent="0.25">
      <c r="A15">
        <f>A14+11.3</f>
        <v>88.11999999999999</v>
      </c>
      <c r="B15">
        <f>B14-3.77</f>
        <v>11.35</v>
      </c>
    </row>
    <row r="16" spans="1:3" x14ac:dyDescent="0.25">
      <c r="A16">
        <f>6+A15</f>
        <v>94.11999999999999</v>
      </c>
      <c r="B16">
        <f>B15</f>
        <v>11.35</v>
      </c>
    </row>
    <row r="17" spans="1:3" x14ac:dyDescent="0.25">
      <c r="A17">
        <f>A16+9.99</f>
        <v>104.10999999999999</v>
      </c>
      <c r="B17">
        <f>B16+3.33</f>
        <v>14.68</v>
      </c>
    </row>
    <row r="18" spans="1:3" x14ac:dyDescent="0.25">
      <c r="A18" t="s">
        <v>1898</v>
      </c>
      <c r="B18" t="s">
        <v>1899</v>
      </c>
      <c r="C18" t="s">
        <v>240</v>
      </c>
    </row>
    <row r="19" spans="1:3" x14ac:dyDescent="0.25">
      <c r="A19" t="s">
        <v>1900</v>
      </c>
      <c r="B19" t="s">
        <v>1901</v>
      </c>
      <c r="C19" t="s">
        <v>31</v>
      </c>
    </row>
    <row r="20" spans="1:3" x14ac:dyDescent="0.25">
      <c r="A20" t="s">
        <v>1902</v>
      </c>
      <c r="B20" t="s">
        <v>1903</v>
      </c>
      <c r="C20" t="s">
        <v>34</v>
      </c>
    </row>
    <row r="21" spans="1:3" x14ac:dyDescent="0.25">
      <c r="A21" t="s">
        <v>1904</v>
      </c>
      <c r="B21" t="s">
        <v>1905</v>
      </c>
      <c r="C21" t="s">
        <v>68</v>
      </c>
    </row>
    <row r="22" spans="1:3" x14ac:dyDescent="0.25">
      <c r="A22" t="s">
        <v>1906</v>
      </c>
      <c r="B22" t="s">
        <v>280</v>
      </c>
      <c r="C22" t="s">
        <v>26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8"/>
  </sheetPr>
  <dimension ref="A1:C13"/>
  <sheetViews>
    <sheetView workbookViewId="0">
      <selection activeCell="C31" sqref="C31"/>
    </sheetView>
  </sheetViews>
  <sheetFormatPr defaultRowHeight="14" x14ac:dyDescent="0.25"/>
  <sheetData>
    <row r="1" spans="1:3" x14ac:dyDescent="0.25">
      <c r="A1" t="s">
        <v>176</v>
      </c>
    </row>
    <row r="2" spans="1:3" x14ac:dyDescent="0.25">
      <c r="A2" t="s">
        <v>1</v>
      </c>
      <c r="B2" t="s">
        <v>177</v>
      </c>
      <c r="C2" t="s">
        <v>3</v>
      </c>
    </row>
    <row r="3" spans="1:3" x14ac:dyDescent="0.25">
      <c r="A3" t="s">
        <v>178</v>
      </c>
      <c r="B3" t="s">
        <v>179</v>
      </c>
      <c r="C3" t="s">
        <v>6</v>
      </c>
    </row>
    <row r="4" spans="1:3" x14ac:dyDescent="0.25">
      <c r="A4" t="s">
        <v>180</v>
      </c>
      <c r="B4" t="s">
        <v>181</v>
      </c>
      <c r="C4" t="s">
        <v>6</v>
      </c>
    </row>
    <row r="5" spans="1:3" x14ac:dyDescent="0.25">
      <c r="A5" t="s">
        <v>182</v>
      </c>
      <c r="B5" t="s">
        <v>183</v>
      </c>
      <c r="C5" t="s">
        <v>6</v>
      </c>
    </row>
    <row r="6" spans="1:3" x14ac:dyDescent="0.25">
      <c r="A6" t="s">
        <v>184</v>
      </c>
      <c r="B6" t="s">
        <v>185</v>
      </c>
      <c r="C6" t="s">
        <v>6</v>
      </c>
    </row>
    <row r="7" spans="1:3" x14ac:dyDescent="0.25">
      <c r="A7" t="s">
        <v>186</v>
      </c>
      <c r="B7" t="s">
        <v>187</v>
      </c>
      <c r="C7" t="s">
        <v>11</v>
      </c>
    </row>
    <row r="8" spans="1:3" x14ac:dyDescent="0.25">
      <c r="A8" t="s">
        <v>188</v>
      </c>
      <c r="B8" t="s">
        <v>189</v>
      </c>
      <c r="C8" t="s">
        <v>34</v>
      </c>
    </row>
    <row r="9" spans="1:3" x14ac:dyDescent="0.25">
      <c r="A9" t="s">
        <v>190</v>
      </c>
      <c r="B9" t="s">
        <v>191</v>
      </c>
      <c r="C9" t="s">
        <v>31</v>
      </c>
    </row>
    <row r="10" spans="1:3" x14ac:dyDescent="0.25">
      <c r="A10" t="s">
        <v>192</v>
      </c>
      <c r="B10" t="s">
        <v>193</v>
      </c>
      <c r="C10" t="s">
        <v>31</v>
      </c>
    </row>
    <row r="11" spans="1:3" x14ac:dyDescent="0.25">
      <c r="A11" t="s">
        <v>194</v>
      </c>
      <c r="B11" t="s">
        <v>111</v>
      </c>
      <c r="C11" t="s">
        <v>34</v>
      </c>
    </row>
    <row r="12" spans="1:3" x14ac:dyDescent="0.25">
      <c r="A12" t="s">
        <v>195</v>
      </c>
      <c r="B12" t="s">
        <v>196</v>
      </c>
      <c r="C12" t="s">
        <v>6</v>
      </c>
    </row>
    <row r="13" spans="1:3" x14ac:dyDescent="0.25">
      <c r="A13" t="s">
        <v>24</v>
      </c>
      <c r="B13" t="s">
        <v>197</v>
      </c>
      <c r="C13" t="s">
        <v>26</v>
      </c>
    </row>
  </sheetData>
  <phoneticPr fontId="1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2">
    <tabColor rgb="FFFFFF00"/>
  </sheetPr>
  <dimension ref="A1:E21"/>
  <sheetViews>
    <sheetView workbookViewId="0"/>
  </sheetViews>
  <sheetFormatPr defaultRowHeight="14" x14ac:dyDescent="0.25"/>
  <sheetData>
    <row r="1" spans="1:5" x14ac:dyDescent="0.25">
      <c r="A1" t="s">
        <v>2613</v>
      </c>
    </row>
    <row r="2" spans="1:5" x14ac:dyDescent="0.25">
      <c r="A2" t="s">
        <v>1</v>
      </c>
      <c r="B2">
        <v>15</v>
      </c>
      <c r="C2" t="s">
        <v>3</v>
      </c>
    </row>
    <row r="3" spans="1:5" x14ac:dyDescent="0.25">
      <c r="A3" t="s">
        <v>311</v>
      </c>
      <c r="B3">
        <v>13.3</v>
      </c>
      <c r="C3" t="s">
        <v>68</v>
      </c>
      <c r="D3" t="s">
        <v>2597</v>
      </c>
      <c r="E3" t="s">
        <v>2598</v>
      </c>
    </row>
    <row r="4" spans="1:5" x14ac:dyDescent="0.25">
      <c r="A4" t="s">
        <v>1907</v>
      </c>
      <c r="B4">
        <v>13.4</v>
      </c>
      <c r="C4" t="s">
        <v>34</v>
      </c>
      <c r="E4" t="s">
        <v>2599</v>
      </c>
    </row>
    <row r="5" spans="1:5" x14ac:dyDescent="0.25">
      <c r="A5" t="s">
        <v>1908</v>
      </c>
      <c r="B5">
        <v>13.3</v>
      </c>
      <c r="C5" t="s">
        <v>31</v>
      </c>
    </row>
    <row r="6" spans="1:5" x14ac:dyDescent="0.25">
      <c r="A6" t="s">
        <v>1909</v>
      </c>
      <c r="B6">
        <v>13.4</v>
      </c>
      <c r="C6" t="s">
        <v>240</v>
      </c>
    </row>
    <row r="7" spans="1:5" x14ac:dyDescent="0.25">
      <c r="A7" t="s">
        <v>1910</v>
      </c>
      <c r="B7">
        <v>13.6</v>
      </c>
      <c r="C7" t="s">
        <v>240</v>
      </c>
    </row>
    <row r="8" spans="1:5" x14ac:dyDescent="0.25">
      <c r="A8" t="s">
        <v>1911</v>
      </c>
      <c r="B8">
        <v>13.68</v>
      </c>
      <c r="C8" t="s">
        <v>409</v>
      </c>
    </row>
    <row r="9" spans="1:5" x14ac:dyDescent="0.25">
      <c r="A9" t="s">
        <v>1912</v>
      </c>
      <c r="B9">
        <v>14.1</v>
      </c>
      <c r="C9" t="s">
        <v>11</v>
      </c>
    </row>
    <row r="10" spans="1:5" x14ac:dyDescent="0.25">
      <c r="A10" t="s">
        <v>1913</v>
      </c>
      <c r="B10">
        <v>14</v>
      </c>
      <c r="C10" t="s">
        <v>6</v>
      </c>
    </row>
    <row r="11" spans="1:5" x14ac:dyDescent="0.25">
      <c r="A11" t="s">
        <v>1914</v>
      </c>
      <c r="B11">
        <v>12.5</v>
      </c>
      <c r="C11" t="s">
        <v>6</v>
      </c>
    </row>
    <row r="12" spans="1:5" x14ac:dyDescent="0.25">
      <c r="A12" t="s">
        <v>1915</v>
      </c>
      <c r="B12" t="s">
        <v>1916</v>
      </c>
      <c r="C12" t="s">
        <v>411</v>
      </c>
    </row>
    <row r="13" spans="1:5" x14ac:dyDescent="0.25">
      <c r="A13" t="s">
        <v>838</v>
      </c>
      <c r="B13" t="s">
        <v>1917</v>
      </c>
      <c r="C13" t="s">
        <v>6</v>
      </c>
    </row>
    <row r="14" spans="1:5" x14ac:dyDescent="0.25">
      <c r="A14" t="s">
        <v>1918</v>
      </c>
      <c r="B14" t="s">
        <v>1919</v>
      </c>
      <c r="C14" t="s">
        <v>409</v>
      </c>
    </row>
    <row r="15" spans="1:5" x14ac:dyDescent="0.25">
      <c r="A15" t="s">
        <v>1920</v>
      </c>
      <c r="B15" t="s">
        <v>1921</v>
      </c>
      <c r="C15" t="s">
        <v>240</v>
      </c>
    </row>
    <row r="16" spans="1:5" x14ac:dyDescent="0.25">
      <c r="A16" t="s">
        <v>1724</v>
      </c>
      <c r="B16" t="s">
        <v>1901</v>
      </c>
      <c r="C16" t="s">
        <v>240</v>
      </c>
    </row>
    <row r="17" spans="1:3" x14ac:dyDescent="0.25">
      <c r="A17" t="s">
        <v>1922</v>
      </c>
      <c r="B17">
        <v>14.42</v>
      </c>
      <c r="C17" t="s">
        <v>31</v>
      </c>
    </row>
    <row r="18" spans="1:3" x14ac:dyDescent="0.25">
      <c r="A18" t="s">
        <v>1923</v>
      </c>
      <c r="B18">
        <v>12.65</v>
      </c>
      <c r="C18" t="s">
        <v>34</v>
      </c>
    </row>
    <row r="19" spans="1:3" x14ac:dyDescent="0.25">
      <c r="A19" t="s">
        <v>1556</v>
      </c>
      <c r="B19">
        <v>11.6</v>
      </c>
      <c r="C19" t="s">
        <v>409</v>
      </c>
    </row>
    <row r="20" spans="1:3" x14ac:dyDescent="0.25">
      <c r="A20" t="s">
        <v>1924</v>
      </c>
      <c r="B20">
        <v>9.9</v>
      </c>
      <c r="C20" t="s">
        <v>26</v>
      </c>
    </row>
    <row r="21" spans="1:3" x14ac:dyDescent="0.25">
      <c r="A21" t="s">
        <v>1924</v>
      </c>
      <c r="B21">
        <v>15</v>
      </c>
    </row>
  </sheetData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5"/>
  <dimension ref="A1:C21"/>
  <sheetViews>
    <sheetView workbookViewId="0"/>
  </sheetViews>
  <sheetFormatPr defaultRowHeight="14" x14ac:dyDescent="0.25"/>
  <sheetData>
    <row r="1" spans="1:3" x14ac:dyDescent="0.25">
      <c r="A1" t="s">
        <v>1925</v>
      </c>
    </row>
    <row r="2" spans="1:3" x14ac:dyDescent="0.25">
      <c r="A2">
        <f>A3-18.47</f>
        <v>-36.489999999999995</v>
      </c>
      <c r="B2">
        <v>15</v>
      </c>
    </row>
    <row r="3" spans="1:3" x14ac:dyDescent="0.25">
      <c r="A3">
        <f>A4-2.52</f>
        <v>-18.02</v>
      </c>
      <c r="B3">
        <v>13.5</v>
      </c>
    </row>
    <row r="4" spans="1:3" x14ac:dyDescent="0.25">
      <c r="A4">
        <f>A5-7.55</f>
        <v>-15.5</v>
      </c>
      <c r="B4">
        <v>13</v>
      </c>
    </row>
    <row r="5" spans="1:3" x14ac:dyDescent="0.25">
      <c r="A5">
        <v>-7.95</v>
      </c>
      <c r="B5">
        <v>12.78</v>
      </c>
    </row>
    <row r="6" spans="1:3" x14ac:dyDescent="0.25">
      <c r="A6" t="s">
        <v>1</v>
      </c>
      <c r="B6" t="s">
        <v>1926</v>
      </c>
      <c r="C6" t="s">
        <v>3</v>
      </c>
    </row>
    <row r="7" spans="1:3" x14ac:dyDescent="0.25">
      <c r="A7" t="s">
        <v>1927</v>
      </c>
      <c r="B7" t="s">
        <v>1928</v>
      </c>
      <c r="C7" t="s">
        <v>409</v>
      </c>
    </row>
    <row r="8" spans="1:3" x14ac:dyDescent="0.25">
      <c r="A8">
        <f>A7+2.91</f>
        <v>4.84</v>
      </c>
      <c r="B8">
        <v>14.21</v>
      </c>
    </row>
    <row r="9" spans="1:3" x14ac:dyDescent="0.25">
      <c r="A9">
        <f>A8+10.48</f>
        <v>15.32</v>
      </c>
      <c r="B9">
        <f>B8-3.49</f>
        <v>10.72</v>
      </c>
    </row>
    <row r="10" spans="1:3" x14ac:dyDescent="0.25">
      <c r="A10">
        <f>A9+6</f>
        <v>21.32</v>
      </c>
      <c r="B10">
        <f>B9</f>
        <v>10.72</v>
      </c>
    </row>
    <row r="11" spans="1:3" x14ac:dyDescent="0.25">
      <c r="A11">
        <f>A10+9</f>
        <v>30.32</v>
      </c>
      <c r="B11">
        <f>B10+3</f>
        <v>13.72</v>
      </c>
    </row>
    <row r="12" spans="1:3" x14ac:dyDescent="0.25">
      <c r="A12">
        <f>A11+1.96</f>
        <v>32.28</v>
      </c>
      <c r="B12">
        <f>B11</f>
        <v>13.72</v>
      </c>
    </row>
    <row r="13" spans="1:3" x14ac:dyDescent="0.25">
      <c r="A13" t="s">
        <v>1930</v>
      </c>
      <c r="B13" t="s">
        <v>283</v>
      </c>
      <c r="C13" t="s">
        <v>1929</v>
      </c>
    </row>
    <row r="14" spans="1:3" x14ac:dyDescent="0.25">
      <c r="A14" t="s">
        <v>495</v>
      </c>
      <c r="B14" t="s">
        <v>1931</v>
      </c>
      <c r="C14" t="s">
        <v>34</v>
      </c>
    </row>
    <row r="15" spans="1:3" x14ac:dyDescent="0.25">
      <c r="A15" t="s">
        <v>1932</v>
      </c>
      <c r="B15" t="s">
        <v>1933</v>
      </c>
      <c r="C15" t="s">
        <v>31</v>
      </c>
    </row>
    <row r="16" spans="1:3" x14ac:dyDescent="0.25">
      <c r="A16" t="s">
        <v>1934</v>
      </c>
      <c r="B16" t="s">
        <v>1935</v>
      </c>
      <c r="C16" t="s">
        <v>240</v>
      </c>
    </row>
    <row r="17" spans="1:3" x14ac:dyDescent="0.25">
      <c r="A17" t="s">
        <v>1936</v>
      </c>
      <c r="B17" t="s">
        <v>1937</v>
      </c>
      <c r="C17" t="s">
        <v>240</v>
      </c>
    </row>
    <row r="18" spans="1:3" x14ac:dyDescent="0.25">
      <c r="A18" t="s">
        <v>1938</v>
      </c>
      <c r="B18" t="s">
        <v>1939</v>
      </c>
      <c r="C18" t="s">
        <v>409</v>
      </c>
    </row>
    <row r="19" spans="1:3" x14ac:dyDescent="0.25">
      <c r="A19" t="s">
        <v>1940</v>
      </c>
      <c r="B19" t="s">
        <v>1941</v>
      </c>
      <c r="C19" t="s">
        <v>411</v>
      </c>
    </row>
    <row r="20" spans="1:3" x14ac:dyDescent="0.25">
      <c r="A20" t="s">
        <v>1942</v>
      </c>
      <c r="B20" t="s">
        <v>1943</v>
      </c>
      <c r="C20" t="s">
        <v>68</v>
      </c>
    </row>
    <row r="21" spans="1:3" x14ac:dyDescent="0.25">
      <c r="A21" t="s">
        <v>24</v>
      </c>
      <c r="B21" t="s">
        <v>1884</v>
      </c>
      <c r="C21" t="s">
        <v>26</v>
      </c>
    </row>
  </sheetData>
  <phoneticPr fontId="1" type="noConversion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6">
    <tabColor theme="6"/>
  </sheetPr>
  <dimension ref="A1:C23"/>
  <sheetViews>
    <sheetView zoomScaleNormal="100" workbookViewId="0">
      <selection activeCell="C45" sqref="C45"/>
    </sheetView>
  </sheetViews>
  <sheetFormatPr defaultRowHeight="14" x14ac:dyDescent="0.25"/>
  <sheetData>
    <row r="1" spans="1:3" x14ac:dyDescent="0.25">
      <c r="A1" t="s">
        <v>1944</v>
      </c>
      <c r="B1" s="7" t="s">
        <v>2603</v>
      </c>
      <c r="C1" t="s">
        <v>2604</v>
      </c>
    </row>
    <row r="2" spans="1:3" x14ac:dyDescent="0.25">
      <c r="A2" t="s">
        <v>1</v>
      </c>
      <c r="B2" t="s">
        <v>1945</v>
      </c>
      <c r="C2" t="s">
        <v>3</v>
      </c>
    </row>
    <row r="3" spans="1:3" x14ac:dyDescent="0.25">
      <c r="A3" t="s">
        <v>1946</v>
      </c>
      <c r="B3" t="s">
        <v>1947</v>
      </c>
      <c r="C3" t="s">
        <v>6</v>
      </c>
    </row>
    <row r="4" spans="1:3" x14ac:dyDescent="0.25">
      <c r="A4" t="s">
        <v>1948</v>
      </c>
      <c r="B4" t="s">
        <v>1949</v>
      </c>
      <c r="C4" t="s">
        <v>411</v>
      </c>
    </row>
    <row r="5" spans="1:3" x14ac:dyDescent="0.25">
      <c r="A5" t="s">
        <v>1950</v>
      </c>
      <c r="B5" t="s">
        <v>1951</v>
      </c>
      <c r="C5" t="s">
        <v>409</v>
      </c>
    </row>
    <row r="6" spans="1:3" x14ac:dyDescent="0.25">
      <c r="A6" t="s">
        <v>1952</v>
      </c>
      <c r="B6" t="s">
        <v>1953</v>
      </c>
      <c r="C6" t="s">
        <v>357</v>
      </c>
    </row>
    <row r="7" spans="1:3" x14ac:dyDescent="0.25">
      <c r="A7" t="s">
        <v>494</v>
      </c>
      <c r="B7" t="s">
        <v>1954</v>
      </c>
      <c r="C7" t="s">
        <v>11</v>
      </c>
    </row>
    <row r="8" spans="1:3" x14ac:dyDescent="0.25">
      <c r="A8" t="s">
        <v>1955</v>
      </c>
      <c r="B8" t="s">
        <v>1956</v>
      </c>
      <c r="C8" t="s">
        <v>357</v>
      </c>
    </row>
    <row r="9" spans="1:3" x14ac:dyDescent="0.25">
      <c r="A9" t="s">
        <v>1957</v>
      </c>
      <c r="B9" t="s">
        <v>1958</v>
      </c>
      <c r="C9" t="s">
        <v>411</v>
      </c>
    </row>
    <row r="10" spans="1:3" x14ac:dyDescent="0.25">
      <c r="A10" t="s">
        <v>1959</v>
      </c>
      <c r="B10" t="s">
        <v>1960</v>
      </c>
      <c r="C10" t="s">
        <v>409</v>
      </c>
    </row>
    <row r="11" spans="1:3" x14ac:dyDescent="0.25">
      <c r="A11" t="s">
        <v>1961</v>
      </c>
      <c r="B11" t="s">
        <v>1962</v>
      </c>
      <c r="C11" t="s">
        <v>240</v>
      </c>
    </row>
    <row r="12" spans="1:3" x14ac:dyDescent="0.25">
      <c r="A12" t="s">
        <v>1963</v>
      </c>
      <c r="B12" t="s">
        <v>1964</v>
      </c>
      <c r="C12" t="s">
        <v>240</v>
      </c>
    </row>
    <row r="13" spans="1:3" x14ac:dyDescent="0.25">
      <c r="A13" t="s">
        <v>1965</v>
      </c>
      <c r="B13" t="s">
        <v>1966</v>
      </c>
      <c r="C13" t="s">
        <v>409</v>
      </c>
    </row>
    <row r="14" spans="1:3" x14ac:dyDescent="0.25">
      <c r="A14" t="s">
        <v>1967</v>
      </c>
      <c r="B14" t="s">
        <v>1968</v>
      </c>
      <c r="C14" t="s">
        <v>411</v>
      </c>
    </row>
    <row r="15" spans="1:3" x14ac:dyDescent="0.25">
      <c r="A15" t="s">
        <v>1969</v>
      </c>
      <c r="B15" t="s">
        <v>1657</v>
      </c>
      <c r="C15" t="s">
        <v>357</v>
      </c>
    </row>
    <row r="16" spans="1:3" x14ac:dyDescent="0.25">
      <c r="A16" t="s">
        <v>1970</v>
      </c>
      <c r="B16" t="s">
        <v>1971</v>
      </c>
      <c r="C16" t="s">
        <v>357</v>
      </c>
    </row>
    <row r="17" spans="1:3" x14ac:dyDescent="0.25">
      <c r="A17" t="s">
        <v>1972</v>
      </c>
      <c r="B17" t="s">
        <v>1973</v>
      </c>
      <c r="C17" t="s">
        <v>411</v>
      </c>
    </row>
    <row r="18" spans="1:3" x14ac:dyDescent="0.25">
      <c r="A18" t="s">
        <v>1974</v>
      </c>
      <c r="B18" t="s">
        <v>1975</v>
      </c>
      <c r="C18" t="s">
        <v>409</v>
      </c>
    </row>
    <row r="19" spans="1:3" x14ac:dyDescent="0.25">
      <c r="A19" t="s">
        <v>1976</v>
      </c>
      <c r="B19" t="s">
        <v>1977</v>
      </c>
      <c r="C19" t="s">
        <v>411</v>
      </c>
    </row>
    <row r="20" spans="1:3" x14ac:dyDescent="0.25">
      <c r="A20" t="s">
        <v>1978</v>
      </c>
      <c r="B20" t="s">
        <v>1979</v>
      </c>
      <c r="C20" t="s">
        <v>409</v>
      </c>
    </row>
    <row r="21" spans="1:3" x14ac:dyDescent="0.25">
      <c r="A21" t="s">
        <v>1980</v>
      </c>
      <c r="B21" t="s">
        <v>1981</v>
      </c>
      <c r="C21" t="s">
        <v>409</v>
      </c>
    </row>
    <row r="22" spans="1:3" x14ac:dyDescent="0.25">
      <c r="A22" t="s">
        <v>1982</v>
      </c>
      <c r="B22" t="s">
        <v>1983</v>
      </c>
      <c r="C22" t="s">
        <v>411</v>
      </c>
    </row>
    <row r="23" spans="1:3" x14ac:dyDescent="0.25">
      <c r="A23" t="s">
        <v>1984</v>
      </c>
      <c r="B23" t="s">
        <v>1985</v>
      </c>
      <c r="C23" t="s">
        <v>26</v>
      </c>
    </row>
  </sheetData>
  <phoneticPr fontId="1" type="noConversion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7"/>
  <dimension ref="A1:C30"/>
  <sheetViews>
    <sheetView workbookViewId="0"/>
  </sheetViews>
  <sheetFormatPr defaultRowHeight="14" x14ac:dyDescent="0.25"/>
  <sheetData>
    <row r="1" spans="1:3" x14ac:dyDescent="0.25">
      <c r="A1" t="s">
        <v>1986</v>
      </c>
    </row>
    <row r="2" spans="1:3" x14ac:dyDescent="0.25">
      <c r="A2">
        <f>A3-24.38</f>
        <v>-361.95</v>
      </c>
      <c r="B2">
        <v>15</v>
      </c>
    </row>
    <row r="3" spans="1:3" x14ac:dyDescent="0.25">
      <c r="A3">
        <f>A4-20.88</f>
        <v>-337.57</v>
      </c>
      <c r="B3">
        <v>10.25</v>
      </c>
    </row>
    <row r="4" spans="1:3" x14ac:dyDescent="0.25">
      <c r="A4">
        <f>A5-29.16</f>
        <v>-316.69</v>
      </c>
      <c r="B4">
        <v>10.199999999999999</v>
      </c>
    </row>
    <row r="5" spans="1:3" x14ac:dyDescent="0.25">
      <c r="A5">
        <f>A6-58.87</f>
        <v>-287.52999999999997</v>
      </c>
      <c r="B5">
        <v>12.59</v>
      </c>
    </row>
    <row r="6" spans="1:3" x14ac:dyDescent="0.25">
      <c r="A6">
        <f>A7-60.12</f>
        <v>-228.66</v>
      </c>
      <c r="B6">
        <v>12.78</v>
      </c>
    </row>
    <row r="7" spans="1:3" x14ac:dyDescent="0.25">
      <c r="A7">
        <f>A8-44.48</f>
        <v>-168.54</v>
      </c>
      <c r="B7">
        <v>12.82</v>
      </c>
    </row>
    <row r="8" spans="1:3" x14ac:dyDescent="0.25">
      <c r="A8">
        <f>A9-64.11</f>
        <v>-124.06</v>
      </c>
      <c r="B8">
        <v>12.77</v>
      </c>
    </row>
    <row r="9" spans="1:3" x14ac:dyDescent="0.25">
      <c r="A9">
        <v>-59.95</v>
      </c>
      <c r="B9">
        <v>12.62</v>
      </c>
    </row>
    <row r="10" spans="1:3" x14ac:dyDescent="0.25">
      <c r="A10" t="s">
        <v>1</v>
      </c>
      <c r="B10" t="s">
        <v>1987</v>
      </c>
      <c r="C10" t="s">
        <v>3</v>
      </c>
    </row>
    <row r="11" spans="1:3" x14ac:dyDescent="0.25">
      <c r="A11" t="s">
        <v>511</v>
      </c>
      <c r="B11" t="s">
        <v>1988</v>
      </c>
      <c r="C11" t="s">
        <v>357</v>
      </c>
    </row>
    <row r="12" spans="1:3" x14ac:dyDescent="0.25">
      <c r="A12" t="s">
        <v>1989</v>
      </c>
      <c r="B12" t="s">
        <v>1990</v>
      </c>
      <c r="C12" t="s">
        <v>357</v>
      </c>
    </row>
    <row r="13" spans="1:3" x14ac:dyDescent="0.25">
      <c r="A13" t="s">
        <v>298</v>
      </c>
      <c r="B13" t="s">
        <v>1991</v>
      </c>
      <c r="C13" t="s">
        <v>357</v>
      </c>
    </row>
    <row r="14" spans="1:3" x14ac:dyDescent="0.25">
      <c r="A14" t="s">
        <v>265</v>
      </c>
      <c r="B14" t="s">
        <v>1992</v>
      </c>
      <c r="C14" t="s">
        <v>11</v>
      </c>
    </row>
    <row r="15" spans="1:3" x14ac:dyDescent="0.25">
      <c r="A15" t="s">
        <v>1993</v>
      </c>
      <c r="B15" t="s">
        <v>1994</v>
      </c>
      <c r="C15" t="s">
        <v>357</v>
      </c>
    </row>
    <row r="16" spans="1:3" x14ac:dyDescent="0.25">
      <c r="A16" t="s">
        <v>1995</v>
      </c>
      <c r="B16" t="s">
        <v>1996</v>
      </c>
      <c r="C16" t="s">
        <v>357</v>
      </c>
    </row>
    <row r="17" spans="1:3" x14ac:dyDescent="0.25">
      <c r="A17" t="s">
        <v>1997</v>
      </c>
      <c r="B17" t="s">
        <v>1998</v>
      </c>
      <c r="C17" t="s">
        <v>357</v>
      </c>
    </row>
    <row r="18" spans="1:3" x14ac:dyDescent="0.25">
      <c r="A18" t="s">
        <v>1999</v>
      </c>
      <c r="B18" t="s">
        <v>2000</v>
      </c>
      <c r="C18" t="s">
        <v>411</v>
      </c>
    </row>
    <row r="19" spans="1:3" x14ac:dyDescent="0.25">
      <c r="A19" t="s">
        <v>2001</v>
      </c>
      <c r="B19" t="s">
        <v>1725</v>
      </c>
      <c r="C19" t="s">
        <v>409</v>
      </c>
    </row>
    <row r="20" spans="1:3" x14ac:dyDescent="0.25">
      <c r="A20" t="s">
        <v>2002</v>
      </c>
      <c r="B20" t="s">
        <v>2003</v>
      </c>
      <c r="C20" t="s">
        <v>240</v>
      </c>
    </row>
    <row r="21" spans="1:3" x14ac:dyDescent="0.25">
      <c r="A21" t="s">
        <v>2004</v>
      </c>
      <c r="B21" t="s">
        <v>944</v>
      </c>
      <c r="C21" t="s">
        <v>240</v>
      </c>
    </row>
    <row r="22" spans="1:3" x14ac:dyDescent="0.25">
      <c r="A22" t="s">
        <v>2005</v>
      </c>
      <c r="B22" t="s">
        <v>944</v>
      </c>
      <c r="C22" t="s">
        <v>409</v>
      </c>
    </row>
    <row r="23" spans="1:3" x14ac:dyDescent="0.25">
      <c r="A23">
        <f>A22+10.67</f>
        <v>79.31</v>
      </c>
      <c r="B23">
        <v>10.56</v>
      </c>
    </row>
    <row r="24" spans="1:3" x14ac:dyDescent="0.25">
      <c r="A24">
        <f>A23+6</f>
        <v>85.31</v>
      </c>
      <c r="B24">
        <f>B23</f>
        <v>10.56</v>
      </c>
    </row>
    <row r="25" spans="1:3" x14ac:dyDescent="0.25">
      <c r="A25">
        <f>A24+9</f>
        <v>94.31</v>
      </c>
      <c r="B25">
        <f>B24+3</f>
        <v>13.56</v>
      </c>
    </row>
    <row r="26" spans="1:3" x14ac:dyDescent="0.25">
      <c r="A26">
        <f>A25+1.52</f>
        <v>95.83</v>
      </c>
      <c r="B26">
        <f>B25</f>
        <v>13.56</v>
      </c>
    </row>
    <row r="27" spans="1:3" x14ac:dyDescent="0.25">
      <c r="A27" t="s">
        <v>2006</v>
      </c>
      <c r="B27" t="s">
        <v>2007</v>
      </c>
      <c r="C27" t="s">
        <v>409</v>
      </c>
    </row>
    <row r="28" spans="1:3" x14ac:dyDescent="0.25">
      <c r="A28" t="s">
        <v>2008</v>
      </c>
      <c r="B28" t="s">
        <v>880</v>
      </c>
      <c r="C28" t="s">
        <v>409</v>
      </c>
    </row>
    <row r="29" spans="1:3" x14ac:dyDescent="0.25">
      <c r="A29" t="s">
        <v>1772</v>
      </c>
      <c r="B29" t="s">
        <v>2009</v>
      </c>
      <c r="C29" t="s">
        <v>411</v>
      </c>
    </row>
    <row r="30" spans="1:3" x14ac:dyDescent="0.25">
      <c r="A30" t="s">
        <v>2010</v>
      </c>
      <c r="B30" t="s">
        <v>2011</v>
      </c>
      <c r="C30" t="s">
        <v>26</v>
      </c>
    </row>
  </sheetData>
  <phoneticPr fontId="1" type="noConversion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8"/>
  <dimension ref="A1:C34"/>
  <sheetViews>
    <sheetView workbookViewId="0"/>
  </sheetViews>
  <sheetFormatPr defaultRowHeight="14" x14ac:dyDescent="0.25"/>
  <sheetData>
    <row r="1" spans="1:3" x14ac:dyDescent="0.25">
      <c r="A1" t="s">
        <v>2012</v>
      </c>
    </row>
    <row r="2" spans="1:3" x14ac:dyDescent="0.25">
      <c r="A2">
        <f>A3-17.97</f>
        <v>-565.52</v>
      </c>
      <c r="B2">
        <v>15</v>
      </c>
    </row>
    <row r="3" spans="1:3" x14ac:dyDescent="0.25">
      <c r="A3">
        <f>A4-17.09</f>
        <v>-547.54999999999995</v>
      </c>
      <c r="B3">
        <v>10.49</v>
      </c>
    </row>
    <row r="4" spans="1:3" x14ac:dyDescent="0.25">
      <c r="A4">
        <f>A5-16.3</f>
        <v>-530.45999999999992</v>
      </c>
      <c r="B4">
        <v>12.62</v>
      </c>
    </row>
    <row r="5" spans="1:3" x14ac:dyDescent="0.25">
      <c r="A5">
        <f>A6-66.11</f>
        <v>-514.16</v>
      </c>
      <c r="B5">
        <v>12.59</v>
      </c>
    </row>
    <row r="6" spans="1:3" x14ac:dyDescent="0.25">
      <c r="A6">
        <f>A7-72.37</f>
        <v>-448.04999999999995</v>
      </c>
      <c r="B6">
        <v>12.71</v>
      </c>
    </row>
    <row r="7" spans="1:3" x14ac:dyDescent="0.25">
      <c r="A7">
        <f>A8-34.72</f>
        <v>-375.67999999999995</v>
      </c>
      <c r="B7">
        <v>12.63</v>
      </c>
    </row>
    <row r="8" spans="1:3" x14ac:dyDescent="0.25">
      <c r="A8">
        <f>A9-62.39</f>
        <v>-340.96</v>
      </c>
      <c r="B8">
        <v>12.69</v>
      </c>
    </row>
    <row r="9" spans="1:3" x14ac:dyDescent="0.25">
      <c r="A9">
        <f>A10-65.86</f>
        <v>-278.57</v>
      </c>
      <c r="B9">
        <v>12.83</v>
      </c>
    </row>
    <row r="10" spans="1:3" x14ac:dyDescent="0.25">
      <c r="A10">
        <f>A11-35.3</f>
        <v>-212.70999999999998</v>
      </c>
      <c r="B10">
        <v>12.78</v>
      </c>
    </row>
    <row r="11" spans="1:3" x14ac:dyDescent="0.25">
      <c r="A11">
        <f>A12-63.98</f>
        <v>-177.41</v>
      </c>
      <c r="B11">
        <v>12.73</v>
      </c>
    </row>
    <row r="12" spans="1:3" x14ac:dyDescent="0.25">
      <c r="A12">
        <f>A13-63.55</f>
        <v>-113.43</v>
      </c>
      <c r="B12">
        <v>12.45</v>
      </c>
    </row>
    <row r="13" spans="1:3" x14ac:dyDescent="0.25">
      <c r="A13">
        <v>-49.88</v>
      </c>
      <c r="B13">
        <v>12.47</v>
      </c>
    </row>
    <row r="14" spans="1:3" x14ac:dyDescent="0.25">
      <c r="A14" t="s">
        <v>1</v>
      </c>
      <c r="B14" t="s">
        <v>2013</v>
      </c>
      <c r="C14" t="s">
        <v>3</v>
      </c>
    </row>
    <row r="15" spans="1:3" x14ac:dyDescent="0.25">
      <c r="A15" t="s">
        <v>583</v>
      </c>
      <c r="B15" t="s">
        <v>2014</v>
      </c>
      <c r="C15" t="s">
        <v>357</v>
      </c>
    </row>
    <row r="16" spans="1:3" x14ac:dyDescent="0.25">
      <c r="A16" t="s">
        <v>2015</v>
      </c>
      <c r="B16" t="s">
        <v>2016</v>
      </c>
      <c r="C16" t="s">
        <v>357</v>
      </c>
    </row>
    <row r="17" spans="1:3" x14ac:dyDescent="0.25">
      <c r="A17" t="s">
        <v>2017</v>
      </c>
      <c r="B17" t="s">
        <v>2018</v>
      </c>
      <c r="C17" t="s">
        <v>357</v>
      </c>
    </row>
    <row r="18" spans="1:3" x14ac:dyDescent="0.25">
      <c r="A18" t="s">
        <v>525</v>
      </c>
      <c r="B18" t="s">
        <v>2019</v>
      </c>
      <c r="C18" t="s">
        <v>11</v>
      </c>
    </row>
    <row r="19" spans="1:3" x14ac:dyDescent="0.25">
      <c r="A19" t="s">
        <v>2020</v>
      </c>
      <c r="B19" t="s">
        <v>725</v>
      </c>
      <c r="C19" t="s">
        <v>357</v>
      </c>
    </row>
    <row r="20" spans="1:3" x14ac:dyDescent="0.25">
      <c r="A20" t="s">
        <v>2021</v>
      </c>
      <c r="B20" t="s">
        <v>2022</v>
      </c>
      <c r="C20" t="s">
        <v>357</v>
      </c>
    </row>
    <row r="21" spans="1:3" x14ac:dyDescent="0.25">
      <c r="A21" t="s">
        <v>2023</v>
      </c>
      <c r="B21" t="s">
        <v>2024</v>
      </c>
      <c r="C21" t="s">
        <v>411</v>
      </c>
    </row>
    <row r="22" spans="1:3" x14ac:dyDescent="0.25">
      <c r="A22">
        <v>58.1</v>
      </c>
      <c r="B22">
        <v>13.48</v>
      </c>
    </row>
    <row r="23" spans="1:3" x14ac:dyDescent="0.25">
      <c r="A23">
        <f>A22+4.48</f>
        <v>62.58</v>
      </c>
      <c r="B23">
        <f>B22</f>
        <v>13.48</v>
      </c>
    </row>
    <row r="24" spans="1:3" x14ac:dyDescent="0.25">
      <c r="A24">
        <f>A23+9</f>
        <v>71.58</v>
      </c>
      <c r="B24">
        <f>B23-3</f>
        <v>10.48</v>
      </c>
    </row>
    <row r="25" spans="1:3" x14ac:dyDescent="0.25">
      <c r="A25">
        <f>A24+9.61</f>
        <v>81.19</v>
      </c>
      <c r="B25">
        <f>B24</f>
        <v>10.48</v>
      </c>
    </row>
    <row r="26" spans="1:3" x14ac:dyDescent="0.25">
      <c r="A26" t="s">
        <v>2029</v>
      </c>
      <c r="B26" t="s">
        <v>2030</v>
      </c>
      <c r="C26" t="s">
        <v>411</v>
      </c>
    </row>
    <row r="27" spans="1:3" x14ac:dyDescent="0.25">
      <c r="A27" t="s">
        <v>2031</v>
      </c>
      <c r="B27" t="s">
        <v>2032</v>
      </c>
      <c r="C27" t="s">
        <v>409</v>
      </c>
    </row>
    <row r="28" spans="1:3" x14ac:dyDescent="0.25">
      <c r="A28" t="s">
        <v>2033</v>
      </c>
      <c r="B28" t="s">
        <v>2034</v>
      </c>
      <c r="C28" t="s">
        <v>6</v>
      </c>
    </row>
    <row r="29" spans="1:3" x14ac:dyDescent="0.25">
      <c r="A29" t="s">
        <v>2035</v>
      </c>
      <c r="B29" t="s">
        <v>2036</v>
      </c>
      <c r="C29" t="s">
        <v>34</v>
      </c>
    </row>
    <row r="30" spans="1:3" x14ac:dyDescent="0.25">
      <c r="A30" t="s">
        <v>2037</v>
      </c>
      <c r="B30" t="s">
        <v>2038</v>
      </c>
      <c r="C30" t="s">
        <v>31</v>
      </c>
    </row>
    <row r="31" spans="1:3" x14ac:dyDescent="0.25">
      <c r="A31" t="s">
        <v>2039</v>
      </c>
      <c r="B31" t="s">
        <v>2025</v>
      </c>
      <c r="C31" t="s">
        <v>31</v>
      </c>
    </row>
    <row r="32" spans="1:3" x14ac:dyDescent="0.25">
      <c r="A32" t="s">
        <v>2040</v>
      </c>
      <c r="B32" t="s">
        <v>2041</v>
      </c>
      <c r="C32" t="s">
        <v>34</v>
      </c>
    </row>
    <row r="33" spans="1:3" x14ac:dyDescent="0.25">
      <c r="A33" t="s">
        <v>2042</v>
      </c>
      <c r="B33" t="s">
        <v>2043</v>
      </c>
      <c r="C33" t="s">
        <v>649</v>
      </c>
    </row>
    <row r="34" spans="1:3" x14ac:dyDescent="0.25">
      <c r="A34" t="s">
        <v>2044</v>
      </c>
      <c r="B34" t="s">
        <v>2045</v>
      </c>
      <c r="C34" t="s">
        <v>26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9"/>
  <dimension ref="A1:C34"/>
  <sheetViews>
    <sheetView workbookViewId="0"/>
  </sheetViews>
  <sheetFormatPr defaultRowHeight="14" x14ac:dyDescent="0.25"/>
  <sheetData>
    <row r="1" spans="1:2" x14ac:dyDescent="0.25">
      <c r="A1" t="s">
        <v>2046</v>
      </c>
    </row>
    <row r="2" spans="1:2" x14ac:dyDescent="0.25">
      <c r="A2">
        <f>A3-17.45</f>
        <v>-583.64</v>
      </c>
      <c r="B2">
        <v>15</v>
      </c>
    </row>
    <row r="3" spans="1:2" x14ac:dyDescent="0.25">
      <c r="A3">
        <f>A4-8.13</f>
        <v>-566.18999999999994</v>
      </c>
      <c r="B3">
        <v>9.77</v>
      </c>
    </row>
    <row r="4" spans="1:2" x14ac:dyDescent="0.25">
      <c r="A4">
        <f>A5-17.3</f>
        <v>-558.05999999999995</v>
      </c>
      <c r="B4">
        <v>12.12</v>
      </c>
    </row>
    <row r="5" spans="1:2" x14ac:dyDescent="0.25">
      <c r="A5">
        <f>A6-42.91</f>
        <v>-540.76</v>
      </c>
      <c r="B5">
        <v>12.22</v>
      </c>
    </row>
    <row r="6" spans="1:2" x14ac:dyDescent="0.25">
      <c r="A6">
        <f>A7-61.33</f>
        <v>-497.85</v>
      </c>
      <c r="B6">
        <v>12.45</v>
      </c>
    </row>
    <row r="7" spans="1:2" x14ac:dyDescent="0.25">
      <c r="A7">
        <f>A8-65.56</f>
        <v>-436.52000000000004</v>
      </c>
      <c r="B7">
        <v>12.48</v>
      </c>
    </row>
    <row r="8" spans="1:2" x14ac:dyDescent="0.25">
      <c r="A8">
        <f>A9-40.05</f>
        <v>-370.96000000000004</v>
      </c>
      <c r="B8">
        <v>12.54</v>
      </c>
    </row>
    <row r="9" spans="1:2" x14ac:dyDescent="0.25">
      <c r="A9">
        <f>A10-18.83</f>
        <v>-330.91</v>
      </c>
      <c r="B9">
        <v>12.25</v>
      </c>
    </row>
    <row r="10" spans="1:2" x14ac:dyDescent="0.25">
      <c r="A10">
        <f>A11-44.26</f>
        <v>-312.08000000000004</v>
      </c>
      <c r="B10">
        <v>12.47</v>
      </c>
    </row>
    <row r="11" spans="1:2" x14ac:dyDescent="0.25">
      <c r="A11">
        <f>A12-65.09</f>
        <v>-267.82000000000005</v>
      </c>
      <c r="B11">
        <v>12.39</v>
      </c>
    </row>
    <row r="12" spans="1:2" x14ac:dyDescent="0.25">
      <c r="A12">
        <f>A13-36.95</f>
        <v>-202.73000000000002</v>
      </c>
      <c r="B12">
        <v>12.31</v>
      </c>
    </row>
    <row r="13" spans="1:2" x14ac:dyDescent="0.25">
      <c r="A13">
        <f>A14-63.17</f>
        <v>-165.78000000000003</v>
      </c>
      <c r="B13">
        <v>12.45</v>
      </c>
    </row>
    <row r="14" spans="1:2" x14ac:dyDescent="0.25">
      <c r="A14">
        <f>A15-38.99</f>
        <v>-102.61000000000001</v>
      </c>
      <c r="B14">
        <v>12.18</v>
      </c>
    </row>
    <row r="15" spans="1:2" x14ac:dyDescent="0.25">
      <c r="A15">
        <f>A16-24.51</f>
        <v>-63.620000000000005</v>
      </c>
      <c r="B15">
        <v>12.32</v>
      </c>
    </row>
    <row r="16" spans="1:2" x14ac:dyDescent="0.25">
      <c r="A16">
        <v>-39.11</v>
      </c>
      <c r="B16">
        <v>12.21</v>
      </c>
    </row>
    <row r="17" spans="1:3" x14ac:dyDescent="0.25">
      <c r="A17" t="s">
        <v>1</v>
      </c>
      <c r="B17" t="s">
        <v>2047</v>
      </c>
      <c r="C17" t="s">
        <v>3</v>
      </c>
    </row>
    <row r="18" spans="1:3" x14ac:dyDescent="0.25">
      <c r="A18" t="s">
        <v>918</v>
      </c>
      <c r="B18" t="s">
        <v>2048</v>
      </c>
      <c r="C18" t="s">
        <v>68</v>
      </c>
    </row>
    <row r="19" spans="1:3" x14ac:dyDescent="0.25">
      <c r="A19" t="s">
        <v>525</v>
      </c>
      <c r="B19" t="s">
        <v>2049</v>
      </c>
      <c r="C19" t="s">
        <v>11</v>
      </c>
    </row>
    <row r="20" spans="1:3" x14ac:dyDescent="0.25">
      <c r="A20" t="s">
        <v>2050</v>
      </c>
      <c r="B20" t="s">
        <v>2051</v>
      </c>
      <c r="C20" t="s">
        <v>68</v>
      </c>
    </row>
    <row r="21" spans="1:3" x14ac:dyDescent="0.25">
      <c r="A21" t="s">
        <v>2052</v>
      </c>
      <c r="B21" t="s">
        <v>2053</v>
      </c>
      <c r="C21" t="s">
        <v>411</v>
      </c>
    </row>
    <row r="22" spans="1:3" x14ac:dyDescent="0.25">
      <c r="A22" t="s">
        <v>2054</v>
      </c>
      <c r="B22" t="s">
        <v>461</v>
      </c>
      <c r="C22" t="s">
        <v>409</v>
      </c>
    </row>
    <row r="23" spans="1:3" x14ac:dyDescent="0.25">
      <c r="A23">
        <v>50.79</v>
      </c>
      <c r="B23">
        <v>13.66</v>
      </c>
    </row>
    <row r="24" spans="1:3" x14ac:dyDescent="0.25">
      <c r="A24">
        <f>A23+3.65</f>
        <v>54.44</v>
      </c>
      <c r="B24">
        <f>B23</f>
        <v>13.66</v>
      </c>
    </row>
    <row r="25" spans="1:3" x14ac:dyDescent="0.25">
      <c r="A25">
        <f>A24+9.79</f>
        <v>64.22999999999999</v>
      </c>
      <c r="B25">
        <f>B24-3.26</f>
        <v>10.4</v>
      </c>
    </row>
    <row r="26" spans="1:3" x14ac:dyDescent="0.25">
      <c r="A26">
        <f>A25+10.66</f>
        <v>74.889999999999986</v>
      </c>
      <c r="B26">
        <f>B25</f>
        <v>10.4</v>
      </c>
    </row>
    <row r="27" spans="1:3" x14ac:dyDescent="0.25">
      <c r="A27" t="s">
        <v>2056</v>
      </c>
      <c r="B27" t="s">
        <v>2057</v>
      </c>
      <c r="C27" t="s">
        <v>409</v>
      </c>
    </row>
    <row r="28" spans="1:3" x14ac:dyDescent="0.25">
      <c r="A28" t="s">
        <v>2058</v>
      </c>
      <c r="B28" t="s">
        <v>2059</v>
      </c>
      <c r="C28" t="s">
        <v>411</v>
      </c>
    </row>
    <row r="29" spans="1:3" x14ac:dyDescent="0.25">
      <c r="A29" t="s">
        <v>2060</v>
      </c>
      <c r="B29" t="s">
        <v>2061</v>
      </c>
      <c r="C29" t="s">
        <v>409</v>
      </c>
    </row>
    <row r="30" spans="1:3" x14ac:dyDescent="0.25">
      <c r="A30" t="s">
        <v>2062</v>
      </c>
      <c r="B30" t="s">
        <v>2063</v>
      </c>
      <c r="C30" t="s">
        <v>409</v>
      </c>
    </row>
    <row r="31" spans="1:3" x14ac:dyDescent="0.25">
      <c r="A31" t="s">
        <v>2064</v>
      </c>
      <c r="B31" t="s">
        <v>2065</v>
      </c>
      <c r="C31" t="s">
        <v>411</v>
      </c>
    </row>
    <row r="32" spans="1:3" x14ac:dyDescent="0.25">
      <c r="A32" t="s">
        <v>2066</v>
      </c>
      <c r="B32" t="s">
        <v>2067</v>
      </c>
      <c r="C32" t="s">
        <v>6</v>
      </c>
    </row>
    <row r="33" spans="1:3" x14ac:dyDescent="0.25">
      <c r="A33" t="s">
        <v>2068</v>
      </c>
      <c r="B33" t="s">
        <v>2069</v>
      </c>
      <c r="C33" t="s">
        <v>26</v>
      </c>
    </row>
    <row r="34" spans="1:3" x14ac:dyDescent="0.25">
      <c r="A34" t="s">
        <v>2068</v>
      </c>
      <c r="B34">
        <v>20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100"/>
  <dimension ref="A1:C38"/>
  <sheetViews>
    <sheetView topLeftCell="A6" workbookViewId="0"/>
  </sheetViews>
  <sheetFormatPr defaultRowHeight="14" x14ac:dyDescent="0.25"/>
  <sheetData>
    <row r="1" spans="1:2" x14ac:dyDescent="0.25">
      <c r="A1" t="s">
        <v>2070</v>
      </c>
    </row>
    <row r="2" spans="1:2" x14ac:dyDescent="0.25">
      <c r="A2">
        <f>A3-22.58</f>
        <v>-465.65000000000003</v>
      </c>
      <c r="B2">
        <v>15</v>
      </c>
    </row>
    <row r="3" spans="1:2" x14ac:dyDescent="0.25">
      <c r="A3">
        <f>A4-25.87</f>
        <v>-443.07000000000005</v>
      </c>
      <c r="B3">
        <v>12.32</v>
      </c>
    </row>
    <row r="4" spans="1:2" x14ac:dyDescent="0.25">
      <c r="A4">
        <f>A5-37.48</f>
        <v>-417.20000000000005</v>
      </c>
      <c r="B4">
        <v>12.25</v>
      </c>
    </row>
    <row r="5" spans="1:2" x14ac:dyDescent="0.25">
      <c r="A5">
        <f>A6-39.02</f>
        <v>-379.72</v>
      </c>
      <c r="B5">
        <v>12.26</v>
      </c>
    </row>
    <row r="6" spans="1:2" x14ac:dyDescent="0.25">
      <c r="A6">
        <f>A7-26.36</f>
        <v>-340.70000000000005</v>
      </c>
      <c r="B6">
        <v>12.26</v>
      </c>
    </row>
    <row r="7" spans="1:2" x14ac:dyDescent="0.25">
      <c r="A7">
        <f>A8-39.2</f>
        <v>-314.34000000000003</v>
      </c>
      <c r="B7">
        <v>12.42</v>
      </c>
    </row>
    <row r="8" spans="1:2" x14ac:dyDescent="0.25">
      <c r="A8">
        <f>A9-20.3</f>
        <v>-275.14000000000004</v>
      </c>
      <c r="B8">
        <v>12.44</v>
      </c>
    </row>
    <row r="9" spans="1:2" x14ac:dyDescent="0.25">
      <c r="A9">
        <f>A10-37.89</f>
        <v>-254.84000000000003</v>
      </c>
      <c r="B9">
        <v>12.44</v>
      </c>
    </row>
    <row r="10" spans="1:2" x14ac:dyDescent="0.25">
      <c r="A10">
        <f>A11-19.49</f>
        <v>-216.95000000000002</v>
      </c>
      <c r="B10">
        <v>12.25</v>
      </c>
    </row>
    <row r="11" spans="1:2" x14ac:dyDescent="0.25">
      <c r="A11">
        <f>A12-22.6</f>
        <v>-197.46</v>
      </c>
      <c r="B11">
        <v>12.24</v>
      </c>
    </row>
    <row r="12" spans="1:2" x14ac:dyDescent="0.25">
      <c r="A12">
        <f>A13-24.28</f>
        <v>-174.86</v>
      </c>
      <c r="B12">
        <v>12.2</v>
      </c>
    </row>
    <row r="13" spans="1:2" x14ac:dyDescent="0.25">
      <c r="A13">
        <f>A14-36.19</f>
        <v>-150.58000000000001</v>
      </c>
      <c r="B13">
        <v>12.22</v>
      </c>
    </row>
    <row r="14" spans="1:2" x14ac:dyDescent="0.25">
      <c r="A14">
        <f>A15-23.95</f>
        <v>-114.39000000000001</v>
      </c>
      <c r="B14">
        <v>12.11</v>
      </c>
    </row>
    <row r="15" spans="1:2" x14ac:dyDescent="0.25">
      <c r="A15">
        <f>A16-11.87</f>
        <v>-90.440000000000012</v>
      </c>
      <c r="B15">
        <v>12.1</v>
      </c>
    </row>
    <row r="16" spans="1:2" x14ac:dyDescent="0.25">
      <c r="A16">
        <f>A17-23.87</f>
        <v>-78.570000000000007</v>
      </c>
      <c r="B16">
        <v>12.12</v>
      </c>
    </row>
    <row r="17" spans="1:3" x14ac:dyDescent="0.25">
      <c r="A17">
        <f>A18-23.99</f>
        <v>-54.7</v>
      </c>
      <c r="B17">
        <v>12.15</v>
      </c>
    </row>
    <row r="18" spans="1:3" x14ac:dyDescent="0.25">
      <c r="A18">
        <f>A19-13.95</f>
        <v>-30.71</v>
      </c>
      <c r="B18">
        <v>12.1</v>
      </c>
    </row>
    <row r="19" spans="1:3" x14ac:dyDescent="0.25">
      <c r="A19">
        <v>-16.760000000000002</v>
      </c>
      <c r="B19">
        <v>12.15</v>
      </c>
    </row>
    <row r="20" spans="1:3" x14ac:dyDescent="0.25">
      <c r="A20" t="s">
        <v>1</v>
      </c>
      <c r="B20" t="s">
        <v>2071</v>
      </c>
      <c r="C20" t="s">
        <v>3</v>
      </c>
    </row>
    <row r="21" spans="1:3" x14ac:dyDescent="0.25">
      <c r="A21" t="s">
        <v>774</v>
      </c>
      <c r="B21" t="s">
        <v>2072</v>
      </c>
      <c r="C21" t="s">
        <v>357</v>
      </c>
    </row>
    <row r="22" spans="1:3" x14ac:dyDescent="0.25">
      <c r="A22" t="s">
        <v>2073</v>
      </c>
      <c r="B22" t="s">
        <v>2074</v>
      </c>
      <c r="C22" t="s">
        <v>357</v>
      </c>
    </row>
    <row r="23" spans="1:3" x14ac:dyDescent="0.25">
      <c r="A23" t="s">
        <v>1885</v>
      </c>
      <c r="B23" t="s">
        <v>2075</v>
      </c>
      <c r="C23" t="s">
        <v>11</v>
      </c>
    </row>
    <row r="24" spans="1:3" x14ac:dyDescent="0.25">
      <c r="A24" t="s">
        <v>2076</v>
      </c>
      <c r="B24" t="s">
        <v>2077</v>
      </c>
      <c r="C24" t="s">
        <v>357</v>
      </c>
    </row>
    <row r="25" spans="1:3" x14ac:dyDescent="0.25">
      <c r="A25" t="s">
        <v>2078</v>
      </c>
      <c r="B25" t="s">
        <v>2009</v>
      </c>
      <c r="C25" t="s">
        <v>34</v>
      </c>
    </row>
    <row r="26" spans="1:3" x14ac:dyDescent="0.25">
      <c r="A26">
        <f>45+2.71</f>
        <v>47.71</v>
      </c>
      <c r="B26">
        <v>13.35</v>
      </c>
    </row>
    <row r="27" spans="1:3" x14ac:dyDescent="0.25">
      <c r="A27">
        <f>A26+10.6</f>
        <v>58.31</v>
      </c>
      <c r="B27">
        <f>B26-3.53</f>
        <v>9.82</v>
      </c>
    </row>
    <row r="28" spans="1:3" x14ac:dyDescent="0.25">
      <c r="A28">
        <f>A27+9.38</f>
        <v>67.69</v>
      </c>
      <c r="B28">
        <f>B27</f>
        <v>9.82</v>
      </c>
    </row>
    <row r="29" spans="1:3" x14ac:dyDescent="0.25">
      <c r="A29" t="s">
        <v>1450</v>
      </c>
      <c r="B29" t="s">
        <v>2079</v>
      </c>
      <c r="C29" t="s">
        <v>6</v>
      </c>
    </row>
    <row r="30" spans="1:3" x14ac:dyDescent="0.25">
      <c r="A30" t="s">
        <v>2080</v>
      </c>
      <c r="B30" t="s">
        <v>2081</v>
      </c>
      <c r="C30" t="s">
        <v>409</v>
      </c>
    </row>
    <row r="31" spans="1:3" x14ac:dyDescent="0.25">
      <c r="A31" t="s">
        <v>2082</v>
      </c>
      <c r="B31" t="s">
        <v>2083</v>
      </c>
      <c r="C31" t="s">
        <v>411</v>
      </c>
    </row>
    <row r="32" spans="1:3" x14ac:dyDescent="0.25">
      <c r="A32" t="s">
        <v>2084</v>
      </c>
      <c r="B32" t="s">
        <v>1962</v>
      </c>
      <c r="C32" t="s">
        <v>409</v>
      </c>
    </row>
    <row r="33" spans="1:3" x14ac:dyDescent="0.25">
      <c r="A33" t="s">
        <v>1735</v>
      </c>
      <c r="B33" t="s">
        <v>2085</v>
      </c>
      <c r="C33" t="s">
        <v>409</v>
      </c>
    </row>
    <row r="34" spans="1:3" x14ac:dyDescent="0.25">
      <c r="A34" t="s">
        <v>2086</v>
      </c>
      <c r="B34" t="s">
        <v>2087</v>
      </c>
      <c r="C34" t="s">
        <v>411</v>
      </c>
    </row>
    <row r="35" spans="1:3" x14ac:dyDescent="0.25">
      <c r="A35" t="s">
        <v>2088</v>
      </c>
      <c r="B35" t="s">
        <v>2089</v>
      </c>
      <c r="C35" t="s">
        <v>240</v>
      </c>
    </row>
    <row r="36" spans="1:3" x14ac:dyDescent="0.25">
      <c r="A36" t="s">
        <v>2090</v>
      </c>
      <c r="B36" t="s">
        <v>2091</v>
      </c>
      <c r="C36" t="s">
        <v>240</v>
      </c>
    </row>
    <row r="37" spans="1:3" x14ac:dyDescent="0.25">
      <c r="A37" t="s">
        <v>2092</v>
      </c>
      <c r="B37" t="s">
        <v>2093</v>
      </c>
      <c r="C37" t="s">
        <v>68</v>
      </c>
    </row>
    <row r="38" spans="1:3" x14ac:dyDescent="0.25">
      <c r="A38" t="s">
        <v>2094</v>
      </c>
      <c r="B38" t="s">
        <v>2095</v>
      </c>
      <c r="C38" t="s">
        <v>26</v>
      </c>
    </row>
  </sheetData>
  <phoneticPr fontId="1" type="noConversion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1"/>
  <dimension ref="A1:C36"/>
  <sheetViews>
    <sheetView topLeftCell="A11" workbookViewId="0"/>
  </sheetViews>
  <sheetFormatPr defaultRowHeight="14" x14ac:dyDescent="0.25"/>
  <sheetData>
    <row r="1" spans="1:3" x14ac:dyDescent="0.25">
      <c r="A1" t="s">
        <v>2096</v>
      </c>
    </row>
    <row r="2" spans="1:3" x14ac:dyDescent="0.25">
      <c r="A2">
        <f>A3-73.26</f>
        <v>-295.39999999999998</v>
      </c>
      <c r="B2">
        <v>15</v>
      </c>
    </row>
    <row r="3" spans="1:3" x14ac:dyDescent="0.25">
      <c r="A3">
        <f>A4-31.49</f>
        <v>-222.14</v>
      </c>
      <c r="B3">
        <v>12.03</v>
      </c>
    </row>
    <row r="4" spans="1:3" x14ac:dyDescent="0.25">
      <c r="A4">
        <f>A5-36.83</f>
        <v>-190.64999999999998</v>
      </c>
      <c r="B4">
        <v>12.03</v>
      </c>
    </row>
    <row r="5" spans="1:3" x14ac:dyDescent="0.25">
      <c r="A5">
        <f>A6-26.24</f>
        <v>-153.82</v>
      </c>
      <c r="B5">
        <v>12.3</v>
      </c>
    </row>
    <row r="6" spans="1:3" x14ac:dyDescent="0.25">
      <c r="A6">
        <f>A7-6.22</f>
        <v>-127.57999999999998</v>
      </c>
      <c r="B6">
        <v>12.23</v>
      </c>
    </row>
    <row r="7" spans="1:3" x14ac:dyDescent="0.25">
      <c r="A7">
        <f>A8-20.07</f>
        <v>-121.35999999999999</v>
      </c>
      <c r="B7">
        <v>12.34</v>
      </c>
    </row>
    <row r="8" spans="1:3" x14ac:dyDescent="0.25">
      <c r="A8">
        <f>A9-37.6</f>
        <v>-101.28999999999999</v>
      </c>
      <c r="B8">
        <v>12.26</v>
      </c>
    </row>
    <row r="9" spans="1:3" x14ac:dyDescent="0.25">
      <c r="A9">
        <f>A10-29.51</f>
        <v>-63.69</v>
      </c>
      <c r="B9">
        <v>12.38</v>
      </c>
    </row>
    <row r="10" spans="1:3" x14ac:dyDescent="0.25">
      <c r="A10">
        <f>-34.18</f>
        <v>-34.18</v>
      </c>
      <c r="B10">
        <v>12.12</v>
      </c>
    </row>
    <row r="11" spans="1:3" x14ac:dyDescent="0.25">
      <c r="A11" t="s">
        <v>1</v>
      </c>
      <c r="B11" t="s">
        <v>2097</v>
      </c>
      <c r="C11" t="s">
        <v>3</v>
      </c>
    </row>
    <row r="12" spans="1:3" x14ac:dyDescent="0.25">
      <c r="A12" t="s">
        <v>2098</v>
      </c>
      <c r="B12" t="s">
        <v>2099</v>
      </c>
      <c r="C12" t="s">
        <v>357</v>
      </c>
    </row>
    <row r="13" spans="1:3" x14ac:dyDescent="0.25">
      <c r="A13" t="s">
        <v>2028</v>
      </c>
      <c r="B13" t="s">
        <v>2100</v>
      </c>
      <c r="C13" t="s">
        <v>409</v>
      </c>
    </row>
    <row r="14" spans="1:3" x14ac:dyDescent="0.25">
      <c r="A14" t="s">
        <v>2101</v>
      </c>
      <c r="B14" t="s">
        <v>2102</v>
      </c>
      <c r="C14" t="s">
        <v>411</v>
      </c>
    </row>
    <row r="15" spans="1:3" x14ac:dyDescent="0.25">
      <c r="A15" t="s">
        <v>2103</v>
      </c>
      <c r="B15" t="s">
        <v>2104</v>
      </c>
      <c r="C15" t="s">
        <v>6</v>
      </c>
    </row>
    <row r="16" spans="1:3" x14ac:dyDescent="0.25">
      <c r="A16" t="s">
        <v>1660</v>
      </c>
      <c r="B16" t="s">
        <v>2105</v>
      </c>
      <c r="C16" t="s">
        <v>11</v>
      </c>
    </row>
    <row r="17" spans="1:3" x14ac:dyDescent="0.25">
      <c r="A17" t="s">
        <v>2106</v>
      </c>
      <c r="B17" t="s">
        <v>2107</v>
      </c>
      <c r="C17" t="s">
        <v>409</v>
      </c>
    </row>
    <row r="18" spans="1:3" x14ac:dyDescent="0.25">
      <c r="A18" t="s">
        <v>2108</v>
      </c>
      <c r="B18" t="s">
        <v>2109</v>
      </c>
      <c r="C18" t="s">
        <v>411</v>
      </c>
    </row>
    <row r="19" spans="1:3" x14ac:dyDescent="0.25">
      <c r="A19" t="s">
        <v>92</v>
      </c>
      <c r="B19" t="s">
        <v>2110</v>
      </c>
      <c r="C19" t="s">
        <v>357</v>
      </c>
    </row>
    <row r="20" spans="1:3" x14ac:dyDescent="0.25">
      <c r="A20" t="s">
        <v>2111</v>
      </c>
      <c r="B20" t="s">
        <v>2112</v>
      </c>
      <c r="C20" t="s">
        <v>411</v>
      </c>
    </row>
    <row r="21" spans="1:3" x14ac:dyDescent="0.25">
      <c r="A21" t="s">
        <v>24</v>
      </c>
      <c r="B21" t="s">
        <v>2113</v>
      </c>
      <c r="C21" t="s">
        <v>409</v>
      </c>
    </row>
    <row r="22" spans="1:3" x14ac:dyDescent="0.25">
      <c r="A22" t="s">
        <v>2114</v>
      </c>
      <c r="B22" t="s">
        <v>2115</v>
      </c>
      <c r="C22" t="s">
        <v>34</v>
      </c>
    </row>
    <row r="23" spans="1:3" x14ac:dyDescent="0.25">
      <c r="A23" t="s">
        <v>2116</v>
      </c>
      <c r="B23" t="s">
        <v>2117</v>
      </c>
      <c r="C23" t="s">
        <v>31</v>
      </c>
    </row>
    <row r="24" spans="1:3" x14ac:dyDescent="0.25">
      <c r="A24" t="s">
        <v>2118</v>
      </c>
      <c r="B24" t="s">
        <v>2119</v>
      </c>
      <c r="C24" t="s">
        <v>240</v>
      </c>
    </row>
    <row r="25" spans="1:3" x14ac:dyDescent="0.25">
      <c r="A25" t="s">
        <v>2120</v>
      </c>
      <c r="B25" t="s">
        <v>2121</v>
      </c>
      <c r="C25" t="s">
        <v>240</v>
      </c>
    </row>
    <row r="26" spans="1:3" x14ac:dyDescent="0.25">
      <c r="A26" t="s">
        <v>2122</v>
      </c>
      <c r="B26" t="s">
        <v>2123</v>
      </c>
      <c r="C26" t="s">
        <v>409</v>
      </c>
    </row>
    <row r="27" spans="1:3" x14ac:dyDescent="0.25">
      <c r="A27">
        <v>71.86</v>
      </c>
      <c r="B27">
        <v>12.74</v>
      </c>
    </row>
    <row r="28" spans="1:3" x14ac:dyDescent="0.25">
      <c r="A28">
        <f>A27+9</f>
        <v>80.86</v>
      </c>
      <c r="B28">
        <f>B27-3</f>
        <v>9.74</v>
      </c>
    </row>
    <row r="29" spans="1:3" x14ac:dyDescent="0.25">
      <c r="A29">
        <f>A28+6</f>
        <v>86.86</v>
      </c>
      <c r="B29">
        <f>B28</f>
        <v>9.74</v>
      </c>
    </row>
    <row r="30" spans="1:3" x14ac:dyDescent="0.25">
      <c r="A30" t="s">
        <v>2124</v>
      </c>
      <c r="B30" t="s">
        <v>2125</v>
      </c>
      <c r="C30" t="s">
        <v>411</v>
      </c>
    </row>
    <row r="31" spans="1:3" x14ac:dyDescent="0.25">
      <c r="A31" t="s">
        <v>2126</v>
      </c>
      <c r="B31" t="s">
        <v>2127</v>
      </c>
      <c r="C31" t="s">
        <v>6</v>
      </c>
    </row>
    <row r="32" spans="1:3" x14ac:dyDescent="0.25">
      <c r="A32" t="s">
        <v>2128</v>
      </c>
      <c r="B32" t="s">
        <v>2129</v>
      </c>
      <c r="C32" t="s">
        <v>409</v>
      </c>
    </row>
    <row r="33" spans="1:3" x14ac:dyDescent="0.25">
      <c r="A33" t="s">
        <v>2130</v>
      </c>
      <c r="B33" t="s">
        <v>643</v>
      </c>
      <c r="C33" t="s">
        <v>409</v>
      </c>
    </row>
    <row r="34" spans="1:3" x14ac:dyDescent="0.25">
      <c r="A34" t="s">
        <v>2131</v>
      </c>
      <c r="B34" t="s">
        <v>2132</v>
      </c>
      <c r="C34" t="s">
        <v>411</v>
      </c>
    </row>
    <row r="35" spans="1:3" x14ac:dyDescent="0.25">
      <c r="A35" t="s">
        <v>2133</v>
      </c>
      <c r="B35" t="s">
        <v>2134</v>
      </c>
      <c r="C35" t="s">
        <v>357</v>
      </c>
    </row>
    <row r="36" spans="1:3" x14ac:dyDescent="0.25">
      <c r="A36" t="s">
        <v>2135</v>
      </c>
      <c r="B36" t="s">
        <v>2136</v>
      </c>
      <c r="C36" t="s">
        <v>26</v>
      </c>
    </row>
  </sheetData>
  <phoneticPr fontId="1" type="noConversion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2"/>
  <dimension ref="A1:C29"/>
  <sheetViews>
    <sheetView workbookViewId="0"/>
  </sheetViews>
  <sheetFormatPr defaultRowHeight="14" x14ac:dyDescent="0.25"/>
  <sheetData>
    <row r="1" spans="1:3" x14ac:dyDescent="0.25">
      <c r="A1" t="s">
        <v>2137</v>
      </c>
    </row>
    <row r="2" spans="1:3" x14ac:dyDescent="0.25">
      <c r="A2" t="s">
        <v>1</v>
      </c>
      <c r="B2" t="s">
        <v>2138</v>
      </c>
      <c r="C2" t="s">
        <v>3</v>
      </c>
    </row>
    <row r="3" spans="1:3" x14ac:dyDescent="0.25">
      <c r="A3" t="s">
        <v>2139</v>
      </c>
      <c r="B3" t="s">
        <v>2140</v>
      </c>
      <c r="C3" t="s">
        <v>31</v>
      </c>
    </row>
    <row r="4" spans="1:3" x14ac:dyDescent="0.25">
      <c r="A4" t="s">
        <v>2141</v>
      </c>
      <c r="B4" t="s">
        <v>2142</v>
      </c>
      <c r="C4" t="s">
        <v>34</v>
      </c>
    </row>
    <row r="5" spans="1:3" x14ac:dyDescent="0.25">
      <c r="A5" t="s">
        <v>2143</v>
      </c>
      <c r="B5" t="s">
        <v>2144</v>
      </c>
      <c r="C5" t="s">
        <v>34</v>
      </c>
    </row>
    <row r="6" spans="1:3" x14ac:dyDescent="0.25">
      <c r="A6" t="s">
        <v>2145</v>
      </c>
      <c r="B6" t="s">
        <v>2146</v>
      </c>
      <c r="C6" t="s">
        <v>31</v>
      </c>
    </row>
    <row r="7" spans="1:3" x14ac:dyDescent="0.25">
      <c r="A7" t="s">
        <v>1482</v>
      </c>
      <c r="B7" t="s">
        <v>2147</v>
      </c>
      <c r="C7" t="s">
        <v>31</v>
      </c>
    </row>
    <row r="8" spans="1:3" x14ac:dyDescent="0.25">
      <c r="A8" t="s">
        <v>668</v>
      </c>
      <c r="B8" t="s">
        <v>1260</v>
      </c>
      <c r="C8" t="s">
        <v>34</v>
      </c>
    </row>
    <row r="9" spans="1:3" x14ac:dyDescent="0.25">
      <c r="A9" t="s">
        <v>2148</v>
      </c>
      <c r="B9" t="s">
        <v>2149</v>
      </c>
      <c r="C9" t="s">
        <v>11</v>
      </c>
    </row>
    <row r="10" spans="1:3" x14ac:dyDescent="0.25">
      <c r="A10" t="s">
        <v>2150</v>
      </c>
      <c r="B10" t="s">
        <v>2151</v>
      </c>
      <c r="C10" t="s">
        <v>31</v>
      </c>
    </row>
    <row r="11" spans="1:3" x14ac:dyDescent="0.25">
      <c r="A11" t="s">
        <v>2152</v>
      </c>
      <c r="B11" t="s">
        <v>2153</v>
      </c>
      <c r="C11" t="s">
        <v>34</v>
      </c>
    </row>
    <row r="12" spans="1:3" x14ac:dyDescent="0.25">
      <c r="A12" t="s">
        <v>2154</v>
      </c>
      <c r="B12" t="s">
        <v>2155</v>
      </c>
      <c r="C12" t="s">
        <v>357</v>
      </c>
    </row>
    <row r="13" spans="1:3" x14ac:dyDescent="0.25">
      <c r="A13" t="s">
        <v>2156</v>
      </c>
      <c r="B13" t="s">
        <v>2157</v>
      </c>
      <c r="C13" t="s">
        <v>357</v>
      </c>
    </row>
    <row r="14" spans="1:3" x14ac:dyDescent="0.25">
      <c r="A14" t="s">
        <v>2158</v>
      </c>
      <c r="B14" t="s">
        <v>2159</v>
      </c>
      <c r="C14" t="s">
        <v>34</v>
      </c>
    </row>
    <row r="15" spans="1:3" x14ac:dyDescent="0.25">
      <c r="A15" t="s">
        <v>2160</v>
      </c>
      <c r="B15" t="s">
        <v>2161</v>
      </c>
      <c r="C15" t="s">
        <v>31</v>
      </c>
    </row>
    <row r="16" spans="1:3" x14ac:dyDescent="0.25">
      <c r="A16" t="s">
        <v>2162</v>
      </c>
      <c r="B16" t="s">
        <v>2163</v>
      </c>
      <c r="C16" t="s">
        <v>240</v>
      </c>
    </row>
    <row r="17" spans="1:3" x14ac:dyDescent="0.25">
      <c r="A17" t="s">
        <v>2164</v>
      </c>
      <c r="B17" t="s">
        <v>2165</v>
      </c>
      <c r="C17" t="s">
        <v>240</v>
      </c>
    </row>
    <row r="18" spans="1:3" x14ac:dyDescent="0.25">
      <c r="A18" t="s">
        <v>2166</v>
      </c>
      <c r="B18" t="s">
        <v>1701</v>
      </c>
      <c r="C18" t="s">
        <v>31</v>
      </c>
    </row>
    <row r="19" spans="1:3" x14ac:dyDescent="0.25">
      <c r="A19">
        <f>75-1.12</f>
        <v>73.88</v>
      </c>
      <c r="B19">
        <f>12.78</f>
        <v>12.78</v>
      </c>
    </row>
    <row r="20" spans="1:3" x14ac:dyDescent="0.25">
      <c r="A20">
        <f>A19+0.56</f>
        <v>74.44</v>
      </c>
      <c r="B20">
        <v>12.66</v>
      </c>
    </row>
    <row r="21" spans="1:3" x14ac:dyDescent="0.25">
      <c r="A21">
        <f>A20+9</f>
        <v>83.44</v>
      </c>
      <c r="B21">
        <f>B20-3</f>
        <v>9.66</v>
      </c>
    </row>
    <row r="22" spans="1:3" x14ac:dyDescent="0.25">
      <c r="A22">
        <f>A21+13.58</f>
        <v>97.02</v>
      </c>
      <c r="B22">
        <f>B21</f>
        <v>9.66</v>
      </c>
    </row>
    <row r="23" spans="1:3" x14ac:dyDescent="0.25">
      <c r="A23">
        <f>A22</f>
        <v>97.02</v>
      </c>
      <c r="B23">
        <f>B22+0.37</f>
        <v>10.029999999999999</v>
      </c>
    </row>
    <row r="24" spans="1:3" x14ac:dyDescent="0.25">
      <c r="A24" t="s">
        <v>2168</v>
      </c>
      <c r="B24" t="s">
        <v>2169</v>
      </c>
      <c r="C24" t="s">
        <v>34</v>
      </c>
    </row>
    <row r="25" spans="1:3" x14ac:dyDescent="0.25">
      <c r="A25" t="s">
        <v>2170</v>
      </c>
      <c r="B25" t="s">
        <v>2171</v>
      </c>
      <c r="C25" t="s">
        <v>31</v>
      </c>
    </row>
    <row r="26" spans="1:3" x14ac:dyDescent="0.25">
      <c r="A26" t="s">
        <v>2172</v>
      </c>
      <c r="B26" t="s">
        <v>2173</v>
      </c>
      <c r="C26" t="s">
        <v>31</v>
      </c>
    </row>
    <row r="27" spans="1:3" x14ac:dyDescent="0.25">
      <c r="A27" t="s">
        <v>2174</v>
      </c>
      <c r="B27" t="s">
        <v>2175</v>
      </c>
      <c r="C27" t="s">
        <v>34</v>
      </c>
    </row>
    <row r="28" spans="1:3" x14ac:dyDescent="0.25">
      <c r="A28" t="s">
        <v>2176</v>
      </c>
      <c r="B28" t="s">
        <v>2177</v>
      </c>
      <c r="C28" t="s">
        <v>357</v>
      </c>
    </row>
    <row r="29" spans="1:3" x14ac:dyDescent="0.25">
      <c r="A29" t="s">
        <v>2178</v>
      </c>
      <c r="B29" t="s">
        <v>2146</v>
      </c>
      <c r="C29" t="s">
        <v>26</v>
      </c>
    </row>
  </sheetData>
  <phoneticPr fontId="1" type="noConversion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4"/>
  <dimension ref="A1:C20"/>
  <sheetViews>
    <sheetView workbookViewId="0"/>
  </sheetViews>
  <sheetFormatPr defaultRowHeight="14" x14ac:dyDescent="0.25"/>
  <sheetData>
    <row r="1" spans="1:3" x14ac:dyDescent="0.25">
      <c r="A1" t="s">
        <v>2179</v>
      </c>
    </row>
    <row r="2" spans="1:3" x14ac:dyDescent="0.25">
      <c r="A2" t="s">
        <v>1</v>
      </c>
      <c r="B2" t="s">
        <v>2180</v>
      </c>
      <c r="C2" t="s">
        <v>3</v>
      </c>
    </row>
    <row r="3" spans="1:3" x14ac:dyDescent="0.25">
      <c r="A3" t="s">
        <v>1261</v>
      </c>
      <c r="B3" t="s">
        <v>2181</v>
      </c>
      <c r="C3" t="s">
        <v>6</v>
      </c>
    </row>
    <row r="4" spans="1:3" x14ac:dyDescent="0.25">
      <c r="A4" t="s">
        <v>2182</v>
      </c>
      <c r="B4" t="s">
        <v>2183</v>
      </c>
      <c r="C4" t="s">
        <v>6</v>
      </c>
    </row>
    <row r="5" spans="1:3" x14ac:dyDescent="0.25">
      <c r="A5" t="s">
        <v>2184</v>
      </c>
      <c r="B5" t="s">
        <v>2185</v>
      </c>
      <c r="C5" t="s">
        <v>34</v>
      </c>
    </row>
    <row r="6" spans="1:3" x14ac:dyDescent="0.25">
      <c r="A6" t="s">
        <v>2186</v>
      </c>
      <c r="B6" t="s">
        <v>2187</v>
      </c>
      <c r="C6" t="s">
        <v>31</v>
      </c>
    </row>
    <row r="7" spans="1:3" x14ac:dyDescent="0.25">
      <c r="A7" t="s">
        <v>2188</v>
      </c>
      <c r="B7" t="s">
        <v>2189</v>
      </c>
      <c r="C7" t="s">
        <v>31</v>
      </c>
    </row>
    <row r="8" spans="1:3" x14ac:dyDescent="0.25">
      <c r="A8">
        <f>70-0.91</f>
        <v>69.09</v>
      </c>
      <c r="B8">
        <v>12.6</v>
      </c>
    </row>
    <row r="9" spans="1:3" x14ac:dyDescent="0.25">
      <c r="A9">
        <f>A8+6.19</f>
        <v>75.28</v>
      </c>
      <c r="B9">
        <v>12.58</v>
      </c>
    </row>
    <row r="10" spans="1:3" x14ac:dyDescent="0.25">
      <c r="A10">
        <f>A9+9</f>
        <v>84.28</v>
      </c>
      <c r="B10">
        <f>B9-3</f>
        <v>9.58</v>
      </c>
    </row>
    <row r="11" spans="1:3" x14ac:dyDescent="0.25">
      <c r="A11">
        <f>A10+7.3</f>
        <v>91.58</v>
      </c>
      <c r="B11">
        <f>B10</f>
        <v>9.58</v>
      </c>
    </row>
    <row r="12" spans="1:3" x14ac:dyDescent="0.25">
      <c r="A12" t="s">
        <v>2190</v>
      </c>
      <c r="B12" t="s">
        <v>2191</v>
      </c>
      <c r="C12" t="s">
        <v>31</v>
      </c>
    </row>
    <row r="13" spans="1:3" x14ac:dyDescent="0.25">
      <c r="A13" t="s">
        <v>2094</v>
      </c>
      <c r="B13" t="s">
        <v>2192</v>
      </c>
      <c r="C13" t="s">
        <v>31</v>
      </c>
    </row>
    <row r="14" spans="1:3" x14ac:dyDescent="0.25">
      <c r="A14" t="s">
        <v>2193</v>
      </c>
      <c r="B14" t="s">
        <v>2194</v>
      </c>
      <c r="C14" t="s">
        <v>34</v>
      </c>
    </row>
    <row r="15" spans="1:3" x14ac:dyDescent="0.25">
      <c r="A15" t="s">
        <v>2195</v>
      </c>
      <c r="B15" t="s">
        <v>2196</v>
      </c>
      <c r="C15" t="s">
        <v>34</v>
      </c>
    </row>
    <row r="16" spans="1:3" x14ac:dyDescent="0.25">
      <c r="A16" t="s">
        <v>2197</v>
      </c>
      <c r="B16" t="s">
        <v>1757</v>
      </c>
      <c r="C16" t="s">
        <v>31</v>
      </c>
    </row>
    <row r="17" spans="1:3" x14ac:dyDescent="0.25">
      <c r="A17" t="s">
        <v>2198</v>
      </c>
      <c r="B17" t="s">
        <v>2199</v>
      </c>
      <c r="C17" t="s">
        <v>31</v>
      </c>
    </row>
    <row r="18" spans="1:3" x14ac:dyDescent="0.25">
      <c r="A18" t="s">
        <v>2200</v>
      </c>
      <c r="B18" t="s">
        <v>2201</v>
      </c>
      <c r="C18" t="s">
        <v>34</v>
      </c>
    </row>
    <row r="19" spans="1:3" x14ac:dyDescent="0.25">
      <c r="A19" t="s">
        <v>2202</v>
      </c>
      <c r="B19" t="s">
        <v>2203</v>
      </c>
      <c r="C19" t="s">
        <v>6</v>
      </c>
    </row>
    <row r="20" spans="1:3" x14ac:dyDescent="0.25">
      <c r="A20" t="s">
        <v>2204</v>
      </c>
      <c r="B20" t="s">
        <v>2205</v>
      </c>
      <c r="C20" t="s">
        <v>26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113</vt:i4>
      </vt:variant>
    </vt:vector>
  </HeadingPairs>
  <TitlesOfParts>
    <vt:vector size="113" baseType="lpstr">
      <vt:lpstr>XB0+000</vt:lpstr>
      <vt:lpstr>XB0+200</vt:lpstr>
      <vt:lpstr>XB0+400</vt:lpstr>
      <vt:lpstr>XB0+600</vt:lpstr>
      <vt:lpstr>XB0+815.59</vt:lpstr>
      <vt:lpstr>XB1+000</vt:lpstr>
      <vt:lpstr>XB1+300</vt:lpstr>
      <vt:lpstr>XB1+400</vt:lpstr>
      <vt:lpstr>XB1+600</vt:lpstr>
      <vt:lpstr>XB1+800</vt:lpstr>
      <vt:lpstr>XB2+000</vt:lpstr>
      <vt:lpstr>XB2+200</vt:lpstr>
      <vt:lpstr>XB2+400</vt:lpstr>
      <vt:lpstr>XB2+600</vt:lpstr>
      <vt:lpstr>XB2+800</vt:lpstr>
      <vt:lpstr>XB3+000</vt:lpstr>
      <vt:lpstr>XB3+200</vt:lpstr>
      <vt:lpstr>XB3+400</vt:lpstr>
      <vt:lpstr>XB3+600</vt:lpstr>
      <vt:lpstr>XB3+800</vt:lpstr>
      <vt:lpstr>XB4+000</vt:lpstr>
      <vt:lpstr>XB4+200</vt:lpstr>
      <vt:lpstr>XB4+400</vt:lpstr>
      <vt:lpstr>XB4+600</vt:lpstr>
      <vt:lpstr>XB4+800</vt:lpstr>
      <vt:lpstr>XB5+000</vt:lpstr>
      <vt:lpstr>XB5+200</vt:lpstr>
      <vt:lpstr>XB5+400</vt:lpstr>
      <vt:lpstr>XB5+600</vt:lpstr>
      <vt:lpstr>XB5+800</vt:lpstr>
      <vt:lpstr>XB6+000</vt:lpstr>
      <vt:lpstr>XB6+200</vt:lpstr>
      <vt:lpstr>XB6+400</vt:lpstr>
      <vt:lpstr>XB6+600</vt:lpstr>
      <vt:lpstr>XB6+800</vt:lpstr>
      <vt:lpstr>XB7+000</vt:lpstr>
      <vt:lpstr>XB7+200</vt:lpstr>
      <vt:lpstr>XB7+400</vt:lpstr>
      <vt:lpstr>XB7+600</vt:lpstr>
      <vt:lpstr>XB7+800</vt:lpstr>
      <vt:lpstr>XB8+000</vt:lpstr>
      <vt:lpstr>XB8+200</vt:lpstr>
      <vt:lpstr>XB8+400</vt:lpstr>
      <vt:lpstr>XB8+600</vt:lpstr>
      <vt:lpstr>XB8+800</vt:lpstr>
      <vt:lpstr>XB9+000</vt:lpstr>
      <vt:lpstr>XB9+200</vt:lpstr>
      <vt:lpstr>XB9+400</vt:lpstr>
      <vt:lpstr>XB9+600</vt:lpstr>
      <vt:lpstr>XB9+800</vt:lpstr>
      <vt:lpstr>XB10+000</vt:lpstr>
      <vt:lpstr>XB10+200</vt:lpstr>
      <vt:lpstr>XB10+400</vt:lpstr>
      <vt:lpstr>XB10+600</vt:lpstr>
      <vt:lpstr>XB10+800</vt:lpstr>
      <vt:lpstr>XB11+000</vt:lpstr>
      <vt:lpstr>XB11+200</vt:lpstr>
      <vt:lpstr>XB11+400</vt:lpstr>
      <vt:lpstr>XB11+600</vt:lpstr>
      <vt:lpstr>XB11+800</vt:lpstr>
      <vt:lpstr>XB12+000</vt:lpstr>
      <vt:lpstr>XB12+200</vt:lpstr>
      <vt:lpstr>XB12+400</vt:lpstr>
      <vt:lpstr>界沟起点</vt:lpstr>
      <vt:lpstr>XB12+600</vt:lpstr>
      <vt:lpstr>XB12+800</vt:lpstr>
      <vt:lpstr>XB13+000</vt:lpstr>
      <vt:lpstr>XB13+200</vt:lpstr>
      <vt:lpstr>XB13+400</vt:lpstr>
      <vt:lpstr>XB13+600</vt:lpstr>
      <vt:lpstr>XB13+800</vt:lpstr>
      <vt:lpstr>XB14+000</vt:lpstr>
      <vt:lpstr>XB14+200</vt:lpstr>
      <vt:lpstr>XB14+400</vt:lpstr>
      <vt:lpstr>XB14+600</vt:lpstr>
      <vt:lpstr>XB14+800</vt:lpstr>
      <vt:lpstr>XB15+000</vt:lpstr>
      <vt:lpstr>XB15+200</vt:lpstr>
      <vt:lpstr>XB15+400</vt:lpstr>
      <vt:lpstr>XB15+600</vt:lpstr>
      <vt:lpstr>XB15+800</vt:lpstr>
      <vt:lpstr>XB16+000</vt:lpstr>
      <vt:lpstr>XB16+200</vt:lpstr>
      <vt:lpstr>XB16+400</vt:lpstr>
      <vt:lpstr>XB16+600</vt:lpstr>
      <vt:lpstr>XB16+800</vt:lpstr>
      <vt:lpstr>XB17+000</vt:lpstr>
      <vt:lpstr>XB17+200</vt:lpstr>
      <vt:lpstr>XB17+400</vt:lpstr>
      <vt:lpstr>道路-3孔桥涵</vt:lpstr>
      <vt:lpstr>XB17+800</vt:lpstr>
      <vt:lpstr>XB18+000</vt:lpstr>
      <vt:lpstr>XB18+200</vt:lpstr>
      <vt:lpstr>XB18+400</vt:lpstr>
      <vt:lpstr>XB18+600</vt:lpstr>
      <vt:lpstr>XB18+800</vt:lpstr>
      <vt:lpstr>XB19+000</vt:lpstr>
      <vt:lpstr>XB19+200</vt:lpstr>
      <vt:lpstr>XB19+400</vt:lpstr>
      <vt:lpstr>XB19+600</vt:lpstr>
      <vt:lpstr>XB19+800</vt:lpstr>
      <vt:lpstr>XB20+000</vt:lpstr>
      <vt:lpstr>XB20+200</vt:lpstr>
      <vt:lpstr>XB20+400</vt:lpstr>
      <vt:lpstr>XB20+600</vt:lpstr>
      <vt:lpstr>XB20+800</vt:lpstr>
      <vt:lpstr>XB21+000</vt:lpstr>
      <vt:lpstr>XB21+200</vt:lpstr>
      <vt:lpstr>XB21+400</vt:lpstr>
      <vt:lpstr>XB21+600</vt:lpstr>
      <vt:lpstr>XB21+800</vt:lpstr>
      <vt:lpstr>XB22+000</vt:lpstr>
      <vt:lpstr>XB22+173.89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jincan</cp:lastModifiedBy>
  <dcterms:created xsi:type="dcterms:W3CDTF">2024-05-07T10:55:43Z</dcterms:created>
  <dcterms:modified xsi:type="dcterms:W3CDTF">2024-05-24T07:13:39Z</dcterms:modified>
</cp:coreProperties>
</file>